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doch RM" sheetId="1" r:id="rId1"/>
    <sheet name="Wyd RM" sheetId="2" r:id="rId2"/>
    <sheet name="inwest" sheetId="3" r:id="rId3"/>
    <sheet name="UE" sheetId="4" r:id="rId4"/>
    <sheet name="UE (2)" sheetId="5" r:id="rId5"/>
    <sheet name="remonty" sheetId="6" r:id="rId6"/>
    <sheet name="doch Pr" sheetId="7" r:id="rId7"/>
    <sheet name="Wyd Pr" sheetId="8" r:id="rId8"/>
    <sheet name="jednostki" sheetId="9" r:id="rId9"/>
    <sheet name="szkoly" sheetId="10" r:id="rId10"/>
    <sheet name="Doch-harm" sheetId="11" r:id="rId11"/>
    <sheet name="Wyd-harm" sheetId="12" r:id="rId12"/>
    <sheet name="zlecone " sheetId="13" r:id="rId13"/>
  </sheets>
  <definedNames>
    <definedName name="_xlnm.Print_Titles" localSheetId="6">'doch Pr'!$7:$7</definedName>
    <definedName name="_xlnm.Print_Titles" localSheetId="0">'doch RM'!$7:$7</definedName>
    <definedName name="_xlnm.Print_Titles" localSheetId="2">'inwest'!$8:$8</definedName>
    <definedName name="_xlnm.Print_Titles" localSheetId="8">'jednostki'!$9:$9</definedName>
    <definedName name="_xlnm.Print_Titles" localSheetId="5">'remonty'!$9:$9</definedName>
    <definedName name="_xlnm.Print_Titles" localSheetId="9">'szkoly'!$3:$11</definedName>
    <definedName name="_xlnm.Print_Titles" localSheetId="7">'Wyd Pr'!$7:$7</definedName>
    <definedName name="_xlnm.Print_Titles" localSheetId="1">'Wyd RM'!$7:$7</definedName>
    <definedName name="_xlnm.Print_Titles" localSheetId="11">'Wyd-harm'!$7:$9</definedName>
    <definedName name="_xlnm.Print_Titles" localSheetId="12">'zlecone '!$8:$8</definedName>
  </definedNames>
  <calcPr fullCalcOnLoad="1"/>
</workbook>
</file>

<file path=xl/sharedStrings.xml><?xml version="1.0" encoding="utf-8"?>
<sst xmlns="http://schemas.openxmlformats.org/spreadsheetml/2006/main" count="1622" uniqueCount="564">
  <si>
    <t>Rodziny zastępcze</t>
  </si>
  <si>
    <t>opłaty za pobyt osób skierowanych do domów pomocy społecznej poza miasto Lublin</t>
  </si>
  <si>
    <t xml:space="preserve">1.2 Wydział Finansowy </t>
  </si>
  <si>
    <t>1.3 Wydział Geodezji i Gospodarki Nieruchomościami</t>
  </si>
  <si>
    <t>1.8  Kancelaria Prezydenta Miasta</t>
  </si>
  <si>
    <t>2. Dom Pomocy Społecznej im. Matki Teresy z Kalkuty</t>
  </si>
  <si>
    <t>3. Dom Pomocy Społecznej dla Osób Niepełnosprawnych Fizycznie</t>
  </si>
  <si>
    <t>4.  Miejski Ośrodek Pomocy Rodzinie</t>
  </si>
  <si>
    <t>4. Miejski Ośrodek Pomocy Rodzinie</t>
  </si>
  <si>
    <t>5. Miejski Urząd Pracy</t>
  </si>
  <si>
    <t>6. Powiatowy Inspektorat Nadzoru Budowlanego</t>
  </si>
  <si>
    <t>7.  Szkoły i placówki oświatowe</t>
  </si>
  <si>
    <t>5.  Powiatowy Inspektorat Nadzoru Budowlanego</t>
  </si>
  <si>
    <t>6. Szkoły i placówki oświatowe</t>
  </si>
  <si>
    <t>realizacja projektu "Kacpry - dzikie dzieci Europy"</t>
  </si>
  <si>
    <t>Dochody                                                                                                                                            (nazwa działu, rozdziału, źródła dochodów)</t>
  </si>
  <si>
    <t>Załącznik nr 1</t>
  </si>
  <si>
    <t>Załącznik nr 2</t>
  </si>
  <si>
    <t xml:space="preserve">w tym: wynagrodzenia </t>
  </si>
  <si>
    <t>w tym: inwestycje</t>
  </si>
  <si>
    <t>w tym: remonty</t>
  </si>
  <si>
    <t xml:space="preserve">w tym: inwestycje </t>
  </si>
  <si>
    <t>Dotacje celowe przekazane dla powiatu na zadania bieżące realizowane na podstawie porozumień między jednostkami samorządu terytorialnego</t>
  </si>
  <si>
    <t xml:space="preserve">wydatki ochotniczych straży pożarnych </t>
  </si>
  <si>
    <t>Zakup usług przez jednostki samorządu terytorialnego od innych jednostek samorządu terytorialnego</t>
  </si>
  <si>
    <t>dotacje na utrzymanie dzieci umieszczonych w rodzinach zastępczych na terenie innych powiatów</t>
  </si>
  <si>
    <t>dotacje na utrzymanie dzieci skierowanych do placówek opiekuńczo-wychowawczych na terenie innych powiatów</t>
  </si>
  <si>
    <t>dotacja celowa z budżetu państwa na finansowanie zadań bieżących z zakresu gospodarki nieruchomościami</t>
  </si>
  <si>
    <t>dotacja celowa z budżetu państwa na utrzymanie Powiatowego Inspektoratu Nadzoru Budowlanego</t>
  </si>
  <si>
    <t>gospodarka nieruchomościami</t>
  </si>
  <si>
    <t>Prywatne Liceum Ogólnokształcące dla Dorosłych Wieczorowe im. E. Orzeszkowej; Barbara Niedziałkowska-Kazaren, ul. Róży Wiatrów 5/63, 20-468 Lublin</t>
  </si>
  <si>
    <t>Społeczne Liceum Ogólnokształcące im. A. Asnyka Stowarzyszenia "Szansa"; Stowarzyszenie "Szansa", ul. Kapucyńska 1a, 20-009 Lublin</t>
  </si>
  <si>
    <t>Zespół Szkół im. św. St. Kostki; Archidiecezja Lubelska, ul. Prymasa Stefana Wyszyńskiego 2, 20-950 Lublin</t>
  </si>
  <si>
    <t>Szkoła Policealna Rachunkowości Stowarzyszenia Księgowych w Polsce; Stowarzyszenie Księgowych w Polsce, ul. Górnośląska 5, 00-443 Warszawa</t>
  </si>
  <si>
    <t xml:space="preserve">Policealna Szkoła Rozwoju Zawodowego; Karolina Sikorska - Warsitz, ul. Początkowa 3, 20-805 Lublin; Jarosław Socha, ul. Oratoryjna 1/28, 20-881 Lublin </t>
  </si>
  <si>
    <t>Policelane Studium Zdrowia i Urody dla Dorosłych "Eurotop"; EUROTOP Sp. z o.o., ul. Hempla 5, 20-008 Lublin</t>
  </si>
  <si>
    <t>Policealne Studium Zawodowe "Eudemos"; Łukasz Kazaren, ul. Róży Wiatrów 5/63, 20-468 Lublin</t>
  </si>
  <si>
    <t>Prywatne Policealne Studium Zawodowe "Eureka"; Europejskie Centrum Kształcenia EUREKA Sp. z o.o., ul. Mickiewicza 36, 20-466 Lublin</t>
  </si>
  <si>
    <t xml:space="preserve">Niepubliczne Policealne Studium Medyczne Towarzystwa Wiedzy Powszechnej; Towarzystwo Wiedzy Powszechnej Oddział Regionalny w Lublinie, ul. Kosmowskiej 1a/72, 20-815 Lublin </t>
  </si>
  <si>
    <t>Zasadnicza Szkoła Zawodowa Przyzakładowa ZDZ im. B. Parczyńskiego; Zakład Doskonalenia Zawodowego, ul. Królewska 15, 20-950 Lublin</t>
  </si>
  <si>
    <t>Zespół Szkół Rzemiosła i Przedsiębiorczości; Izba Rzemiosła i Przedsiębiorczości, ul. Rynek 2, 20-111 Lublin</t>
  </si>
  <si>
    <t xml:space="preserve">dotacje dla niepublicznych burs i internatów </t>
  </si>
  <si>
    <t>Bursa Sercanek; Zgromadzenie Zakonne Córek Najczystszego Serca Najświętszej Marii Panny, Plac Ojca Honorata Koźmińskiego 6, 26-420 Nowe Miasto n/Pilicą</t>
  </si>
  <si>
    <t>Prywatna Żeńska Bursa Sióstr Urszulanek UR; Zgromadzenie Sióstr Urszulanek Unii Rzymskiej, ul. Narutowicza 10, 20-004 Lublin</t>
  </si>
  <si>
    <t>Zespół Szkół im. św. St. Kostki; Archidiecezja Lubelska, 
ul. Prymasa Stefana Wyszyńskiego 2, 20-950 Lublin</t>
  </si>
  <si>
    <t>Zespół Szkół Chemicznych i Przemysłu Spożywczego (XII LO)</t>
  </si>
  <si>
    <t>rozdz. 80123 - Licea profilowane</t>
  </si>
  <si>
    <t>Zespół Szkół Chemicznych i Przemysłu Spożywczego (VI Liceum Profilowane)</t>
  </si>
  <si>
    <t>Zespół Szkół Odzieżowo-Włókienniczych (X Liceum Profilowane)</t>
  </si>
  <si>
    <t xml:space="preserve">Zespół Szkół Chemicznych i Przemysłu Spożywczego </t>
  </si>
  <si>
    <t>rozdz. 80140 - Centra kształcenia ustawicznego i praktycznego oraz ośrodki dokształcania zawodowego</t>
  </si>
  <si>
    <t>Pogotowie Opiekuńcze</t>
  </si>
  <si>
    <t>rozdz. 85401 - Świetlice szkolne</t>
  </si>
  <si>
    <t>rozdz. 85410 -  Internaty i bursy szkolne</t>
  </si>
  <si>
    <t>Bursa Szkolna nr 1</t>
  </si>
  <si>
    <t>Gospodarstwa pomocnicze</t>
  </si>
  <si>
    <t>działalność Komisji Rozwiązywania Problemów Alkoholowych</t>
  </si>
  <si>
    <t>Szkoła Podstawowa nr 40</t>
  </si>
  <si>
    <t>Szkoła Podstawowa nr 46</t>
  </si>
  <si>
    <t>świadczenia dla bezrobotnych za wykonywanie prac społecznie użytecznych</t>
  </si>
  <si>
    <t>Powiatowe urzędy pracy</t>
  </si>
  <si>
    <t>Drogi wewnetrzne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</si>
  <si>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</si>
  <si>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</si>
  <si>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</si>
  <si>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</si>
  <si>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</si>
  <si>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</si>
  <si>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</si>
  <si>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</si>
  <si>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</si>
  <si>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</si>
  <si>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</si>
  <si>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</si>
  <si>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</si>
  <si>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na 2006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</si>
  <si>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</si>
  <si>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</si>
  <si>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</si>
  <si>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</si>
  <si>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</si>
  <si>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</si>
  <si>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</si>
  <si>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</si>
  <si>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</si>
  <si>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</si>
  <si>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</si>
  <si>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</si>
  <si>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</si>
  <si>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</si>
  <si>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</si>
  <si>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</si>
  <si>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</si>
  <si>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</si>
  <si>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</si>
  <si>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</si>
  <si>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</si>
  <si>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</si>
  <si>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</si>
  <si>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</si>
  <si>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</si>
  <si>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</si>
  <si>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</si>
  <si>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</si>
  <si>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</si>
  <si>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</si>
  <si>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</si>
  <si>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Dochody</t>
  </si>
  <si>
    <t>Wydatki</t>
  </si>
  <si>
    <t>Zmniejszenia</t>
  </si>
  <si>
    <t>Zwiększenia</t>
  </si>
  <si>
    <t>Ogółem</t>
  </si>
  <si>
    <t xml:space="preserve">Wydatki na zadania własne </t>
  </si>
  <si>
    <t>Zakup materiałów i wyposażenia</t>
  </si>
  <si>
    <t>Zakup usług pozostałych</t>
  </si>
  <si>
    <t>Rezerwy</t>
  </si>
  <si>
    <t>Urzędy miast i miast na prawach powiatu</t>
  </si>
  <si>
    <t>wydatki rzeczowe</t>
  </si>
  <si>
    <t>Wydatki budżetu miasta na 2006 rok</t>
  </si>
  <si>
    <t>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</si>
  <si>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</si>
  <si>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</si>
  <si>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</si>
  <si>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</si>
  <si>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</si>
  <si>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</si>
  <si>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</si>
  <si>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</si>
  <si>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</si>
  <si>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</si>
  <si>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</si>
  <si>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</si>
  <si>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</si>
  <si>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</si>
  <si>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</si>
  <si>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</si>
  <si>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</si>
  <si>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</si>
  <si>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</si>
  <si>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</si>
  <si>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</si>
  <si>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</si>
  <si>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</si>
  <si>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Wydatki
według uchwały    
nr 849XXXVI/2005                              
Rady Miasta Lublin
z 29.12.2005 r.
z późn. zm.</t>
  </si>
  <si>
    <t>Szkoły zawodowe</t>
  </si>
  <si>
    <t xml:space="preserve">Przedszkola </t>
  </si>
  <si>
    <t>Zakup usług remontowych - remonty przedszkoli</t>
  </si>
  <si>
    <t>Dodatkowe wynagrodzenie roczne</t>
  </si>
  <si>
    <t>inwestycyjne</t>
  </si>
  <si>
    <t>jednostek</t>
  </si>
  <si>
    <t>budżetowych</t>
  </si>
  <si>
    <t>Wydatki na zakupy inwestycyjne jednostek budżetowych</t>
  </si>
  <si>
    <t>§ 6060</t>
  </si>
  <si>
    <t>na zakupy</t>
  </si>
  <si>
    <t>remonty przedszkoli</t>
  </si>
  <si>
    <t>Dotacja podmiotowa z budżetu dla niepublicznej jednostki systemu oświaty</t>
  </si>
  <si>
    <t>zajęcia sportowo - rekreacyjne w szkołach</t>
  </si>
  <si>
    <t>Placówki oświatowe - zmiany</t>
  </si>
  <si>
    <t>Inwestycje</t>
  </si>
  <si>
    <t>Pochodne od wynagrodzeń</t>
  </si>
  <si>
    <t>Wydatki rzeczowe</t>
  </si>
  <si>
    <t>Różne</t>
  </si>
  <si>
    <t>opłaty</t>
  </si>
  <si>
    <t>i składki</t>
  </si>
  <si>
    <t>OGÓŁEM</t>
  </si>
  <si>
    <t>rozdz. 80110 - Gimnazja</t>
  </si>
  <si>
    <t>rozdz. 80120 - Licea ogólnokształcące</t>
  </si>
  <si>
    <t>Szkoła Podstawowa nr 2</t>
  </si>
  <si>
    <t>Szkoła Podstawowa nr 14</t>
  </si>
  <si>
    <t>Szkoła Podstawowa nr 21</t>
  </si>
  <si>
    <t>Szkoła Podstawowa nr 23</t>
  </si>
  <si>
    <t>Składki na ubezpieczenia społeczne</t>
  </si>
  <si>
    <t>Składki na Fundusz Pracy</t>
  </si>
  <si>
    <t>Ochotnicze straże pożarne</t>
  </si>
  <si>
    <t>Zakup energii</t>
  </si>
  <si>
    <t>Zakup usług zdrowotnych</t>
  </si>
  <si>
    <t>Różne opłaty i składki</t>
  </si>
  <si>
    <t>Programy polityki zdrowotnej</t>
  </si>
  <si>
    <t>Zwalczanie narkomanii</t>
  </si>
  <si>
    <t>Podróże służbowe krajowe</t>
  </si>
  <si>
    <t>zadania realizowane w ramach Gminnego Programu Profilaktyki i Rozwiązywania Problemów Alkoholowych, z tego: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</si>
  <si>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</si>
  <si>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</si>
  <si>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>zadania realizowane w ramach Gminnego Programu Profilaktyki i Rozwiązywania Problemów Alkoholowych, w tym:</t>
  </si>
  <si>
    <t>rozdz. 85154 - Przeciwdziałanie alkoholizmowi</t>
  </si>
  <si>
    <t>środki w dyspozycji wydziału</t>
  </si>
  <si>
    <t>Szkoła Podstawowa nr 28</t>
  </si>
  <si>
    <t>Szkoła Podstawowa nr 29</t>
  </si>
  <si>
    <t>Szkoła Podstawowa nr 32</t>
  </si>
  <si>
    <t>Szkoła Podstawowa nr 39</t>
  </si>
  <si>
    <t>Szkoła Podstawowa nr 47</t>
  </si>
  <si>
    <t>Szkoła Podstawowa nr 52</t>
  </si>
  <si>
    <t>Gimnazjum nr 5</t>
  </si>
  <si>
    <t>VI Liceum Ogólnokształcące</t>
  </si>
  <si>
    <t>Zespół Szkół Ogólnokształcących nr 2</t>
  </si>
  <si>
    <t>Lubelskie Centrum Edukacji Zawodowej</t>
  </si>
  <si>
    <t>Dział 854 - Edukacyjna opieka wychowawcza</t>
  </si>
  <si>
    <t>Wydatki inwestycyjne jednostek budżetowych</t>
  </si>
  <si>
    <t>inwestycje</t>
  </si>
  <si>
    <t>Gospodarka komunalna i ochrona środowiska</t>
  </si>
  <si>
    <t xml:space="preserve">wynagrodzenia </t>
  </si>
  <si>
    <t>Straż Miejska</t>
  </si>
  <si>
    <t>inwestycje, w tym:</t>
  </si>
  <si>
    <t>pomoc materialna dla uczniów w ramach Narodowego Programu Stypendialnego</t>
  </si>
  <si>
    <t>Stypendia dla uczniów</t>
  </si>
  <si>
    <t>Inne formy pomocy dla uczniów</t>
  </si>
  <si>
    <t>Wynagrodzenia</t>
  </si>
  <si>
    <t xml:space="preserve">       Nazwa</t>
  </si>
  <si>
    <t>§ 4170</t>
  </si>
  <si>
    <t>§ 4110</t>
  </si>
  <si>
    <t>§ 4120</t>
  </si>
  <si>
    <t>§ 3260</t>
  </si>
  <si>
    <t>§ 4210</t>
  </si>
  <si>
    <t>§ 4260</t>
  </si>
  <si>
    <t>§ 4270</t>
  </si>
  <si>
    <t>§ 4300</t>
  </si>
  <si>
    <t>§ 4430</t>
  </si>
  <si>
    <t xml:space="preserve">           paragrafu</t>
  </si>
  <si>
    <t>Wynagro-</t>
  </si>
  <si>
    <t>Składki na</t>
  </si>
  <si>
    <t>Składki</t>
  </si>
  <si>
    <t>Inne formy</t>
  </si>
  <si>
    <t>Zakup</t>
  </si>
  <si>
    <t>dzenia</t>
  </si>
  <si>
    <t>ubezpiecz.</t>
  </si>
  <si>
    <t xml:space="preserve">na </t>
  </si>
  <si>
    <t>pomocy</t>
  </si>
  <si>
    <t xml:space="preserve">materiałów </t>
  </si>
  <si>
    <t>energii</t>
  </si>
  <si>
    <t xml:space="preserve">usług </t>
  </si>
  <si>
    <t>usług</t>
  </si>
  <si>
    <t>bezosobowe</t>
  </si>
  <si>
    <t>społeczne</t>
  </si>
  <si>
    <t>Fundusz</t>
  </si>
  <si>
    <t>uczniów</t>
  </si>
  <si>
    <t xml:space="preserve">dla </t>
  </si>
  <si>
    <t>i</t>
  </si>
  <si>
    <t>remontowych</t>
  </si>
  <si>
    <t>pozostałych</t>
  </si>
  <si>
    <t>Razem</t>
  </si>
  <si>
    <t>Pracy</t>
  </si>
  <si>
    <t>wyposażenia</t>
  </si>
  <si>
    <t xml:space="preserve">       szkoły</t>
  </si>
  <si>
    <t>Dział 801 - Oświata i wychowanie</t>
  </si>
  <si>
    <t xml:space="preserve">rozdz. 80104 - Przedszkola </t>
  </si>
  <si>
    <t>rozdz. 80130 - Szkoły zawodowe</t>
  </si>
  <si>
    <t>Zespół Szkół Elektronicznych</t>
  </si>
  <si>
    <t>rozdz. 85415 - Pomoc materialna dla uczniów</t>
  </si>
  <si>
    <t>rozdz. 85495 - Pozostała działalność (stołówki szkolne)</t>
  </si>
  <si>
    <t>Dział 926 - Kultura fizyczna i sport</t>
  </si>
  <si>
    <t>zajęcia sportowo-rekreacyjne w szkołach</t>
  </si>
  <si>
    <t>Dział 851 - Ochrona zdrowia</t>
  </si>
  <si>
    <t>Przedszkola</t>
  </si>
  <si>
    <t>Pomoc materialna dla uczniów</t>
  </si>
  <si>
    <t>Szkoły podstawowe</t>
  </si>
  <si>
    <t>Gimnazja</t>
  </si>
  <si>
    <t>Licea ogólnokształcące</t>
  </si>
  <si>
    <t>Placówki wychowania pozaszkolnego</t>
  </si>
  <si>
    <t>Dokształcanie i doskonalenie nauczycieli</t>
  </si>
  <si>
    <t>Drogi publiczne w miastach na prawach powiatu</t>
  </si>
  <si>
    <t>Dochody budżetu miasta na 2006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</si>
  <si>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</si>
  <si>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849/XXXVI/2005                              
Rady Miasta Lublin
z 29.12.2005 r.
z późn. zm.                    </t>
  </si>
  <si>
    <t>Dochody budżetu miasta ogółem</t>
  </si>
  <si>
    <t>Dochody własne</t>
  </si>
  <si>
    <t>Subwencje i dotacja rekompensująca</t>
  </si>
  <si>
    <t>Dotacje celowe i inne środki na zadania własne</t>
  </si>
  <si>
    <t>Dotacje celowe i inne środki na zadania realizowane na podstawie porozumień i umów</t>
  </si>
  <si>
    <t xml:space="preserve">Dotacje celowe z budżetu państwa na zadania zlecone z zakresu administracji rządowej </t>
  </si>
  <si>
    <t>Subwencje</t>
  </si>
  <si>
    <t>Domy pomocy społecznej</t>
  </si>
  <si>
    <r>
      <t>Dochody gminy ogółem,</t>
    </r>
    <r>
      <rPr>
        <sz val="10"/>
        <rFont val="Arial CE"/>
        <family val="2"/>
      </rPr>
      <t xml:space="preserve"> z tego:</t>
    </r>
  </si>
  <si>
    <t>Dochody gminy, z tego:</t>
  </si>
  <si>
    <t>Harmonogram realizacji dochodów budżetu miasta  w 2006 roku</t>
  </si>
  <si>
    <t xml:space="preserve">Plan </t>
  </si>
  <si>
    <t xml:space="preserve">Rozdz. </t>
  </si>
  <si>
    <t xml:space="preserve"> (nazwa działu, rozdziału)</t>
  </si>
  <si>
    <t>Dochody ogółem</t>
  </si>
  <si>
    <t>1.1 Wydział Finansowy</t>
  </si>
  <si>
    <t>Internaty i bursy szkolne</t>
  </si>
  <si>
    <t>Centra kształcenia ustawicznego 
i praktycznego oraz ośrodki dokształcania zawodowego</t>
  </si>
  <si>
    <t>Załącznik nr 3</t>
  </si>
  <si>
    <t>Przedszkole nr 3</t>
  </si>
  <si>
    <t>Przedszkole nr 6</t>
  </si>
  <si>
    <t>Przedszkole nr 19</t>
  </si>
  <si>
    <t>Przedszkole nr 33</t>
  </si>
  <si>
    <t>Przedszkole nr 39</t>
  </si>
  <si>
    <t>Przedszkole nr 46</t>
  </si>
  <si>
    <t>Przedszkole nr 69</t>
  </si>
  <si>
    <t>Przedszkole nr 74</t>
  </si>
  <si>
    <t>Przedszkole nr 75</t>
  </si>
  <si>
    <t>Przedszkole nr 83</t>
  </si>
  <si>
    <t>Wydatki osobowe niezaliczone do wynagrodzeń</t>
  </si>
  <si>
    <t>Planowane wydatki majątkowe na 2006 rok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</si>
  <si>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</si>
  <si>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</si>
  <si>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</si>
  <si>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</si>
  <si>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</si>
  <si>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</si>
  <si>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</si>
  <si>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</si>
  <si>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</si>
  <si>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zakupy inwestycyjne</t>
  </si>
  <si>
    <t>Wydatki na zadania zlecone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</si>
  <si>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</si>
  <si>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</si>
  <si>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</si>
  <si>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</si>
  <si>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</si>
  <si>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</si>
  <si>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</si>
  <si>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</si>
  <si>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>Plany zagospodarowania przestrzennego</t>
  </si>
  <si>
    <t>Gospodarka ściekowa i ochrona wód</t>
  </si>
  <si>
    <t>Gospodarka odpadami</t>
  </si>
  <si>
    <t>Oczyszczanie miast i wsi</t>
  </si>
  <si>
    <t>Kultura i ochrona dziedzictwa narodowego</t>
  </si>
  <si>
    <t>Kultura fizyczna i sport</t>
  </si>
  <si>
    <t>Centra kultury i sztuki</t>
  </si>
  <si>
    <t>Instytucje kultury fizycznej</t>
  </si>
  <si>
    <t>rezerwa celowa na finansowanie projektów współfinansowanych ze środków Unii Europejskiej</t>
  </si>
  <si>
    <t>Usługi opiekuńcze i specjalistyczne usługi opiekuńcze</t>
  </si>
  <si>
    <t>Oddziały przedszkolne w szkołach podstawowych</t>
  </si>
  <si>
    <t>Szkoły podstawowe specjalne</t>
  </si>
  <si>
    <t>Przedszkola specjalne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</si>
  <si>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</si>
  <si>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</si>
  <si>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</si>
  <si>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</si>
  <si>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</si>
  <si>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</si>
  <si>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</si>
  <si>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</si>
  <si>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</si>
  <si>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</si>
  <si>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</si>
  <si>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</si>
  <si>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</si>
  <si>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</si>
  <si>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</si>
  <si>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Dotacje celowe otrzymane z budżetu państwa na realizację własnych zadań bieżących gmin</t>
  </si>
  <si>
    <t>Placówki opiekuńczo-wychowawcze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</si>
  <si>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</si>
  <si>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</si>
  <si>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</si>
  <si>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</si>
  <si>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</si>
  <si>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</si>
  <si>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stołówki szkolne, w tym:</t>
  </si>
  <si>
    <t>Ochrona zabytków i opieka nad zabytkami</t>
  </si>
  <si>
    <t>Zadania zlecone</t>
  </si>
  <si>
    <t>Plan dochodów 
po zmianach</t>
  </si>
  <si>
    <t>Dochody
według uchwały    
nr 849/XXXVI/2005                              
Rady Miasta Lublin
z 29.12.2005 r.
z późn. zm.</t>
  </si>
  <si>
    <t>Zakup usług remontowych - remonty szkół</t>
  </si>
  <si>
    <t xml:space="preserve">termomodernizacje obiektów </t>
  </si>
  <si>
    <t>remonty szkół</t>
  </si>
  <si>
    <t>termomodernizacje obiektów</t>
  </si>
  <si>
    <t>rozdz. 80101 - Szkoły podstawowe</t>
  </si>
  <si>
    <t>Zasiłki i pomoc w naturze oraz składki
na ubezpieczenia emerytalne i rentowe</t>
  </si>
  <si>
    <t>Dochody powiatu ogółem</t>
  </si>
  <si>
    <t>Dotacje celowe otrzymane z budżetu państwa na zadania bieżące z zakresu administracji rządowej oraz inne zadania zlecone ustawami realizowane przez powiat</t>
  </si>
  <si>
    <t>Dochody powiatu, z tego: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</si>
  <si>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</si>
  <si>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</si>
  <si>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</si>
  <si>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</si>
  <si>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</si>
  <si>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</si>
  <si>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</si>
  <si>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</si>
  <si>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stołówki szkolne, z tego:</t>
  </si>
  <si>
    <t>Pomoc dla repatriantów</t>
  </si>
  <si>
    <t>pomoc dla repatriantów</t>
  </si>
  <si>
    <t>dotacja celowa z budżetu państwa na pomoc dla repatriantów</t>
  </si>
  <si>
    <t>Świadczenia społeczne</t>
  </si>
  <si>
    <t>dotacja celowa z budżetu państwa na dofinansowanie realizacji programu wieloletniego "Pomoc państwa w zakresie dożywiania"</t>
  </si>
  <si>
    <t xml:space="preserve">Gospodarka komunalna i ochrona środowiska </t>
  </si>
  <si>
    <t>trasa zielona - I etap</t>
  </si>
  <si>
    <t>przebudowa ul. Poniatowskiego i ul. Sowińskiego (od ul. ks. Popiełuszki do ul. Filaretów)</t>
  </si>
  <si>
    <t>kolektor sanitarny N-II</t>
  </si>
  <si>
    <t>kanalizacja sanitarna w os. Węglin Południowy</t>
  </si>
  <si>
    <t>Załącznik nr 6</t>
  </si>
  <si>
    <t>Planowane wydatki na wieloletnie programy i projekty inwestycyjne współfinansowane ze środków</t>
  </si>
  <si>
    <t>europejskich w latach 2006-2008</t>
  </si>
  <si>
    <t>Wydatki na 2006 rok po zmianach, 
z tego ze środków:</t>
  </si>
  <si>
    <t>Urząd Miasta Lublin</t>
  </si>
  <si>
    <t>§ 4010</t>
  </si>
  <si>
    <t xml:space="preserve">Wynagrodzenia </t>
  </si>
  <si>
    <t>osobowe</t>
  </si>
  <si>
    <t>pracowników</t>
  </si>
  <si>
    <t>§ 3020</t>
  </si>
  <si>
    <t>niezaliczone</t>
  </si>
  <si>
    <t xml:space="preserve">do </t>
  </si>
  <si>
    <t>wynagrodzeń</t>
  </si>
  <si>
    <t>na</t>
  </si>
  <si>
    <t>§ 4440</t>
  </si>
  <si>
    <t>Odpisy</t>
  </si>
  <si>
    <t>zakładowy</t>
  </si>
  <si>
    <t>fundusz</t>
  </si>
  <si>
    <t>świadczeń</t>
  </si>
  <si>
    <t>socjalnych</t>
  </si>
  <si>
    <t>rozdz. 80101 - Szkoły podstawowe - akcja "Bezpieczna droga"</t>
  </si>
  <si>
    <t>akcja "Bezpieczna droga"</t>
  </si>
  <si>
    <t>Odpisy na zakładowy fundusz świadczeń socjalnych</t>
  </si>
  <si>
    <t>wynagrodzenia</t>
  </si>
  <si>
    <t>rozdz. 80103 - Oddziały przedszkolne w szkołach podstawowych</t>
  </si>
  <si>
    <t xml:space="preserve">dotacje dla publicznych i niepublicznych gimnazjów </t>
  </si>
  <si>
    <t>Katolickie Gimnazjum im. św. Teresy; Katolickie Stowarzyszenie Oświatowe im. św. Teresy, ul. Krochmalna 47, 20-402 Lublin</t>
  </si>
  <si>
    <t xml:space="preserve">dotacje dla publicznych i niepublicznych liceów ogólnokształcących </t>
  </si>
  <si>
    <t>Załącznik nr 12</t>
  </si>
  <si>
    <t>Załącznik nr 4</t>
  </si>
  <si>
    <t>Planowane wydatki na programy i projekty realizowane ze środków pochodzących z budżetu Unii Europejskiej</t>
  </si>
  <si>
    <t>Wydatki na 2008 rok 
z tego ze środków:</t>
  </si>
  <si>
    <t>2005-2006</t>
  </si>
  <si>
    <t>2005-2007</t>
  </si>
  <si>
    <t>modernizacja węzłów cieplnych i kotłowni, wymiana instalacji centralnego ogrzewania oraz okien i drzwi zewnętrznych, docieplenie dachów, stropodachów i ścian zewnętrznych</t>
  </si>
  <si>
    <t>1.4 Wydział Organizacyjny</t>
  </si>
  <si>
    <t>1.5 Wydział Oświaty i Wychowania</t>
  </si>
  <si>
    <t>1.6 Wydział Spraw Społecznych</t>
  </si>
  <si>
    <t>1.7 Wydział Strategii i Rozwoju</t>
  </si>
  <si>
    <t>Dotacje celowe z budżetu państwa na zadania z zakresu administracji rządowej</t>
  </si>
  <si>
    <t>rozdz. 92605 - Zadania w zakresie kultury fizycznej i sportu</t>
  </si>
  <si>
    <t>pomoc materialna dla uczniów 
w ramach Narodowego Programu Stypendialnego</t>
  </si>
  <si>
    <t>rozdz. 80146 - Dokształcanie 
i doskonalenie nauczycieli</t>
  </si>
  <si>
    <t>rezerwa celowa na finansowanie projektów współfinansowanych ze środków 
Unii Europejskiej</t>
  </si>
  <si>
    <t>rezerwa budżetowa</t>
  </si>
  <si>
    <t>inwestycje, z tego:</t>
  </si>
  <si>
    <t>wieloletni program "Pomoc państwa w zakresie dożywiania"</t>
  </si>
  <si>
    <t>prowadzenie profilaktycznej działalności informacyjnej i edukacyjnej 
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</si>
  <si>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zadania realizowane w ramach Gminnego Programu Profilaktyki 
i Rozwiązywania Problemów Alkoholowych, w tym:</t>
  </si>
  <si>
    <t>Wydatki na 2007 rok z późn. zm.
z tego ze środków:</t>
  </si>
  <si>
    <t>Wydatki na 2008 rok z późn. zm.
z tego ze środków:</t>
  </si>
  <si>
    <t>Wydatki na 2007 rok po zmianach
z tego ze środków:</t>
  </si>
  <si>
    <t>Wydatki na 2008 rok po zmianach
z tego ze środków:</t>
  </si>
  <si>
    <t>Łączne nakłady finansowe
po zmianach</t>
  </si>
  <si>
    <t>Zrealizowane nakłady finansowe
po zmianach</t>
  </si>
  <si>
    <t>termomodernizacja budynku Gimnazjum 
Nr 8 i 10</t>
  </si>
  <si>
    <t>Wydatki na 2007 rok po zmianach, 
z tego ze środków:</t>
  </si>
  <si>
    <t>Wydatki na 2008 rok po zmianach, 
z tego ze środków:</t>
  </si>
  <si>
    <t>Wydatki na 2006 rok
ogółem
z późn. zm.</t>
  </si>
  <si>
    <t xml:space="preserve">
z tego ze środków:</t>
  </si>
  <si>
    <t>Wydatki na 2006 rok
ogółem
po zmianach</t>
  </si>
  <si>
    <t>z dnia 31 sierpnia 2006 roku</t>
  </si>
  <si>
    <t>dotacja celowa z budżetu państwa na dofinansowanie pracodawcom kosztów przygotowania zawodowego młodocianych pracowników</t>
  </si>
  <si>
    <t>dofinansowanie pracodawcom kosztów przygotowania zawodowego młodocianych pracowników</t>
  </si>
  <si>
    <t>Nadzór budowlany</t>
  </si>
  <si>
    <t>Wynagrodzenia osobowe członków korpusu służby cywilnej</t>
  </si>
  <si>
    <t>Promocja jednostek samorządu terytorialnego</t>
  </si>
  <si>
    <t>promocja miasta</t>
  </si>
  <si>
    <t>Pozostałe zadania w zakresie kultury</t>
  </si>
  <si>
    <t>realizacja projektu "Stereotypy a Rzeczywistość"</t>
  </si>
  <si>
    <t>system monitoringu w mieście</t>
  </si>
  <si>
    <t>w tym: inwestycje - system monitoringu w mieście</t>
  </si>
  <si>
    <t>1.1 Wydział Bezpieczeństwa Mieszkańców i Zarządzania Kryzysowego</t>
  </si>
  <si>
    <t>odszkodowania</t>
  </si>
  <si>
    <t>Kary i odszkodowania wypłacane na rzecz osób prawnych i innych jednostek organizacyjnych</t>
  </si>
  <si>
    <t>obwodnica miejska od węzła al. Tysiąclecia - ul. Hutnicza do ul. Mełgiewskiej</t>
  </si>
  <si>
    <t>Szkoła Podstawowa nr 52 w os. Felin</t>
  </si>
  <si>
    <t xml:space="preserve">mur oporowy oddzielający boisko II LO im. Zamoyskiego od posesji Starostwa Powiatowego przy ul. Spokojnej </t>
  </si>
  <si>
    <t>dokumentacja przyszłościowa</t>
  </si>
  <si>
    <t xml:space="preserve">składowisko odpadów komunalnych w Rokitnie zad. 1 </t>
  </si>
  <si>
    <t>w tym: inwestycje - rezerwa celowa na finansowanie projektów współfinansowanych ze środków Unii Europejskiej</t>
  </si>
  <si>
    <t>Rezerwy na inwestycje i zakupy inwestycyjne</t>
  </si>
  <si>
    <t>obwodnica miejska od węzła al. Tysiąclecia - 
ul. Hutnicza do ul. Mełgiewskiej</t>
  </si>
  <si>
    <t>przebudowa al. Tysiąclecia na odcinku od ronda Dmowskiego do wiaduktu Hutnicza-Łęczyńska wraz z remontem mostu na rzece Bystrzycy oraz budowa wiaduktu nad al. Tysiąclecia, budowa lewej jezdni ul. Graffa</t>
  </si>
  <si>
    <t>składowisko odpadów komunalnych w Rokitnie zad. 1</t>
  </si>
  <si>
    <t>prace związane z budową systemu odgazowania wysypiska z gospodarczym wykorzystaniem ujmowanego biogazu</t>
  </si>
  <si>
    <t>Przedszkole nr 5</t>
  </si>
  <si>
    <t>Przedszkole nr 7</t>
  </si>
  <si>
    <t>Przedszkole nr 9</t>
  </si>
  <si>
    <t>Przedszkole nr 12</t>
  </si>
  <si>
    <t>Przedszkole nr 13</t>
  </si>
  <si>
    <t>Przedszkole nr 14</t>
  </si>
  <si>
    <t>Przedszkole nr 15</t>
  </si>
  <si>
    <t>Przedszkole nr 18</t>
  </si>
  <si>
    <t>Przedszkole nr 58</t>
  </si>
  <si>
    <t>Przedszkole nr 59</t>
  </si>
  <si>
    <t>§ 4280</t>
  </si>
  <si>
    <t xml:space="preserve">Zakup </t>
  </si>
  <si>
    <t>zdrowotnych</t>
  </si>
  <si>
    <t>Przedszkole nr 25</t>
  </si>
  <si>
    <t>Przedszkole nr 28</t>
  </si>
  <si>
    <t>Przedszkole nr 31</t>
  </si>
  <si>
    <t>Przedszkole nr 32</t>
  </si>
  <si>
    <t>Przedszkole nr 37</t>
  </si>
  <si>
    <t>Przedszkole nr 45</t>
  </si>
  <si>
    <t>Przedszkole nr 47</t>
  </si>
  <si>
    <t>Przedszkole nr 48</t>
  </si>
  <si>
    <t>Przedszkole nr 54</t>
  </si>
  <si>
    <t>Przedszkole nr 56</t>
  </si>
  <si>
    <t>Przedszkole nr 70</t>
  </si>
  <si>
    <t>Przedszkole nr 72</t>
  </si>
  <si>
    <t>Przedszkole nr 73</t>
  </si>
  <si>
    <t>Przedszkole nr 79</t>
  </si>
  <si>
    <t>Przedszkole nr 81</t>
  </si>
  <si>
    <t>Dotacje podmiotowe z budżetu dla publicznej jednostki systemu oświaty prowadzonej przez osobę prawną inną niż jednostka samorządu terytorialnego oraz przez osobę fizyczną</t>
  </si>
  <si>
    <t xml:space="preserve">dotacje dla publicznych i niepublicznych szkół zawodowych </t>
  </si>
  <si>
    <t>Centra kształcenia ustawicznego i praktycznego oraz ośrodki dokształcania zawodowego</t>
  </si>
  <si>
    <t>Zakup usług remontowych - remonty obiektów</t>
  </si>
  <si>
    <t>remonty obiektów</t>
  </si>
  <si>
    <t>rezerwa celowa na uruchomienie od 1 września 2006 roku nowych segmentów w szkołach</t>
  </si>
  <si>
    <t>Gimnazjum Śródziemnomorskie; Dorota Gołębiowska, Zemborzyce Wojciechowskie 27a, 20-515 Lublin</t>
  </si>
  <si>
    <t>Prywatne Gimnazjum im. Królowej Jadwigi; Grzegorz Szymczak, ul. Wokulskiego 7, 20-716 Lublin</t>
  </si>
  <si>
    <t>Zespół Szkół im. św. St. Kostki; Archidiecezja Lubelska,                                                                        ul. Prymasa Stefana Wyszyńskiego 2, 20-950 Lublin</t>
  </si>
  <si>
    <t>Katolickie Liceum Ogólnokształcące im. św. Teresy; Katolickie Stowarzyszenie Oświatowe im. św. Teresy, ul. Krochmalna 47, 20-402 Lublin</t>
  </si>
  <si>
    <t>Prywatne Liceum Ogólnokształcące im. J. Czapskiego; Andrzej Niewczas, ul. Medalionów 18/93, 20-468 Lublin</t>
  </si>
  <si>
    <t>zwiększanie dostępności pomocy terapeutycznej i rehabilitacyjnej dla osób uzależnionych od alkoholu</t>
  </si>
  <si>
    <t>pokrycie kosztów obsługi realizowanych zadań</t>
  </si>
  <si>
    <t>realizacja projektu "Lublin Miasto Wiedzy"</t>
  </si>
  <si>
    <t>zakupy inwestycyjne w ramach projektu "Lublin Miasto Wiedzy"</t>
  </si>
  <si>
    <t>2006-2007</t>
  </si>
  <si>
    <t>Szkoła Podstawowa nr 6</t>
  </si>
  <si>
    <t>Szkoła Podstawowa nr 22</t>
  </si>
  <si>
    <t>Przedszkole nr 36</t>
  </si>
  <si>
    <t>Przedszkole nr 52</t>
  </si>
  <si>
    <t xml:space="preserve">Zakup usług remontowych - remonty obiektów </t>
  </si>
  <si>
    <t>Zakup usług remontowych - remont obiektu</t>
  </si>
  <si>
    <t>Bursa Szkolna nr 3</t>
  </si>
  <si>
    <t>rozdz. 85403 - Specjalne ośrodki szkolno-wychowawcze</t>
  </si>
  <si>
    <t>Specjalny Ośrodek Szkolno-Wychowawczy nr 2</t>
  </si>
  <si>
    <t>remont obiektu</t>
  </si>
  <si>
    <t>Zakup usług remontowych - remonty obiektów użytkowanych przez Urząd Miasta</t>
  </si>
  <si>
    <t>przystosowanie Ratusza do wymogów przepisów przeciwpożarowych oraz dla osób niepełnosprawnych</t>
  </si>
  <si>
    <t>remonty obiektów użytkowanych przez Urząd Miasta</t>
  </si>
  <si>
    <t>Dochody powiatu ogółem, z tego:</t>
  </si>
  <si>
    <t>modernizacja budynków mieszkalnych DPS im. Matki Teresy z Kalkuty</t>
  </si>
  <si>
    <t>Wydatki na 2006 rok z późn. zm., 
z tego ze środków:</t>
  </si>
  <si>
    <t>Wydatki na 2007 rok z późn. zm., 
z tego ze środków:</t>
  </si>
  <si>
    <t>Wydatki na 2008 rok z późn. zm., 
z tego ze środków:</t>
  </si>
  <si>
    <t>1.2 Wydział Geodezji i Gospodarki Nieruchomościami</t>
  </si>
  <si>
    <t>1.3 Wydział Organizacyjny</t>
  </si>
  <si>
    <t>1.4 Wydział Oświaty i Wychowania</t>
  </si>
  <si>
    <t>Domy i ośrodki kultury, świetlice i kluby</t>
  </si>
  <si>
    <t>1.5 Wydział Spraw Społecznych</t>
  </si>
  <si>
    <t>1.6 Wydział Strategii i Rozwoju</t>
  </si>
  <si>
    <t xml:space="preserve">1.7 Kancelaria Prezydenta Miasta </t>
  </si>
  <si>
    <t>2. Straż Miejska</t>
  </si>
  <si>
    <t>do zarządzenia nr 392/2006</t>
  </si>
  <si>
    <t xml:space="preserve">w tym: remonty </t>
  </si>
  <si>
    <t>w tym: wynagrodzenia</t>
  </si>
  <si>
    <t>w tym: remont y</t>
  </si>
  <si>
    <t>Wydatki                                                                                                                               (nazwa działu, rozdziału, zadania)</t>
  </si>
  <si>
    <t>termomodernizacja budynków Zespołu Szkół Elektronicznych przy ul. Wojciechowskiej 38</t>
  </si>
  <si>
    <t>II Liceum Ogólnokształcące</t>
  </si>
  <si>
    <t>V Liceum Ogólnokształcące</t>
  </si>
  <si>
    <t>IX Liceum Ogólnokształcące</t>
  </si>
  <si>
    <t>Gimnazjum nr 7</t>
  </si>
  <si>
    <t>Gimnazjum nr 14</t>
  </si>
  <si>
    <t>Zespół Szkół Energetycznych</t>
  </si>
  <si>
    <t xml:space="preserve">Zespół Szkół Transportowo - Komunikacyjnych </t>
  </si>
  <si>
    <t>Gimnazjum nr 19</t>
  </si>
  <si>
    <t>Dotacje celowe otrzymane z budżetu państwa na zadania bieżące             z zakresu administracji rządowej oraz inne zadania zlecone ustawami realizowane przez powiat</t>
  </si>
  <si>
    <t>dotacja celowa z budżetu państwa na finansowanie zadań bieżących      z zakresu gospodarki nieruchomościami</t>
  </si>
  <si>
    <t>Dotacje celowe otrzymane z budżetu państwa na zadania bieżące          z zakresu administracji rządowej oraz inne zadania zlecone ustawami realizowane przez powiat</t>
  </si>
  <si>
    <t>Dotacje celowe otrzymane z budżetu państwa na zadania bieżące           z zakresu administracji rządowej oraz inne zadania zlecone ustawami realizowane przez powiat</t>
  </si>
  <si>
    <t>Aministracja publiczna</t>
  </si>
  <si>
    <t>utworzenie trwałej sieci współpracy przez opracowanie wizji i strategii Lublina jako Miasta Wiedzy w celu zintensyfikowania transferu wiedzy pomiędzy środowiskami uczestniczącymi w projekcie</t>
  </si>
  <si>
    <t>Z-ca Dyrektora Wydziału Finansowego</t>
  </si>
  <si>
    <t>PREZYDENT</t>
  </si>
  <si>
    <t>Miasta Lublin</t>
  </si>
  <si>
    <t>Andrzej Pruszkowski</t>
  </si>
  <si>
    <t>Z up. Skarbnika Miasta Lublin</t>
  </si>
  <si>
    <t>mgr Mirosława Puton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</si>
</sst>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sz val="13"/>
      <name val="Arial CE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ashDotDot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ashDot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double"/>
    </border>
    <border>
      <left style="thick"/>
      <right style="thick"/>
      <top style="double"/>
      <bottom style="medium"/>
    </border>
    <border>
      <left style="thick"/>
      <right style="thick"/>
      <top style="thin"/>
      <bottom style="thin"/>
    </border>
    <border>
      <left style="thick"/>
      <right style="thick"/>
      <top style="dotted"/>
      <bottom style="dotted"/>
    </border>
    <border>
      <left style="thick"/>
      <right style="thick"/>
      <top style="thin"/>
      <bottom style="medium"/>
    </border>
    <border>
      <left style="double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3" fontId="13" fillId="0" borderId="1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5" fillId="4" borderId="16" xfId="0" applyNumberFormat="1" applyFont="1" applyFill="1" applyBorder="1" applyAlignment="1">
      <alignment wrapText="1"/>
    </xf>
    <xf numFmtId="3" fontId="15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5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3" fontId="13" fillId="2" borderId="15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12" fillId="0" borderId="13" xfId="0" applyFont="1" applyBorder="1" applyAlignment="1">
      <alignment vertical="top"/>
    </xf>
    <xf numFmtId="3" fontId="14" fillId="0" borderId="13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4" fillId="4" borderId="13" xfId="0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3" fontId="15" fillId="4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 wrapText="1"/>
    </xf>
    <xf numFmtId="3" fontId="15" fillId="0" borderId="16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5" fillId="4" borderId="1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3" fillId="0" borderId="1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12" fillId="3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18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3" fillId="3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3" borderId="24" xfId="0" applyFont="1" applyFill="1" applyBorder="1" applyAlignment="1">
      <alignment/>
    </xf>
    <xf numFmtId="3" fontId="14" fillId="4" borderId="1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3" borderId="15" xfId="0" applyNumberFormat="1" applyFont="1" applyFill="1" applyBorder="1" applyAlignment="1">
      <alignment horizontal="right" wrapText="1"/>
    </xf>
    <xf numFmtId="0" fontId="13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4" borderId="16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wrapText="1"/>
    </xf>
    <xf numFmtId="0" fontId="13" fillId="2" borderId="29" xfId="0" applyFont="1" applyFill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3" fontId="15" fillId="4" borderId="16" xfId="0" applyNumberFormat="1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 wrapText="1"/>
    </xf>
    <xf numFmtId="3" fontId="13" fillId="2" borderId="29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0" fontId="13" fillId="4" borderId="30" xfId="0" applyFont="1" applyFill="1" applyBorder="1" applyAlignment="1">
      <alignment horizontal="right"/>
    </xf>
    <xf numFmtId="3" fontId="13" fillId="4" borderId="30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0" fontId="13" fillId="4" borderId="31" xfId="0" applyFont="1" applyFill="1" applyBorder="1" applyAlignment="1">
      <alignment/>
    </xf>
    <xf numFmtId="3" fontId="13" fillId="4" borderId="31" xfId="0" applyNumberFormat="1" applyFont="1" applyFill="1" applyBorder="1" applyAlignment="1">
      <alignment horizontal="right"/>
    </xf>
    <xf numFmtId="0" fontId="15" fillId="4" borderId="32" xfId="0" applyFont="1" applyFill="1" applyBorder="1" applyAlignment="1">
      <alignment/>
    </xf>
    <xf numFmtId="3" fontId="15" fillId="4" borderId="32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wrapText="1"/>
    </xf>
    <xf numFmtId="3" fontId="15" fillId="3" borderId="16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/>
    </xf>
    <xf numFmtId="3" fontId="13" fillId="2" borderId="27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horizontal="right"/>
    </xf>
    <xf numFmtId="0" fontId="13" fillId="3" borderId="27" xfId="0" applyFont="1" applyFill="1" applyBorder="1" applyAlignment="1">
      <alignment/>
    </xf>
    <xf numFmtId="3" fontId="13" fillId="3" borderId="27" xfId="0" applyNumberFormat="1" applyFont="1" applyFill="1" applyBorder="1" applyAlignment="1">
      <alignment horizontal="right"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/>
    </xf>
    <xf numFmtId="3" fontId="12" fillId="4" borderId="15" xfId="0" applyNumberFormat="1" applyFont="1" applyFill="1" applyBorder="1" applyAlignment="1">
      <alignment wrapText="1"/>
    </xf>
    <xf numFmtId="0" fontId="13" fillId="6" borderId="13" xfId="0" applyFont="1" applyFill="1" applyBorder="1" applyAlignment="1">
      <alignment/>
    </xf>
    <xf numFmtId="0" fontId="15" fillId="6" borderId="16" xfId="0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0" fontId="15" fillId="4" borderId="31" xfId="0" applyFont="1" applyFill="1" applyBorder="1" applyAlignment="1">
      <alignment horizontal="left"/>
    </xf>
    <xf numFmtId="3" fontId="15" fillId="4" borderId="31" xfId="0" applyNumberFormat="1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3" borderId="30" xfId="0" applyNumberFormat="1" applyFont="1" applyFill="1" applyBorder="1" applyAlignment="1">
      <alignment horizontal="righ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2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30" xfId="0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3" borderId="13" xfId="0" applyFont="1" applyFill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wrapText="1"/>
    </xf>
    <xf numFmtId="3" fontId="21" fillId="3" borderId="1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/>
    </xf>
    <xf numFmtId="0" fontId="10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13" xfId="0" applyFont="1" applyFill="1" applyBorder="1" applyAlignment="1">
      <alignment wrapText="1"/>
    </xf>
    <xf numFmtId="3" fontId="13" fillId="2" borderId="34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5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6" fillId="4" borderId="3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4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3" fontId="0" fillId="4" borderId="39" xfId="0" applyNumberFormat="1" applyFont="1" applyFill="1" applyBorder="1" applyAlignment="1">
      <alignment/>
    </xf>
    <xf numFmtId="3" fontId="0" fillId="4" borderId="40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4" borderId="7" xfId="0" applyNumberFormat="1" applyFont="1" applyFill="1" applyBorder="1" applyAlignment="1">
      <alignment/>
    </xf>
    <xf numFmtId="3" fontId="15" fillId="4" borderId="41" xfId="0" applyNumberFormat="1" applyFont="1" applyFill="1" applyBorder="1" applyAlignment="1">
      <alignment/>
    </xf>
    <xf numFmtId="3" fontId="15" fillId="4" borderId="16" xfId="0" applyNumberFormat="1" applyFont="1" applyFill="1" applyBorder="1" applyAlignment="1">
      <alignment/>
    </xf>
    <xf numFmtId="3" fontId="15" fillId="4" borderId="28" xfId="0" applyNumberFormat="1" applyFont="1" applyFill="1" applyBorder="1" applyAlignment="1">
      <alignment/>
    </xf>
    <xf numFmtId="1" fontId="13" fillId="3" borderId="42" xfId="0" applyNumberFormat="1" applyFont="1" applyFill="1" applyBorder="1" applyAlignment="1">
      <alignment/>
    </xf>
    <xf numFmtId="3" fontId="13" fillId="3" borderId="42" xfId="0" applyNumberFormat="1" applyFont="1" applyFill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44" xfId="0" applyNumberFormat="1" applyFont="1" applyBorder="1" applyAlignment="1">
      <alignment wrapText="1"/>
    </xf>
    <xf numFmtId="3" fontId="13" fillId="0" borderId="45" xfId="0" applyNumberFormat="1" applyFont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3" fontId="13" fillId="0" borderId="46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23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7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3" fontId="13" fillId="2" borderId="17" xfId="0" applyNumberFormat="1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left" wrapText="1"/>
    </xf>
    <xf numFmtId="3" fontId="13" fillId="3" borderId="17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0" fillId="3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15" fillId="4" borderId="15" xfId="0" applyFont="1" applyFill="1" applyBorder="1" applyAlignment="1">
      <alignment/>
    </xf>
    <xf numFmtId="0" fontId="15" fillId="3" borderId="0" xfId="0" applyFont="1" applyFill="1" applyAlignment="1">
      <alignment/>
    </xf>
    <xf numFmtId="0" fontId="15" fillId="4" borderId="17" xfId="0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2" borderId="49" xfId="0" applyFont="1" applyFill="1" applyBorder="1" applyAlignment="1">
      <alignment wrapText="1"/>
    </xf>
    <xf numFmtId="3" fontId="13" fillId="0" borderId="29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13" fillId="2" borderId="15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53" xfId="0" applyFont="1" applyFill="1" applyBorder="1" applyAlignment="1">
      <alignment wrapText="1"/>
    </xf>
    <xf numFmtId="3" fontId="10" fillId="0" borderId="5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4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4" borderId="2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2" fillId="0" borderId="15" xfId="0" applyFont="1" applyBorder="1" applyAlignment="1">
      <alignment vertical="top"/>
    </xf>
    <xf numFmtId="3" fontId="23" fillId="0" borderId="16" xfId="0" applyNumberFormat="1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5" xfId="0" applyNumberFormat="1" applyFont="1" applyFill="1" applyBorder="1" applyAlignment="1">
      <alignment horizontal="right"/>
    </xf>
    <xf numFmtId="0" fontId="0" fillId="0" borderId="2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56" xfId="0" applyNumberFormat="1" applyFont="1" applyFill="1" applyBorder="1" applyAlignment="1">
      <alignment horizontal="right"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13" fillId="0" borderId="57" xfId="0" applyNumberFormat="1" applyFont="1" applyBorder="1" applyAlignment="1">
      <alignment/>
    </xf>
    <xf numFmtId="3" fontId="13" fillId="0" borderId="58" xfId="0" applyNumberFormat="1" applyFont="1" applyBorder="1" applyAlignment="1">
      <alignment wrapText="1"/>
    </xf>
    <xf numFmtId="3" fontId="13" fillId="0" borderId="59" xfId="0" applyNumberFormat="1" applyFont="1" applyBorder="1" applyAlignment="1">
      <alignment wrapText="1"/>
    </xf>
    <xf numFmtId="3" fontId="13" fillId="0" borderId="60" xfId="0" applyNumberFormat="1" applyFont="1" applyBorder="1" applyAlignment="1">
      <alignment wrapText="1"/>
    </xf>
    <xf numFmtId="3" fontId="13" fillId="0" borderId="57" xfId="0" applyNumberFormat="1" applyFont="1" applyBorder="1" applyAlignment="1">
      <alignment wrapText="1"/>
    </xf>
    <xf numFmtId="3" fontId="13" fillId="0" borderId="61" xfId="0" applyNumberFormat="1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3" fontId="0" fillId="0" borderId="21" xfId="0" applyNumberFormat="1" applyFont="1" applyBorder="1" applyAlignment="1">
      <alignment horizontal="right" wrapText="1"/>
    </xf>
    <xf numFmtId="0" fontId="12" fillId="0" borderId="55" xfId="0" applyFont="1" applyBorder="1" applyAlignment="1">
      <alignment/>
    </xf>
    <xf numFmtId="3" fontId="12" fillId="0" borderId="55" xfId="0" applyNumberFormat="1" applyFont="1" applyBorder="1" applyAlignment="1">
      <alignment/>
    </xf>
    <xf numFmtId="0" fontId="13" fillId="2" borderId="27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3" fontId="12" fillId="0" borderId="27" xfId="0" applyNumberFormat="1" applyFont="1" applyFill="1" applyBorder="1" applyAlignment="1">
      <alignment wrapText="1"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62" xfId="0" applyNumberFormat="1" applyFont="1" applyFill="1" applyBorder="1" applyAlignment="1">
      <alignment horizontal="left"/>
    </xf>
    <xf numFmtId="3" fontId="13" fillId="4" borderId="4" xfId="15" applyNumberFormat="1" applyFont="1" applyFill="1" applyBorder="1" applyAlignment="1">
      <alignment horizontal="center"/>
    </xf>
    <xf numFmtId="3" fontId="13" fillId="4" borderId="63" xfId="15" applyNumberFormat="1" applyFont="1" applyFill="1" applyBorder="1" applyAlignment="1">
      <alignment horizontal="center"/>
    </xf>
    <xf numFmtId="3" fontId="0" fillId="4" borderId="64" xfId="0" applyNumberFormat="1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65" xfId="0" applyNumberFormat="1" applyFont="1" applyFill="1" applyBorder="1" applyAlignment="1">
      <alignment horizontal="center"/>
    </xf>
    <xf numFmtId="3" fontId="17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7" fillId="4" borderId="13" xfId="0" applyNumberFormat="1" applyFont="1" applyFill="1" applyBorder="1" applyAlignment="1">
      <alignment horizontal="center"/>
    </xf>
    <xf numFmtId="3" fontId="0" fillId="4" borderId="65" xfId="0" applyNumberFormat="1" applyFont="1" applyFill="1" applyBorder="1" applyAlignment="1">
      <alignment horizontal="left"/>
    </xf>
    <xf numFmtId="3" fontId="0" fillId="4" borderId="27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66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67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68" xfId="0" applyNumberFormat="1" applyFont="1" applyFill="1" applyBorder="1" applyAlignment="1">
      <alignment horizontal="center" vertical="center"/>
    </xf>
    <xf numFmtId="3" fontId="15" fillId="4" borderId="69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70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13" fillId="4" borderId="71" xfId="0" applyNumberFormat="1" applyFont="1" applyFill="1" applyBorder="1" applyAlignment="1">
      <alignment horizontal="left" vertical="center" wrapText="1"/>
    </xf>
    <xf numFmtId="3" fontId="0" fillId="6" borderId="70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0" fillId="4" borderId="69" xfId="0" applyNumberFormat="1" applyFont="1" applyFill="1" applyBorder="1" applyAlignment="1">
      <alignment vertical="center" wrapText="1"/>
    </xf>
    <xf numFmtId="3" fontId="13" fillId="4" borderId="72" xfId="0" applyNumberFormat="1" applyFont="1" applyFill="1" applyBorder="1" applyAlignment="1">
      <alignment horizontal="left" vertical="center" wrapText="1"/>
    </xf>
    <xf numFmtId="0" fontId="13" fillId="4" borderId="72" xfId="0" applyFont="1" applyFill="1" applyBorder="1" applyAlignment="1">
      <alignment vertical="center" wrapText="1"/>
    </xf>
    <xf numFmtId="0" fontId="13" fillId="4" borderId="72" xfId="0" applyNumberFormat="1" applyFont="1" applyFill="1" applyBorder="1" applyAlignment="1">
      <alignment vertical="center" wrapText="1"/>
    </xf>
    <xf numFmtId="0" fontId="15" fillId="4" borderId="73" xfId="0" applyNumberFormat="1" applyFont="1" applyFill="1" applyBorder="1" applyAlignment="1">
      <alignment vertical="center" wrapText="1"/>
    </xf>
    <xf numFmtId="0" fontId="15" fillId="4" borderId="69" xfId="0" applyNumberFormat="1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12" fillId="0" borderId="24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left"/>
    </xf>
    <xf numFmtId="3" fontId="13" fillId="3" borderId="17" xfId="0" applyNumberFormat="1" applyFont="1" applyFill="1" applyBorder="1" applyAlignment="1">
      <alignment horizontal="left"/>
    </xf>
    <xf numFmtId="3" fontId="12" fillId="3" borderId="25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/>
    </xf>
    <xf numFmtId="0" fontId="0" fillId="0" borderId="74" xfId="0" applyFont="1" applyBorder="1" applyAlignment="1">
      <alignment wrapText="1"/>
    </xf>
    <xf numFmtId="0" fontId="0" fillId="0" borderId="75" xfId="0" applyFont="1" applyBorder="1" applyAlignment="1">
      <alignment wrapText="1"/>
    </xf>
    <xf numFmtId="3" fontId="0" fillId="0" borderId="75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77" xfId="0" applyFont="1" applyBorder="1" applyAlignment="1">
      <alignment wrapText="1"/>
    </xf>
    <xf numFmtId="3" fontId="0" fillId="0" borderId="77" xfId="0" applyNumberFormat="1" applyFont="1" applyBorder="1" applyAlignment="1">
      <alignment horizontal="right" wrapText="1"/>
    </xf>
    <xf numFmtId="0" fontId="12" fillId="3" borderId="15" xfId="0" applyFont="1" applyFill="1" applyBorder="1" applyAlignment="1">
      <alignment/>
    </xf>
    <xf numFmtId="3" fontId="24" fillId="0" borderId="74" xfId="18" applyNumberFormat="1" applyFont="1" applyFill="1" applyBorder="1" applyAlignment="1">
      <alignment/>
      <protection/>
    </xf>
    <xf numFmtId="3" fontId="24" fillId="0" borderId="74" xfId="18" applyNumberFormat="1" applyFont="1" applyFill="1" applyBorder="1" applyAlignment="1">
      <alignment horizontal="right"/>
      <protection/>
    </xf>
    <xf numFmtId="3" fontId="24" fillId="0" borderId="0" xfId="18" applyNumberFormat="1" applyFont="1" applyBorder="1">
      <alignment/>
      <protection/>
    </xf>
    <xf numFmtId="3" fontId="26" fillId="0" borderId="0" xfId="18" applyNumberFormat="1" applyFont="1" applyBorder="1">
      <alignment/>
      <protection/>
    </xf>
    <xf numFmtId="3" fontId="19" fillId="0" borderId="0" xfId="18" applyNumberFormat="1" applyFont="1" applyBorder="1">
      <alignment/>
      <protection/>
    </xf>
    <xf numFmtId="0" fontId="0" fillId="0" borderId="17" xfId="0" applyFont="1" applyFill="1" applyBorder="1" applyAlignment="1">
      <alignment wrapText="1"/>
    </xf>
    <xf numFmtId="3" fontId="24" fillId="0" borderId="54" xfId="18" applyNumberFormat="1" applyFont="1" applyFill="1" applyBorder="1" applyAlignment="1">
      <alignment/>
      <protection/>
    </xf>
    <xf numFmtId="3" fontId="24" fillId="0" borderId="54" xfId="18" applyNumberFormat="1" applyFont="1" applyFill="1" applyBorder="1" applyAlignment="1">
      <alignment horizontal="center"/>
      <protection/>
    </xf>
    <xf numFmtId="3" fontId="24" fillId="0" borderId="54" xfId="18" applyNumberFormat="1" applyFont="1" applyFill="1" applyBorder="1" applyAlignment="1">
      <alignment horizontal="right"/>
      <protection/>
    </xf>
    <xf numFmtId="3" fontId="25" fillId="0" borderId="21" xfId="18" applyNumberFormat="1" applyFont="1" applyFill="1" applyBorder="1" applyAlignment="1">
      <alignment horizontal="right"/>
      <protection/>
    </xf>
    <xf numFmtId="3" fontId="19" fillId="0" borderId="0" xfId="18" applyNumberFormat="1" applyBorder="1" applyAlignment="1">
      <alignment vertical="center"/>
      <protection/>
    </xf>
    <xf numFmtId="3" fontId="12" fillId="0" borderId="15" xfId="0" applyNumberFormat="1" applyFont="1" applyBorder="1" applyAlignment="1">
      <alignment horizontal="right"/>
    </xf>
    <xf numFmtId="0" fontId="12" fillId="0" borderId="56" xfId="0" applyFont="1" applyBorder="1" applyAlignment="1">
      <alignment wrapText="1"/>
    </xf>
    <xf numFmtId="3" fontId="12" fillId="0" borderId="15" xfId="0" applyNumberFormat="1" applyFont="1" applyBorder="1" applyAlignment="1">
      <alignment horizontal="right" wrapText="1"/>
    </xf>
    <xf numFmtId="0" fontId="12" fillId="0" borderId="55" xfId="0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0" fillId="4" borderId="78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56" xfId="0" applyNumberFormat="1" applyFont="1" applyBorder="1" applyAlignment="1">
      <alignment wrapText="1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3" fontId="0" fillId="0" borderId="80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54" xfId="0" applyNumberFormat="1" applyFont="1" applyBorder="1" applyAlignment="1">
      <alignment wrapText="1"/>
    </xf>
    <xf numFmtId="0" fontId="0" fillId="0" borderId="81" xfId="0" applyFont="1" applyBorder="1" applyAlignment="1">
      <alignment/>
    </xf>
    <xf numFmtId="3" fontId="0" fillId="0" borderId="81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55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24" fillId="0" borderId="17" xfId="18" applyNumberFormat="1" applyFont="1" applyFill="1" applyBorder="1" applyAlignment="1">
      <alignment horizontal="right"/>
      <protection/>
    </xf>
    <xf numFmtId="0" fontId="13" fillId="4" borderId="82" xfId="0" applyFont="1" applyFill="1" applyBorder="1" applyAlignment="1">
      <alignment horizontal="center"/>
    </xf>
    <xf numFmtId="0" fontId="0" fillId="4" borderId="82" xfId="0" applyFont="1" applyFill="1" applyBorder="1" applyAlignment="1">
      <alignment horizontal="center"/>
    </xf>
    <xf numFmtId="0" fontId="0" fillId="4" borderId="83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6" fillId="0" borderId="0" xfId="18" applyNumberFormat="1" applyFont="1" applyBorder="1">
      <alignment/>
      <protection/>
    </xf>
    <xf numFmtId="3" fontId="29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82" xfId="0" applyNumberFormat="1" applyFont="1" applyFill="1" applyBorder="1" applyAlignment="1">
      <alignment horizontal="center"/>
    </xf>
    <xf numFmtId="3" fontId="17" fillId="4" borderId="82" xfId="0" applyNumberFormat="1" applyFont="1" applyFill="1" applyBorder="1" applyAlignment="1">
      <alignment horizontal="center"/>
    </xf>
    <xf numFmtId="3" fontId="7" fillId="4" borderId="82" xfId="0" applyNumberFormat="1" applyFont="1" applyFill="1" applyBorder="1" applyAlignment="1">
      <alignment horizontal="center"/>
    </xf>
    <xf numFmtId="3" fontId="7" fillId="4" borderId="83" xfId="0" applyNumberFormat="1" applyFont="1" applyFill="1" applyBorder="1" applyAlignment="1">
      <alignment horizontal="center"/>
    </xf>
    <xf numFmtId="3" fontId="17" fillId="4" borderId="83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49" xfId="0" applyNumberFormat="1" applyFont="1" applyFill="1" applyBorder="1" applyAlignment="1">
      <alignment horizontal="center"/>
    </xf>
    <xf numFmtId="3" fontId="13" fillId="4" borderId="5" xfId="15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wrapText="1"/>
    </xf>
    <xf numFmtId="3" fontId="0" fillId="4" borderId="24" xfId="0" applyNumberFormat="1" applyFont="1" applyFill="1" applyBorder="1" applyAlignment="1">
      <alignment horizontal="center"/>
    </xf>
    <xf numFmtId="3" fontId="0" fillId="4" borderId="70" xfId="0" applyNumberFormat="1" applyFont="1" applyFill="1" applyBorder="1" applyAlignment="1">
      <alignment vertical="center" wrapText="1"/>
    </xf>
    <xf numFmtId="3" fontId="0" fillId="4" borderId="70" xfId="0" applyNumberFormat="1" applyFont="1" applyFill="1" applyBorder="1" applyAlignment="1">
      <alignment horizontal="left" vertical="center" wrapText="1"/>
    </xf>
    <xf numFmtId="0" fontId="6" fillId="4" borderId="84" xfId="0" applyFont="1" applyFill="1" applyBorder="1" applyAlignment="1">
      <alignment horizontal="left" vertical="center" wrapText="1"/>
    </xf>
    <xf numFmtId="0" fontId="0" fillId="4" borderId="70" xfId="0" applyFont="1" applyFill="1" applyBorder="1" applyAlignment="1">
      <alignment vertical="center" wrapText="1"/>
    </xf>
    <xf numFmtId="3" fontId="0" fillId="4" borderId="0" xfId="0" applyNumberFormat="1" applyFont="1" applyFill="1" applyAlignment="1">
      <alignment wrapText="1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right" wrapText="1"/>
    </xf>
    <xf numFmtId="0" fontId="0" fillId="3" borderId="17" xfId="0" applyFont="1" applyFill="1" applyBorder="1" applyAlignment="1">
      <alignment horizontal="lef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0" fillId="0" borderId="17" xfId="0" applyFont="1" applyBorder="1" applyAlignment="1">
      <alignment wrapText="1"/>
    </xf>
    <xf numFmtId="3" fontId="12" fillId="0" borderId="55" xfId="0" applyNumberFormat="1" applyFont="1" applyBorder="1" applyAlignment="1">
      <alignment horizontal="right"/>
    </xf>
    <xf numFmtId="0" fontId="15" fillId="4" borderId="32" xfId="0" applyFont="1" applyFill="1" applyBorder="1" applyAlignment="1">
      <alignment wrapText="1"/>
    </xf>
    <xf numFmtId="3" fontId="13" fillId="3" borderId="16" xfId="0" applyNumberFormat="1" applyFont="1" applyFill="1" applyBorder="1" applyAlignment="1">
      <alignment horizontal="right"/>
    </xf>
    <xf numFmtId="0" fontId="15" fillId="4" borderId="30" xfId="0" applyFont="1" applyFill="1" applyBorder="1" applyAlignment="1">
      <alignment wrapText="1"/>
    </xf>
    <xf numFmtId="3" fontId="15" fillId="0" borderId="30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/>
    </xf>
    <xf numFmtId="0" fontId="13" fillId="2" borderId="27" xfId="0" applyFont="1" applyFill="1" applyBorder="1" applyAlignment="1">
      <alignment horizontal="left" wrapText="1"/>
    </xf>
    <xf numFmtId="3" fontId="15" fillId="4" borderId="15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/>
    </xf>
    <xf numFmtId="3" fontId="13" fillId="4" borderId="42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wrapText="1"/>
    </xf>
    <xf numFmtId="3" fontId="15" fillId="4" borderId="1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wrapText="1"/>
    </xf>
    <xf numFmtId="0" fontId="15" fillId="0" borderId="53" xfId="0" applyFont="1" applyBorder="1" applyAlignment="1">
      <alignment wrapText="1"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85" xfId="0" applyNumberFormat="1" applyFont="1" applyBorder="1" applyAlignment="1">
      <alignment wrapText="1"/>
    </xf>
    <xf numFmtId="3" fontId="0" fillId="0" borderId="86" xfId="0" applyNumberFormat="1" applyFont="1" applyBorder="1" applyAlignment="1">
      <alignment wrapText="1"/>
    </xf>
    <xf numFmtId="3" fontId="0" fillId="0" borderId="87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horizontal="right"/>
    </xf>
    <xf numFmtId="0" fontId="0" fillId="3" borderId="22" xfId="0" applyFont="1" applyFill="1" applyBorder="1" applyAlignment="1">
      <alignment/>
    </xf>
    <xf numFmtId="3" fontId="10" fillId="0" borderId="1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3" fontId="0" fillId="4" borderId="17" xfId="15" applyNumberFormat="1" applyFont="1" applyFill="1" applyBorder="1" applyAlignment="1">
      <alignment horizontal="right"/>
    </xf>
    <xf numFmtId="3" fontId="13" fillId="4" borderId="46" xfId="0" applyNumberFormat="1" applyFont="1" applyFill="1" applyBorder="1" applyAlignment="1">
      <alignment horizontal="right"/>
    </xf>
    <xf numFmtId="3" fontId="13" fillId="4" borderId="42" xfId="15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31" xfId="0" applyNumberFormat="1" applyFont="1" applyFill="1" applyBorder="1" applyAlignment="1">
      <alignment/>
    </xf>
    <xf numFmtId="3" fontId="13" fillId="4" borderId="31" xfId="15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88" xfId="0" applyNumberFormat="1" applyFont="1" applyFill="1" applyBorder="1" applyAlignment="1">
      <alignment/>
    </xf>
    <xf numFmtId="3" fontId="13" fillId="4" borderId="89" xfId="0" applyNumberFormat="1" applyFont="1" applyFill="1" applyBorder="1" applyAlignment="1">
      <alignment/>
    </xf>
    <xf numFmtId="3" fontId="13" fillId="4" borderId="89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7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9" xfId="15" applyNumberFormat="1" applyFont="1" applyFill="1" applyBorder="1" applyAlignment="1">
      <alignment horizontal="right"/>
    </xf>
    <xf numFmtId="3" fontId="6" fillId="4" borderId="28" xfId="15" applyNumberFormat="1" applyFont="1" applyFill="1" applyBorder="1" applyAlignment="1">
      <alignment horizontal="right"/>
    </xf>
    <xf numFmtId="3" fontId="13" fillId="4" borderId="16" xfId="15" applyNumberFormat="1" applyFont="1" applyFill="1" applyBorder="1" applyAlignment="1">
      <alignment horizontal="right"/>
    </xf>
    <xf numFmtId="3" fontId="13" fillId="4" borderId="89" xfId="0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3" fontId="13" fillId="4" borderId="57" xfId="0" applyNumberFormat="1" applyFont="1" applyFill="1" applyBorder="1" applyAlignment="1">
      <alignment horizontal="right"/>
    </xf>
    <xf numFmtId="3" fontId="15" fillId="4" borderId="15" xfId="15" applyNumberFormat="1" applyFont="1" applyFill="1" applyBorder="1" applyAlignment="1">
      <alignment horizontal="right"/>
    </xf>
    <xf numFmtId="3" fontId="0" fillId="4" borderId="17" xfId="0" applyNumberFormat="1" applyFont="1" applyFill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1" fontId="13" fillId="0" borderId="17" xfId="0" applyNumberFormat="1" applyFont="1" applyBorder="1" applyAlignment="1">
      <alignment/>
    </xf>
    <xf numFmtId="3" fontId="13" fillId="0" borderId="15" xfId="0" applyNumberFormat="1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3" fontId="13" fillId="0" borderId="79" xfId="0" applyNumberFormat="1" applyFont="1" applyBorder="1" applyAlignment="1">
      <alignment wrapText="1"/>
    </xf>
    <xf numFmtId="3" fontId="13" fillId="0" borderId="80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3" fillId="0" borderId="54" xfId="0" applyNumberFormat="1" applyFont="1" applyBorder="1" applyAlignment="1">
      <alignment wrapText="1"/>
    </xf>
    <xf numFmtId="0" fontId="6" fillId="0" borderId="9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5" fillId="3" borderId="91" xfId="0" applyFont="1" applyFill="1" applyBorder="1" applyAlignment="1">
      <alignment horizontal="left" wrapText="1"/>
    </xf>
    <xf numFmtId="3" fontId="15" fillId="3" borderId="16" xfId="0" applyNumberFormat="1" applyFont="1" applyFill="1" applyBorder="1" applyAlignment="1">
      <alignment horizontal="right" wrapText="1"/>
    </xf>
    <xf numFmtId="1" fontId="13" fillId="3" borderId="31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 wrapText="1"/>
    </xf>
    <xf numFmtId="3" fontId="13" fillId="0" borderId="92" xfId="0" applyNumberFormat="1" applyFont="1" applyBorder="1" applyAlignment="1">
      <alignment wrapText="1"/>
    </xf>
    <xf numFmtId="3" fontId="13" fillId="0" borderId="93" xfId="0" applyNumberFormat="1" applyFont="1" applyBorder="1" applyAlignment="1">
      <alignment wrapText="1"/>
    </xf>
    <xf numFmtId="3" fontId="13" fillId="0" borderId="94" xfId="0" applyNumberFormat="1" applyFont="1" applyBorder="1" applyAlignment="1">
      <alignment wrapText="1"/>
    </xf>
    <xf numFmtId="3" fontId="13" fillId="0" borderId="31" xfId="0" applyNumberFormat="1" applyFont="1" applyBorder="1" applyAlignment="1">
      <alignment wrapText="1"/>
    </xf>
    <xf numFmtId="3" fontId="13" fillId="0" borderId="95" xfId="0" applyNumberFormat="1" applyFont="1" applyBorder="1" applyAlignment="1">
      <alignment wrapText="1"/>
    </xf>
    <xf numFmtId="3" fontId="0" fillId="0" borderId="76" xfId="0" applyNumberFormat="1" applyFont="1" applyBorder="1" applyAlignment="1">
      <alignment wrapText="1"/>
    </xf>
    <xf numFmtId="3" fontId="0" fillId="0" borderId="96" xfId="0" applyNumberFormat="1" applyFont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Border="1" applyAlignment="1">
      <alignment wrapText="1"/>
    </xf>
    <xf numFmtId="3" fontId="0" fillId="0" borderId="99" xfId="0" applyNumberFormat="1" applyFont="1" applyBorder="1" applyAlignment="1">
      <alignment wrapText="1"/>
    </xf>
    <xf numFmtId="0" fontId="12" fillId="3" borderId="17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15" fillId="0" borderId="15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1" fontId="13" fillId="3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00" xfId="0" applyNumberFormat="1" applyFont="1" applyBorder="1" applyAlignment="1">
      <alignment wrapText="1"/>
    </xf>
    <xf numFmtId="3" fontId="12" fillId="0" borderId="101" xfId="0" applyNumberFormat="1" applyFont="1" applyBorder="1" applyAlignment="1">
      <alignment horizontal="right"/>
    </xf>
    <xf numFmtId="3" fontId="12" fillId="4" borderId="101" xfId="0" applyNumberFormat="1" applyFont="1" applyFill="1" applyBorder="1" applyAlignment="1">
      <alignment/>
    </xf>
    <xf numFmtId="3" fontId="12" fillId="0" borderId="55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2" fillId="4" borderId="56" xfId="0" applyNumberFormat="1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2" fillId="4" borderId="15" xfId="0" applyFont="1" applyFill="1" applyBorder="1" applyAlignment="1">
      <alignment/>
    </xf>
    <xf numFmtId="1" fontId="13" fillId="0" borderId="13" xfId="0" applyNumberFormat="1" applyFont="1" applyBorder="1" applyAlignment="1">
      <alignment/>
    </xf>
    <xf numFmtId="3" fontId="13" fillId="0" borderId="24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102" xfId="0" applyNumberFormat="1" applyFont="1" applyBorder="1" applyAlignment="1">
      <alignment wrapText="1"/>
    </xf>
    <xf numFmtId="3" fontId="0" fillId="0" borderId="103" xfId="0" applyNumberFormat="1" applyFont="1" applyBorder="1" applyAlignment="1">
      <alignment wrapText="1"/>
    </xf>
    <xf numFmtId="3" fontId="0" fillId="0" borderId="104" xfId="0" applyNumberFormat="1" applyFont="1" applyBorder="1" applyAlignment="1">
      <alignment wrapText="1"/>
    </xf>
    <xf numFmtId="3" fontId="12" fillId="0" borderId="55" xfId="0" applyNumberFormat="1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105" xfId="0" applyNumberFormat="1" applyFont="1" applyBorder="1" applyAlignment="1">
      <alignment wrapText="1"/>
    </xf>
    <xf numFmtId="3" fontId="12" fillId="0" borderId="10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62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right" wrapText="1"/>
    </xf>
    <xf numFmtId="0" fontId="6" fillId="4" borderId="31" xfId="0" applyFont="1" applyFill="1" applyBorder="1" applyAlignment="1">
      <alignment wrapText="1"/>
    </xf>
    <xf numFmtId="0" fontId="6" fillId="4" borderId="31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right" wrapText="1"/>
    </xf>
    <xf numFmtId="1" fontId="6" fillId="0" borderId="17" xfId="0" applyNumberFormat="1" applyFont="1" applyBorder="1" applyAlignment="1">
      <alignment/>
    </xf>
    <xf numFmtId="3" fontId="17" fillId="0" borderId="17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right" wrapText="1"/>
    </xf>
    <xf numFmtId="1" fontId="8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12" fillId="3" borderId="25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4" borderId="4" xfId="15" applyNumberFormat="1" applyFont="1" applyFill="1" applyBorder="1" applyAlignment="1">
      <alignment horizontal="left"/>
    </xf>
    <xf numFmtId="3" fontId="0" fillId="4" borderId="107" xfId="0" applyNumberFormat="1" applyFont="1" applyFill="1" applyBorder="1" applyAlignment="1">
      <alignment horizontal="center"/>
    </xf>
    <xf numFmtId="3" fontId="17" fillId="4" borderId="65" xfId="0" applyNumberFormat="1" applyFont="1" applyFill="1" applyBorder="1" applyAlignment="1">
      <alignment horizontal="center"/>
    </xf>
    <xf numFmtId="3" fontId="17" fillId="4" borderId="108" xfId="0" applyNumberFormat="1" applyFont="1" applyFill="1" applyBorder="1" applyAlignment="1">
      <alignment horizontal="center"/>
    </xf>
    <xf numFmtId="3" fontId="0" fillId="4" borderId="8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center"/>
    </xf>
    <xf numFmtId="3" fontId="17" fillId="4" borderId="109" xfId="0" applyNumberFormat="1" applyFont="1" applyFill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3" fontId="12" fillId="0" borderId="56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4" borderId="24" xfId="0" applyNumberFormat="1" applyFont="1" applyFill="1" applyBorder="1" applyAlignment="1">
      <alignment horizontal="right"/>
    </xf>
    <xf numFmtId="3" fontId="0" fillId="4" borderId="88" xfId="0" applyNumberFormat="1" applyFont="1" applyFill="1" applyBorder="1" applyAlignment="1">
      <alignment horizontal="right"/>
    </xf>
    <xf numFmtId="3" fontId="13" fillId="2" borderId="34" xfId="0" applyNumberFormat="1" applyFont="1" applyFill="1" applyBorder="1" applyAlignment="1">
      <alignment horizontal="right" wrapText="1"/>
    </xf>
    <xf numFmtId="0" fontId="12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3" fontId="12" fillId="4" borderId="25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horizontal="right"/>
    </xf>
    <xf numFmtId="3" fontId="15" fillId="0" borderId="53" xfId="0" applyNumberFormat="1" applyFont="1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/>
    </xf>
    <xf numFmtId="0" fontId="13" fillId="2" borderId="17" xfId="0" applyFont="1" applyFill="1" applyBorder="1" applyAlignment="1">
      <alignment wrapText="1"/>
    </xf>
    <xf numFmtId="0" fontId="0" fillId="0" borderId="76" xfId="0" applyFont="1" applyBorder="1" applyAlignment="1">
      <alignment wrapText="1"/>
    </xf>
    <xf numFmtId="3" fontId="15" fillId="4" borderId="17" xfId="15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0" fontId="12" fillId="0" borderId="101" xfId="0" applyFont="1" applyBorder="1" applyAlignment="1">
      <alignment wrapText="1"/>
    </xf>
    <xf numFmtId="0" fontId="13" fillId="0" borderId="17" xfId="0" applyFont="1" applyFill="1" applyBorder="1" applyAlignment="1">
      <alignment wrapText="1"/>
    </xf>
    <xf numFmtId="3" fontId="0" fillId="0" borderId="21" xfId="0" applyNumberFormat="1" applyFont="1" applyBorder="1" applyAlignment="1">
      <alignment horizontal="right" wrapText="1"/>
    </xf>
    <xf numFmtId="0" fontId="12" fillId="0" borderId="21" xfId="0" applyFont="1" applyBorder="1" applyAlignment="1">
      <alignment wrapText="1"/>
    </xf>
    <xf numFmtId="0" fontId="12" fillId="0" borderId="21" xfId="0" applyFont="1" applyFill="1" applyBorder="1" applyAlignment="1">
      <alignment wrapText="1"/>
    </xf>
    <xf numFmtId="3" fontId="12" fillId="0" borderId="21" xfId="0" applyNumberFormat="1" applyFont="1" applyBorder="1" applyAlignment="1">
      <alignment horizontal="right" wrapText="1"/>
    </xf>
    <xf numFmtId="0" fontId="0" fillId="3" borderId="24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3" fontId="0" fillId="0" borderId="33" xfId="0" applyNumberFormat="1" applyFont="1" applyBorder="1" applyAlignment="1">
      <alignment wrapText="1"/>
    </xf>
    <xf numFmtId="3" fontId="0" fillId="0" borderId="102" xfId="0" applyNumberFormat="1" applyFont="1" applyBorder="1" applyAlignment="1">
      <alignment wrapText="1"/>
    </xf>
    <xf numFmtId="3" fontId="0" fillId="0" borderId="103" xfId="0" applyNumberFormat="1" applyFont="1" applyBorder="1" applyAlignment="1">
      <alignment wrapText="1"/>
    </xf>
    <xf numFmtId="3" fontId="0" fillId="0" borderId="104" xfId="0" applyNumberFormat="1" applyFont="1" applyBorder="1" applyAlignment="1">
      <alignment wrapText="1"/>
    </xf>
    <xf numFmtId="3" fontId="0" fillId="0" borderId="13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36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3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4" borderId="13" xfId="0" applyFont="1" applyFill="1" applyBorder="1" applyAlignment="1">
      <alignment/>
    </xf>
    <xf numFmtId="0" fontId="34" fillId="4" borderId="12" xfId="0" applyFont="1" applyFill="1" applyBorder="1" applyAlignment="1">
      <alignment horizontal="left" wrapText="1"/>
    </xf>
    <xf numFmtId="0" fontId="34" fillId="4" borderId="12" xfId="0" applyFont="1" applyFill="1" applyBorder="1" applyAlignment="1">
      <alignment wrapText="1"/>
    </xf>
    <xf numFmtId="0" fontId="34" fillId="4" borderId="12" xfId="0" applyFont="1" applyFill="1" applyBorder="1" applyAlignment="1">
      <alignment horizontal="center" wrapText="1"/>
    </xf>
    <xf numFmtId="3" fontId="34" fillId="4" borderId="12" xfId="0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3" fillId="0" borderId="13" xfId="0" applyNumberFormat="1" applyFont="1" applyBorder="1" applyAlignment="1">
      <alignment/>
    </xf>
    <xf numFmtId="3" fontId="33" fillId="0" borderId="76" xfId="0" applyNumberFormat="1" applyFont="1" applyBorder="1" applyAlignment="1">
      <alignment horizontal="right" wrapText="1"/>
    </xf>
    <xf numFmtId="3" fontId="33" fillId="0" borderId="76" xfId="0" applyNumberFormat="1" applyFont="1" applyBorder="1" applyAlignment="1">
      <alignment/>
    </xf>
    <xf numFmtId="0" fontId="35" fillId="4" borderId="31" xfId="0" applyFont="1" applyFill="1" applyBorder="1" applyAlignment="1">
      <alignment/>
    </xf>
    <xf numFmtId="0" fontId="34" fillId="4" borderId="42" xfId="0" applyFont="1" applyFill="1" applyBorder="1" applyAlignment="1">
      <alignment horizontal="left" wrapText="1"/>
    </xf>
    <xf numFmtId="0" fontId="34" fillId="4" borderId="42" xfId="0" applyFont="1" applyFill="1" applyBorder="1" applyAlignment="1">
      <alignment wrapText="1"/>
    </xf>
    <xf numFmtId="0" fontId="34" fillId="4" borderId="42" xfId="0" applyFont="1" applyFill="1" applyBorder="1" applyAlignment="1">
      <alignment horizontal="center" wrapText="1"/>
    </xf>
    <xf numFmtId="3" fontId="34" fillId="4" borderId="42" xfId="0" applyNumberFormat="1" applyFont="1" applyFill="1" applyBorder="1" applyAlignment="1">
      <alignment horizontal="right"/>
    </xf>
    <xf numFmtId="3" fontId="34" fillId="4" borderId="13" xfId="0" applyNumberFormat="1" applyFont="1" applyFill="1" applyBorder="1" applyAlignment="1">
      <alignment horizontal="right"/>
    </xf>
    <xf numFmtId="3" fontId="6" fillId="4" borderId="16" xfId="15" applyNumberFormat="1" applyFont="1" applyFill="1" applyBorder="1" applyAlignment="1">
      <alignment horizontal="right"/>
    </xf>
    <xf numFmtId="3" fontId="0" fillId="4" borderId="24" xfId="15" applyNumberFormat="1" applyFont="1" applyFill="1" applyBorder="1" applyAlignment="1">
      <alignment horizontal="right"/>
    </xf>
    <xf numFmtId="3" fontId="13" fillId="4" borderId="110" xfId="15" applyNumberFormat="1" applyFont="1" applyFill="1" applyBorder="1" applyAlignment="1">
      <alignment horizontal="right"/>
    </xf>
    <xf numFmtId="3" fontId="24" fillId="0" borderId="26" xfId="18" applyNumberFormat="1" applyFont="1" applyFill="1" applyBorder="1" applyAlignment="1">
      <alignment/>
      <protection/>
    </xf>
    <xf numFmtId="3" fontId="24" fillId="0" borderId="26" xfId="18" applyNumberFormat="1" applyFont="1" applyFill="1" applyBorder="1" applyAlignment="1">
      <alignment horizontal="center"/>
      <protection/>
    </xf>
    <xf numFmtId="3" fontId="24" fillId="0" borderId="26" xfId="18" applyNumberFormat="1" applyFont="1" applyFill="1" applyBorder="1" applyAlignment="1">
      <alignment horizontal="right"/>
      <protection/>
    </xf>
    <xf numFmtId="3" fontId="13" fillId="4" borderId="95" xfId="15" applyNumberFormat="1" applyFont="1" applyFill="1" applyBorder="1" applyAlignment="1">
      <alignment horizontal="right"/>
    </xf>
    <xf numFmtId="0" fontId="5" fillId="2" borderId="54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3" fontId="12" fillId="0" borderId="111" xfId="0" applyNumberFormat="1" applyFont="1" applyFill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41" fillId="0" borderId="0" xfId="0" applyFont="1" applyAlignment="1">
      <alignment/>
    </xf>
    <xf numFmtId="0" fontId="13" fillId="2" borderId="27" xfId="0" applyFont="1" applyFill="1" applyBorder="1" applyAlignment="1">
      <alignment/>
    </xf>
    <xf numFmtId="3" fontId="24" fillId="0" borderId="14" xfId="18" applyNumberFormat="1" applyFont="1" applyFill="1" applyBorder="1" applyAlignment="1">
      <alignment/>
      <protection/>
    </xf>
    <xf numFmtId="3" fontId="24" fillId="0" borderId="14" xfId="18" applyNumberFormat="1" applyFont="1" applyFill="1" applyBorder="1" applyAlignment="1">
      <alignment horizontal="center"/>
      <protection/>
    </xf>
    <xf numFmtId="3" fontId="24" fillId="0" borderId="14" xfId="18" applyNumberFormat="1" applyFont="1" applyFill="1" applyBorder="1" applyAlignment="1">
      <alignment horizontal="right"/>
      <protection/>
    </xf>
    <xf numFmtId="3" fontId="24" fillId="0" borderId="13" xfId="18" applyNumberFormat="1" applyFont="1" applyFill="1" applyBorder="1" applyAlignment="1">
      <alignment horizontal="right"/>
      <protection/>
    </xf>
    <xf numFmtId="0" fontId="15" fillId="0" borderId="15" xfId="0" applyFont="1" applyBorder="1" applyAlignment="1">
      <alignment wrapText="1"/>
    </xf>
    <xf numFmtId="0" fontId="12" fillId="0" borderId="111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/>
    </xf>
    <xf numFmtId="3" fontId="0" fillId="0" borderId="22" xfId="0" applyNumberFormat="1" applyFont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3" fontId="15" fillId="0" borderId="15" xfId="0" applyNumberFormat="1" applyFont="1" applyBorder="1" applyAlignment="1">
      <alignment/>
    </xf>
    <xf numFmtId="3" fontId="13" fillId="4" borderId="112" xfId="0" applyNumberFormat="1" applyFont="1" applyFill="1" applyBorder="1" applyAlignment="1">
      <alignment horizontal="left" vertical="center"/>
    </xf>
    <xf numFmtId="3" fontId="13" fillId="4" borderId="53" xfId="0" applyNumberFormat="1" applyFont="1" applyFill="1" applyBorder="1" applyAlignment="1">
      <alignment horizontal="right"/>
    </xf>
    <xf numFmtId="3" fontId="13" fillId="4" borderId="53" xfId="15" applyNumberFormat="1" applyFont="1" applyFill="1" applyBorder="1" applyAlignment="1">
      <alignment horizontal="right"/>
    </xf>
    <xf numFmtId="3" fontId="25" fillId="0" borderId="104" xfId="18" applyNumberFormat="1" applyFont="1" applyFill="1" applyBorder="1" applyAlignment="1">
      <alignment/>
      <protection/>
    </xf>
    <xf numFmtId="3" fontId="12" fillId="0" borderId="13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 horizontal="right"/>
    </xf>
    <xf numFmtId="3" fontId="12" fillId="3" borderId="17" xfId="0" applyNumberFormat="1" applyFont="1" applyFill="1" applyBorder="1" applyAlignment="1">
      <alignment horizontal="right"/>
    </xf>
    <xf numFmtId="3" fontId="12" fillId="4" borderId="15" xfId="0" applyNumberFormat="1" applyFont="1" applyFill="1" applyBorder="1" applyAlignment="1">
      <alignment/>
    </xf>
    <xf numFmtId="3" fontId="12" fillId="0" borderId="56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12" fillId="0" borderId="113" xfId="0" applyNumberFormat="1" applyFont="1" applyBorder="1" applyAlignment="1">
      <alignment wrapText="1"/>
    </xf>
    <xf numFmtId="3" fontId="12" fillId="0" borderId="55" xfId="0" applyNumberFormat="1" applyFont="1" applyBorder="1" applyAlignment="1">
      <alignment wrapText="1"/>
    </xf>
    <xf numFmtId="0" fontId="0" fillId="0" borderId="15" xfId="0" applyBorder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55" xfId="0" applyNumberFormat="1" applyFont="1" applyBorder="1" applyAlignment="1">
      <alignment wrapText="1"/>
    </xf>
    <xf numFmtId="3" fontId="13" fillId="0" borderId="27" xfId="0" applyNumberFormat="1" applyFont="1" applyBorder="1" applyAlignment="1">
      <alignment wrapText="1"/>
    </xf>
    <xf numFmtId="3" fontId="13" fillId="0" borderId="48" xfId="0" applyNumberFormat="1" applyFont="1" applyBorder="1" applyAlignment="1">
      <alignment wrapText="1"/>
    </xf>
    <xf numFmtId="3" fontId="13" fillId="0" borderId="114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wrapText="1"/>
    </xf>
    <xf numFmtId="3" fontId="13" fillId="0" borderId="49" xfId="0" applyNumberFormat="1" applyFont="1" applyBorder="1" applyAlignment="1">
      <alignment wrapText="1"/>
    </xf>
    <xf numFmtId="3" fontId="12" fillId="0" borderId="115" xfId="0" applyNumberFormat="1" applyFont="1" applyBorder="1" applyAlignment="1">
      <alignment wrapText="1"/>
    </xf>
    <xf numFmtId="0" fontId="12" fillId="0" borderId="101" xfId="0" applyFont="1" applyBorder="1" applyAlignment="1">
      <alignment/>
    </xf>
    <xf numFmtId="0" fontId="15" fillId="0" borderId="101" xfId="0" applyFont="1" applyBorder="1" applyAlignment="1">
      <alignment wrapText="1"/>
    </xf>
    <xf numFmtId="0" fontId="15" fillId="0" borderId="101" xfId="0" applyFont="1" applyBorder="1" applyAlignment="1">
      <alignment/>
    </xf>
    <xf numFmtId="0" fontId="12" fillId="0" borderId="101" xfId="0" applyFont="1" applyBorder="1" applyAlignment="1">
      <alignment/>
    </xf>
    <xf numFmtId="3" fontId="0" fillId="0" borderId="17" xfId="0" applyNumberFormat="1" applyFont="1" applyBorder="1" applyAlignment="1">
      <alignment wrapText="1"/>
    </xf>
    <xf numFmtId="0" fontId="12" fillId="0" borderId="111" xfId="0" applyFont="1" applyBorder="1" applyAlignment="1">
      <alignment wrapText="1"/>
    </xf>
    <xf numFmtId="3" fontId="12" fillId="0" borderId="111" xfId="0" applyNumberFormat="1" applyFont="1" applyFill="1" applyBorder="1" applyAlignment="1">
      <alignment/>
    </xf>
    <xf numFmtId="0" fontId="12" fillId="0" borderId="101" xfId="0" applyFont="1" applyFill="1" applyBorder="1" applyAlignment="1">
      <alignment/>
    </xf>
    <xf numFmtId="3" fontId="12" fillId="0" borderId="101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3" fontId="4" fillId="0" borderId="17" xfId="0" applyNumberFormat="1" applyFont="1" applyBorder="1" applyAlignment="1">
      <alignment wrapText="1"/>
    </xf>
    <xf numFmtId="0" fontId="33" fillId="0" borderId="25" xfId="0" applyFont="1" applyBorder="1" applyAlignment="1">
      <alignment horizontal="left" wrapText="1"/>
    </xf>
    <xf numFmtId="0" fontId="33" fillId="0" borderId="25" xfId="0" applyFont="1" applyBorder="1" applyAlignment="1">
      <alignment wrapText="1"/>
    </xf>
    <xf numFmtId="0" fontId="42" fillId="0" borderId="25" xfId="0" applyFont="1" applyBorder="1" applyAlignment="1">
      <alignment horizontal="center" wrapText="1"/>
    </xf>
    <xf numFmtId="3" fontId="33" fillId="0" borderId="25" xfId="0" applyNumberFormat="1" applyFont="1" applyBorder="1" applyAlignment="1">
      <alignment horizontal="center" wrapText="1"/>
    </xf>
    <xf numFmtId="3" fontId="33" fillId="0" borderId="25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1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right" wrapText="1"/>
    </xf>
    <xf numFmtId="3" fontId="33" fillId="0" borderId="15" xfId="0" applyNumberFormat="1" applyFont="1" applyBorder="1" applyAlignment="1">
      <alignment wrapText="1"/>
    </xf>
    <xf numFmtId="0" fontId="33" fillId="0" borderId="24" xfId="0" applyFont="1" applyBorder="1" applyAlignment="1">
      <alignment horizontal="center" wrapText="1"/>
    </xf>
    <xf numFmtId="3" fontId="33" fillId="0" borderId="25" xfId="0" applyNumberFormat="1" applyFont="1" applyBorder="1" applyAlignment="1">
      <alignment wrapText="1"/>
    </xf>
    <xf numFmtId="0" fontId="34" fillId="0" borderId="13" xfId="0" applyFont="1" applyBorder="1" applyAlignment="1">
      <alignment/>
    </xf>
    <xf numFmtId="1" fontId="33" fillId="0" borderId="24" xfId="0" applyNumberFormat="1" applyFont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77" xfId="0" applyFont="1" applyBorder="1" applyAlignment="1">
      <alignment/>
    </xf>
    <xf numFmtId="3" fontId="0" fillId="0" borderId="77" xfId="0" applyNumberFormat="1" applyFont="1" applyFill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116" xfId="0" applyNumberFormat="1" applyFont="1" applyFill="1" applyBorder="1" applyAlignment="1">
      <alignment horizontal="right"/>
    </xf>
    <xf numFmtId="3" fontId="0" fillId="0" borderId="116" xfId="0" applyNumberFormat="1" applyFont="1" applyBorder="1" applyAlignment="1">
      <alignment horizontal="right"/>
    </xf>
    <xf numFmtId="0" fontId="25" fillId="0" borderId="113" xfId="0" applyFont="1" applyBorder="1" applyAlignment="1">
      <alignment wrapText="1"/>
    </xf>
    <xf numFmtId="0" fontId="12" fillId="0" borderId="101" xfId="0" applyFont="1" applyBorder="1" applyAlignment="1">
      <alignment/>
    </xf>
    <xf numFmtId="3" fontId="12" fillId="0" borderId="101" xfId="0" applyNumberFormat="1" applyFont="1" applyBorder="1" applyAlignment="1">
      <alignment horizontal="right"/>
    </xf>
    <xf numFmtId="0" fontId="12" fillId="0" borderId="113" xfId="0" applyFont="1" applyBorder="1" applyAlignment="1">
      <alignment wrapText="1"/>
    </xf>
    <xf numFmtId="0" fontId="12" fillId="0" borderId="113" xfId="0" applyFont="1" applyBorder="1" applyAlignment="1">
      <alignment/>
    </xf>
    <xf numFmtId="3" fontId="12" fillId="0" borderId="113" xfId="0" applyNumberFormat="1" applyFont="1" applyBorder="1" applyAlignment="1">
      <alignment horizontal="right"/>
    </xf>
    <xf numFmtId="3" fontId="12" fillId="0" borderId="113" xfId="0" applyNumberFormat="1" applyFont="1" applyBorder="1" applyAlignment="1">
      <alignment wrapText="1"/>
    </xf>
    <xf numFmtId="0" fontId="25" fillId="0" borderId="56" xfId="0" applyFont="1" applyBorder="1" applyAlignment="1">
      <alignment wrapText="1"/>
    </xf>
    <xf numFmtId="0" fontId="0" fillId="0" borderId="56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115" xfId="0" applyFont="1" applyBorder="1" applyAlignment="1">
      <alignment wrapText="1"/>
    </xf>
    <xf numFmtId="0" fontId="12" fillId="0" borderId="101" xfId="0" applyFont="1" applyBorder="1" applyAlignment="1">
      <alignment wrapText="1"/>
    </xf>
    <xf numFmtId="0" fontId="12" fillId="0" borderId="101" xfId="0" applyFont="1" applyBorder="1" applyAlignment="1">
      <alignment/>
    </xf>
    <xf numFmtId="0" fontId="12" fillId="0" borderId="55" xfId="0" applyFont="1" applyBorder="1" applyAlignment="1">
      <alignment wrapText="1"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12" fillId="0" borderId="24" xfId="0" applyFont="1" applyFill="1" applyBorder="1" applyAlignment="1">
      <alignment/>
    </xf>
    <xf numFmtId="0" fontId="12" fillId="0" borderId="111" xfId="0" applyFont="1" applyFill="1" applyBorder="1" applyAlignment="1">
      <alignment wrapText="1"/>
    </xf>
    <xf numFmtId="3" fontId="24" fillId="0" borderId="17" xfId="18" applyNumberFormat="1" applyFont="1" applyFill="1" applyBorder="1" applyAlignment="1">
      <alignment/>
      <protection/>
    </xf>
    <xf numFmtId="3" fontId="0" fillId="0" borderId="75" xfId="0" applyNumberFormat="1" applyFont="1" applyBorder="1" applyAlignment="1">
      <alignment horizontal="right" wrapText="1"/>
    </xf>
    <xf numFmtId="3" fontId="0" fillId="6" borderId="117" xfId="0" applyNumberFormat="1" applyFont="1" applyFill="1" applyBorder="1" applyAlignment="1">
      <alignment horizontal="left" vertical="center" wrapText="1"/>
    </xf>
    <xf numFmtId="0" fontId="0" fillId="0" borderId="113" xfId="0" applyFont="1" applyBorder="1" applyAlignment="1">
      <alignment wrapText="1"/>
    </xf>
    <xf numFmtId="0" fontId="0" fillId="0" borderId="118" xfId="0" applyFont="1" applyBorder="1" applyAlignment="1">
      <alignment wrapText="1"/>
    </xf>
    <xf numFmtId="0" fontId="12" fillId="0" borderId="118" xfId="0" applyFont="1" applyBorder="1" applyAlignment="1">
      <alignment wrapText="1"/>
    </xf>
    <xf numFmtId="0" fontId="13" fillId="0" borderId="55" xfId="0" applyFont="1" applyFill="1" applyBorder="1" applyAlignment="1">
      <alignment wrapText="1"/>
    </xf>
    <xf numFmtId="3" fontId="13" fillId="0" borderId="55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0" fontId="13" fillId="0" borderId="15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3" fontId="13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3" fillId="2" borderId="17" xfId="0" applyFont="1" applyFill="1" applyBorder="1" applyAlignment="1" quotePrefix="1">
      <alignment/>
    </xf>
    <xf numFmtId="0" fontId="13" fillId="3" borderId="15" xfId="0" applyFont="1" applyFill="1" applyBorder="1" applyAlignment="1" quotePrefix="1">
      <alignment horizontal="right"/>
    </xf>
    <xf numFmtId="0" fontId="0" fillId="0" borderId="33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wrapText="1"/>
    </xf>
    <xf numFmtId="0" fontId="15" fillId="4" borderId="53" xfId="0" applyFont="1" applyFill="1" applyBorder="1" applyAlignment="1">
      <alignment horizontal="left" wrapText="1"/>
    </xf>
    <xf numFmtId="3" fontId="15" fillId="4" borderId="53" xfId="0" applyNumberFormat="1" applyFont="1" applyFill="1" applyBorder="1" applyAlignment="1">
      <alignment horizontal="right"/>
    </xf>
    <xf numFmtId="0" fontId="5" fillId="2" borderId="27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3" fontId="15" fillId="0" borderId="3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right" wrapText="1"/>
    </xf>
    <xf numFmtId="3" fontId="8" fillId="0" borderId="25" xfId="0" applyNumberFormat="1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13" fillId="4" borderId="106" xfId="0" applyFont="1" applyFill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/>
    </xf>
    <xf numFmtId="3" fontId="6" fillId="4" borderId="95" xfId="0" applyNumberFormat="1" applyFont="1" applyFill="1" applyBorder="1" applyAlignment="1">
      <alignment horizontal="right"/>
    </xf>
    <xf numFmtId="3" fontId="6" fillId="0" borderId="26" xfId="0" applyNumberFormat="1" applyFont="1" applyBorder="1" applyAlignment="1">
      <alignment horizontal="right" wrapText="1"/>
    </xf>
    <xf numFmtId="3" fontId="8" fillId="0" borderId="54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right" wrapText="1"/>
    </xf>
    <xf numFmtId="0" fontId="10" fillId="0" borderId="17" xfId="0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5" fillId="0" borderId="15" xfId="0" applyNumberFormat="1" applyFont="1" applyBorder="1" applyAlignment="1">
      <alignment wrapText="1"/>
    </xf>
    <xf numFmtId="3" fontId="0" fillId="3" borderId="29" xfId="0" applyNumberFormat="1" applyFont="1" applyFill="1" applyBorder="1" applyAlignment="1">
      <alignment horizontal="right" wrapText="1"/>
    </xf>
    <xf numFmtId="0" fontId="0" fillId="3" borderId="29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29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55" xfId="0" applyFont="1" applyFill="1" applyBorder="1" applyAlignment="1">
      <alignment wrapText="1"/>
    </xf>
    <xf numFmtId="3" fontId="12" fillId="0" borderId="55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right" wrapText="1"/>
    </xf>
    <xf numFmtId="0" fontId="0" fillId="3" borderId="15" xfId="0" applyFont="1" applyFill="1" applyBorder="1" applyAlignment="1">
      <alignment/>
    </xf>
    <xf numFmtId="0" fontId="0" fillId="0" borderId="25" xfId="0" applyFont="1" applyBorder="1" applyAlignment="1">
      <alignment wrapText="1"/>
    </xf>
    <xf numFmtId="3" fontId="0" fillId="0" borderId="17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wrapText="1"/>
    </xf>
    <xf numFmtId="3" fontId="12" fillId="4" borderId="25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12" fillId="0" borderId="55" xfId="0" applyNumberFormat="1" applyFont="1" applyFill="1" applyBorder="1" applyAlignment="1">
      <alignment/>
    </xf>
    <xf numFmtId="0" fontId="0" fillId="0" borderId="101" xfId="0" applyFont="1" applyFill="1" applyBorder="1" applyAlignment="1">
      <alignment wrapText="1"/>
    </xf>
    <xf numFmtId="3" fontId="0" fillId="0" borderId="101" xfId="0" applyNumberFormat="1" applyFont="1" applyFill="1" applyBorder="1" applyAlignment="1">
      <alignment horizontal="right"/>
    </xf>
    <xf numFmtId="0" fontId="0" fillId="0" borderId="118" xfId="0" applyFont="1" applyBorder="1" applyAlignment="1">
      <alignment/>
    </xf>
    <xf numFmtId="0" fontId="0" fillId="0" borderId="76" xfId="0" applyFont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12" fillId="0" borderId="76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0" fontId="0" fillId="0" borderId="101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24" xfId="0" applyFont="1" applyBorder="1" applyAlignment="1">
      <alignment wrapText="1"/>
    </xf>
    <xf numFmtId="3" fontId="0" fillId="0" borderId="119" xfId="0" applyNumberFormat="1" applyFont="1" applyBorder="1" applyAlignment="1">
      <alignment horizontal="right" wrapText="1"/>
    </xf>
    <xf numFmtId="0" fontId="12" fillId="3" borderId="25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0" fillId="3" borderId="15" xfId="0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12" fillId="0" borderId="118" xfId="0" applyFont="1" applyFill="1" applyBorder="1" applyAlignment="1">
      <alignment wrapText="1"/>
    </xf>
    <xf numFmtId="3" fontId="12" fillId="0" borderId="118" xfId="0" applyNumberFormat="1" applyFont="1" applyFill="1" applyBorder="1" applyAlignment="1">
      <alignment horizontal="right" wrapText="1"/>
    </xf>
    <xf numFmtId="3" fontId="12" fillId="0" borderId="118" xfId="0" applyNumberFormat="1" applyFont="1" applyFill="1" applyBorder="1" applyAlignment="1">
      <alignment horizontal="right"/>
    </xf>
    <xf numFmtId="3" fontId="13" fillId="5" borderId="17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right" wrapText="1"/>
    </xf>
    <xf numFmtId="0" fontId="12" fillId="0" borderId="113" xfId="0" applyFont="1" applyFill="1" applyBorder="1" applyAlignment="1">
      <alignment/>
    </xf>
    <xf numFmtId="3" fontId="12" fillId="0" borderId="113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5" fillId="4" borderId="30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/>
    </xf>
    <xf numFmtId="3" fontId="6" fillId="3" borderId="49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/>
    </xf>
    <xf numFmtId="1" fontId="33" fillId="3" borderId="17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center" wrapText="1"/>
    </xf>
    <xf numFmtId="3" fontId="4" fillId="3" borderId="17" xfId="0" applyNumberFormat="1" applyFont="1" applyFill="1" applyBorder="1" applyAlignment="1">
      <alignment/>
    </xf>
    <xf numFmtId="0" fontId="0" fillId="0" borderId="81" xfId="0" applyFont="1" applyBorder="1" applyAlignment="1">
      <alignment wrapText="1"/>
    </xf>
    <xf numFmtId="3" fontId="0" fillId="0" borderId="81" xfId="0" applyNumberFormat="1" applyFont="1" applyBorder="1" applyAlignment="1">
      <alignment horizontal="right" wrapText="1"/>
    </xf>
    <xf numFmtId="0" fontId="13" fillId="4" borderId="120" xfId="0" applyFont="1" applyFill="1" applyBorder="1" applyAlignment="1">
      <alignment/>
    </xf>
    <xf numFmtId="0" fontId="12" fillId="4" borderId="120" xfId="0" applyFont="1" applyFill="1" applyBorder="1" applyAlignment="1">
      <alignment/>
    </xf>
    <xf numFmtId="3" fontId="12" fillId="4" borderId="120" xfId="0" applyNumberFormat="1" applyFont="1" applyFill="1" applyBorder="1" applyAlignment="1">
      <alignment/>
    </xf>
    <xf numFmtId="0" fontId="12" fillId="3" borderId="120" xfId="0" applyFont="1" applyFill="1" applyBorder="1" applyAlignment="1">
      <alignment/>
    </xf>
    <xf numFmtId="0" fontId="12" fillId="0" borderId="120" xfId="0" applyFont="1" applyBorder="1" applyAlignment="1">
      <alignment/>
    </xf>
    <xf numFmtId="0" fontId="12" fillId="0" borderId="120" xfId="0" applyFont="1" applyBorder="1" applyAlignment="1">
      <alignment wrapText="1"/>
    </xf>
    <xf numFmtId="0" fontId="12" fillId="0" borderId="120" xfId="0" applyFont="1" applyBorder="1" applyAlignment="1">
      <alignment/>
    </xf>
    <xf numFmtId="3" fontId="12" fillId="0" borderId="120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3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5" fillId="4" borderId="34" xfId="0" applyFont="1" applyFill="1" applyBorder="1" applyAlignment="1">
      <alignment wrapText="1"/>
    </xf>
    <xf numFmtId="3" fontId="15" fillId="0" borderId="34" xfId="0" applyNumberFormat="1" applyFont="1" applyFill="1" applyBorder="1" applyAlignment="1">
      <alignment horizontal="right"/>
    </xf>
    <xf numFmtId="3" fontId="15" fillId="4" borderId="34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 wrapText="1"/>
    </xf>
    <xf numFmtId="0" fontId="15" fillId="4" borderId="15" xfId="0" applyFont="1" applyFill="1" applyBorder="1" applyAlignment="1">
      <alignment wrapText="1"/>
    </xf>
    <xf numFmtId="3" fontId="15" fillId="0" borderId="1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vertical="center" wrapText="1"/>
    </xf>
    <xf numFmtId="3" fontId="0" fillId="4" borderId="0" xfId="15" applyNumberFormat="1" applyFont="1" applyFill="1" applyBorder="1" applyAlignment="1">
      <alignment horizontal="right"/>
    </xf>
    <xf numFmtId="0" fontId="6" fillId="0" borderId="16" xfId="18" applyFont="1" applyFill="1" applyBorder="1" applyAlignment="1">
      <alignment horizontal="left" wrapText="1"/>
      <protection/>
    </xf>
    <xf numFmtId="3" fontId="28" fillId="0" borderId="16" xfId="18" applyNumberFormat="1" applyFont="1" applyFill="1" applyBorder="1" applyAlignment="1">
      <alignment horizontal="right" wrapText="1"/>
      <protection/>
    </xf>
    <xf numFmtId="3" fontId="0" fillId="4" borderId="120" xfId="0" applyNumberFormat="1" applyFont="1" applyFill="1" applyBorder="1" applyAlignment="1">
      <alignment horizontal="left" vertical="center" wrapText="1"/>
    </xf>
    <xf numFmtId="3" fontId="0" fillId="4" borderId="120" xfId="0" applyNumberFormat="1" applyFont="1" applyFill="1" applyBorder="1" applyAlignment="1">
      <alignment/>
    </xf>
    <xf numFmtId="3" fontId="0" fillId="4" borderId="120" xfId="15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left" vertical="center" wrapText="1"/>
    </xf>
    <xf numFmtId="0" fontId="13" fillId="4" borderId="71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3" fontId="12" fillId="3" borderId="15" xfId="0" applyNumberFormat="1" applyFont="1" applyFill="1" applyBorder="1" applyAlignment="1">
      <alignment horizontal="right"/>
    </xf>
    <xf numFmtId="1" fontId="13" fillId="3" borderId="24" xfId="0" applyNumberFormat="1" applyFont="1" applyFill="1" applyBorder="1" applyAlignment="1">
      <alignment/>
    </xf>
    <xf numFmtId="3" fontId="13" fillId="0" borderId="88" xfId="0" applyNumberFormat="1" applyFont="1" applyBorder="1" applyAlignment="1">
      <alignment wrapText="1"/>
    </xf>
    <xf numFmtId="3" fontId="13" fillId="0" borderId="39" xfId="0" applyNumberFormat="1" applyFont="1" applyBorder="1" applyAlignment="1">
      <alignment wrapText="1"/>
    </xf>
    <xf numFmtId="3" fontId="13" fillId="0" borderId="40" xfId="0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3" fontId="15" fillId="0" borderId="27" xfId="0" applyNumberFormat="1" applyFont="1" applyBorder="1" applyAlignment="1">
      <alignment wrapText="1"/>
    </xf>
    <xf numFmtId="3" fontId="15" fillId="0" borderId="48" xfId="0" applyNumberFormat="1" applyFont="1" applyBorder="1" applyAlignment="1">
      <alignment wrapText="1"/>
    </xf>
    <xf numFmtId="3" fontId="15" fillId="0" borderId="78" xfId="0" applyNumberFormat="1" applyFont="1" applyBorder="1" applyAlignment="1">
      <alignment wrapText="1"/>
    </xf>
    <xf numFmtId="3" fontId="15" fillId="0" borderId="49" xfId="0" applyNumberFormat="1" applyFont="1" applyBorder="1" applyAlignment="1">
      <alignment wrapText="1"/>
    </xf>
    <xf numFmtId="0" fontId="5" fillId="4" borderId="121" xfId="0" applyFont="1" applyFill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right"/>
    </xf>
    <xf numFmtId="3" fontId="34" fillId="4" borderId="90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33" fillId="0" borderId="96" xfId="0" applyNumberFormat="1" applyFont="1" applyBorder="1" applyAlignment="1">
      <alignment/>
    </xf>
    <xf numFmtId="3" fontId="34" fillId="4" borderId="43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top" wrapText="1"/>
    </xf>
    <xf numFmtId="0" fontId="3" fillId="0" borderId="106" xfId="0" applyFont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right"/>
    </xf>
    <xf numFmtId="3" fontId="34" fillId="4" borderId="37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/>
    </xf>
    <xf numFmtId="3" fontId="4" fillId="0" borderId="54" xfId="0" applyNumberFormat="1" applyFont="1" applyBorder="1" applyAlignment="1">
      <alignment/>
    </xf>
    <xf numFmtId="3" fontId="33" fillId="0" borderId="99" xfId="0" applyNumberFormat="1" applyFont="1" applyBorder="1" applyAlignment="1">
      <alignment horizontal="right" wrapText="1"/>
    </xf>
    <xf numFmtId="3" fontId="34" fillId="4" borderId="46" xfId="0" applyNumberFormat="1" applyFont="1" applyFill="1" applyBorder="1" applyAlignment="1">
      <alignment horizontal="right"/>
    </xf>
    <xf numFmtId="0" fontId="5" fillId="4" borderId="122" xfId="0" applyFont="1" applyFill="1" applyBorder="1" applyAlignment="1">
      <alignment horizontal="center" wrapText="1"/>
    </xf>
    <xf numFmtId="0" fontId="5" fillId="4" borderId="123" xfId="0" applyFont="1" applyFill="1" applyBorder="1" applyAlignment="1">
      <alignment horizontal="center" vertical="top" wrapText="1"/>
    </xf>
    <xf numFmtId="0" fontId="3" fillId="0" borderId="124" xfId="0" applyFont="1" applyBorder="1" applyAlignment="1">
      <alignment horizontal="center" vertical="center" wrapText="1"/>
    </xf>
    <xf numFmtId="3" fontId="4" fillId="4" borderId="123" xfId="0" applyNumberFormat="1" applyFont="1" applyFill="1" applyBorder="1" applyAlignment="1">
      <alignment horizontal="right"/>
    </xf>
    <xf numFmtId="3" fontId="34" fillId="4" borderId="125" xfId="0" applyNumberFormat="1" applyFont="1" applyFill="1" applyBorder="1" applyAlignment="1">
      <alignment horizontal="right"/>
    </xf>
    <xf numFmtId="3" fontId="4" fillId="3" borderId="126" xfId="0" applyNumberFormat="1" applyFont="1" applyFill="1" applyBorder="1" applyAlignment="1">
      <alignment/>
    </xf>
    <xf numFmtId="3" fontId="4" fillId="0" borderId="126" xfId="0" applyNumberFormat="1" applyFont="1" applyBorder="1" applyAlignment="1">
      <alignment/>
    </xf>
    <xf numFmtId="3" fontId="33" fillId="0" borderId="127" xfId="0" applyNumberFormat="1" applyFont="1" applyBorder="1" applyAlignment="1">
      <alignment horizontal="right" wrapText="1"/>
    </xf>
    <xf numFmtId="3" fontId="34" fillId="4" borderId="128" xfId="0" applyNumberFormat="1" applyFont="1" applyFill="1" applyBorder="1" applyAlignment="1">
      <alignment horizontal="right"/>
    </xf>
    <xf numFmtId="0" fontId="13" fillId="4" borderId="129" xfId="0" applyFont="1" applyFill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/>
    </xf>
    <xf numFmtId="3" fontId="6" fillId="4" borderId="130" xfId="0" applyNumberFormat="1" applyFont="1" applyFill="1" applyBorder="1" applyAlignment="1">
      <alignment horizontal="right"/>
    </xf>
    <xf numFmtId="3" fontId="6" fillId="3" borderId="131" xfId="0" applyNumberFormat="1" applyFont="1" applyFill="1" applyBorder="1" applyAlignment="1">
      <alignment/>
    </xf>
    <xf numFmtId="3" fontId="6" fillId="0" borderId="132" xfId="0" applyNumberFormat="1" applyFont="1" applyBorder="1" applyAlignment="1">
      <alignment horizontal="right" wrapText="1"/>
    </xf>
    <xf numFmtId="3" fontId="8" fillId="0" borderId="133" xfId="0" applyNumberFormat="1" applyFont="1" applyBorder="1" applyAlignment="1">
      <alignment/>
    </xf>
    <xf numFmtId="0" fontId="12" fillId="0" borderId="101" xfId="0" applyFont="1" applyFill="1" applyBorder="1" applyAlignment="1">
      <alignment wrapText="1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0" fillId="0" borderId="120" xfId="0" applyFont="1" applyBorder="1" applyAlignment="1">
      <alignment/>
    </xf>
    <xf numFmtId="0" fontId="12" fillId="0" borderId="120" xfId="0" applyFont="1" applyFill="1" applyBorder="1" applyAlignment="1">
      <alignment wrapText="1"/>
    </xf>
    <xf numFmtId="3" fontId="12" fillId="0" borderId="120" xfId="0" applyNumberFormat="1" applyFont="1" applyBorder="1" applyAlignment="1">
      <alignment horizontal="right" wrapText="1"/>
    </xf>
    <xf numFmtId="3" fontId="12" fillId="0" borderId="120" xfId="0" applyNumberFormat="1" applyFont="1" applyFill="1" applyBorder="1" applyAlignment="1">
      <alignment/>
    </xf>
    <xf numFmtId="0" fontId="3" fillId="0" borderId="120" xfId="0" applyFont="1" applyFill="1" applyBorder="1" applyAlignment="1">
      <alignment/>
    </xf>
    <xf numFmtId="0" fontId="3" fillId="0" borderId="120" xfId="0" applyFont="1" applyFill="1" applyBorder="1" applyAlignment="1">
      <alignment wrapText="1"/>
    </xf>
    <xf numFmtId="3" fontId="3" fillId="0" borderId="120" xfId="0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21" xfId="0" applyFont="1" applyFill="1" applyBorder="1" applyAlignment="1">
      <alignment horizontal="left" vertical="center" wrapText="1"/>
    </xf>
    <xf numFmtId="0" fontId="0" fillId="0" borderId="134" xfId="0" applyBorder="1" applyAlignment="1">
      <alignment horizontal="left" wrapText="1"/>
    </xf>
    <xf numFmtId="0" fontId="0" fillId="0" borderId="106" xfId="0" applyBorder="1" applyAlignment="1">
      <alignment horizontal="left" wrapText="1"/>
    </xf>
    <xf numFmtId="0" fontId="5" fillId="4" borderId="121" xfId="0" applyFont="1" applyFill="1" applyBorder="1" applyAlignment="1">
      <alignment horizontal="left" vertical="center" wrapText="1"/>
    </xf>
    <xf numFmtId="0" fontId="5" fillId="4" borderId="134" xfId="0" applyFont="1" applyFill="1" applyBorder="1" applyAlignment="1">
      <alignment horizontal="left" vertical="center" wrapText="1"/>
    </xf>
    <xf numFmtId="0" fontId="5" fillId="4" borderId="10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13" fillId="4" borderId="134" xfId="0" applyFont="1" applyFill="1" applyBorder="1" applyAlignment="1">
      <alignment horizontal="left" vertical="center" wrapText="1"/>
    </xf>
    <xf numFmtId="0" fontId="13" fillId="4" borderId="106" xfId="0" applyFont="1" applyFill="1" applyBorder="1" applyAlignment="1">
      <alignment horizontal="left" vertical="center" wrapText="1"/>
    </xf>
    <xf numFmtId="0" fontId="13" fillId="4" borderId="13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13" fillId="4" borderId="3" xfId="15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149352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149352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149352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149352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2419350</xdr:colOff>
      <xdr:row>66</xdr:row>
      <xdr:rowOff>0</xdr:rowOff>
    </xdr:to>
    <xdr:sp>
      <xdr:nvSpPr>
        <xdr:cNvPr id="2078" name="Line 31"/>
        <xdr:cNvSpPr>
          <a:spLocks/>
        </xdr:cNvSpPr>
      </xdr:nvSpPr>
      <xdr:spPr>
        <a:xfrm>
          <a:off x="0" y="15163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282892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30203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17897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25812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3216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328517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207359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226790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962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962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I42"/>
  <sheetViews>
    <sheetView tabSelected="1" zoomScale="90" zoomScaleNormal="90" zoomScaleSheetLayoutView="75" workbookViewId="0" topLeftCell="A1">
      <selection activeCell="B5" sqref="B5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66.625" style="22" customWidth="1"/>
    <col min="4" max="4" width="22.75390625" style="22" customWidth="1"/>
    <col min="5" max="5" width="19.00390625" style="22" customWidth="1"/>
    <col min="6" max="6" width="20.375" style="22" customWidth="1"/>
    <col min="7" max="7" width="12.00390625" style="22" customWidth="1"/>
    <col min="8" max="8" width="11.125" style="22" customWidth="1"/>
    <col min="9" max="9" width="15.25390625" style="22" customWidth="1"/>
    <col min="10" max="16384" width="9.125" style="22" customWidth="1"/>
  </cols>
  <sheetData>
    <row r="1" spans="2:5" ht="15" customHeight="1">
      <c r="B1" s="234"/>
      <c r="E1" s="50" t="s">
        <v>16</v>
      </c>
    </row>
    <row r="2" ht="15" customHeight="1">
      <c r="E2" s="22" t="s">
        <v>538</v>
      </c>
    </row>
    <row r="3" spans="3:5" ht="15" customHeight="1">
      <c r="C3" s="3" t="s">
        <v>260</v>
      </c>
      <c r="E3" s="22" t="s">
        <v>67</v>
      </c>
    </row>
    <row r="4" ht="15" customHeight="1">
      <c r="E4" s="22" t="s">
        <v>443</v>
      </c>
    </row>
    <row r="5" ht="17.25" customHeight="1" thickBot="1">
      <c r="F5" s="54" t="s">
        <v>68</v>
      </c>
    </row>
    <row r="6" spans="1:6" ht="67.5" customHeight="1" thickBot="1" thickTop="1">
      <c r="A6" s="235" t="s">
        <v>119</v>
      </c>
      <c r="B6" s="235" t="s">
        <v>73</v>
      </c>
      <c r="C6" s="118" t="s">
        <v>15</v>
      </c>
      <c r="D6" s="118" t="s">
        <v>262</v>
      </c>
      <c r="E6" s="118" t="s">
        <v>134</v>
      </c>
      <c r="F6" s="117" t="s">
        <v>122</v>
      </c>
    </row>
    <row r="7" spans="1:6" s="237" customFormat="1" ht="15.75" customHeight="1" thickBot="1" thickTop="1">
      <c r="A7" s="236">
        <v>1</v>
      </c>
      <c r="B7" s="236">
        <v>2</v>
      </c>
      <c r="C7" s="236">
        <v>3</v>
      </c>
      <c r="D7" s="236">
        <v>4</v>
      </c>
      <c r="E7" s="236">
        <v>5</v>
      </c>
      <c r="F7" s="210">
        <v>6</v>
      </c>
    </row>
    <row r="8" spans="1:9" ht="24" customHeight="1" thickBot="1" thickTop="1">
      <c r="A8" s="238"/>
      <c r="B8" s="238"/>
      <c r="C8" s="239" t="s">
        <v>263</v>
      </c>
      <c r="D8" s="260">
        <v>897913723</v>
      </c>
      <c r="E8" s="240">
        <f>E10+E22</f>
        <v>323202</v>
      </c>
      <c r="F8" s="240">
        <f>D8+E8</f>
        <v>898236925</v>
      </c>
      <c r="G8" s="47"/>
      <c r="H8" s="47"/>
      <c r="I8" s="47"/>
    </row>
    <row r="9" spans="1:6" ht="13.5" customHeight="1" thickTop="1">
      <c r="A9" s="67"/>
      <c r="B9" s="67"/>
      <c r="C9" s="67" t="s">
        <v>89</v>
      </c>
      <c r="D9" s="261"/>
      <c r="E9" s="241"/>
      <c r="F9" s="241"/>
    </row>
    <row r="10" spans="1:9" ht="19.5" customHeight="1" thickBot="1">
      <c r="A10" s="67"/>
      <c r="B10" s="67"/>
      <c r="C10" s="242" t="s">
        <v>271</v>
      </c>
      <c r="D10" s="262">
        <v>618909278</v>
      </c>
      <c r="E10" s="243">
        <f>E11+E12+E13+E20+E21</f>
        <v>264030</v>
      </c>
      <c r="F10" s="243">
        <f aca="true" t="shared" si="0" ref="F10:F36">D10+E10</f>
        <v>619173308</v>
      </c>
      <c r="G10" s="47"/>
      <c r="I10" s="47"/>
    </row>
    <row r="11" spans="1:6" s="234" customFormat="1" ht="19.5" customHeight="1" thickBot="1">
      <c r="A11" s="85"/>
      <c r="B11" s="85"/>
      <c r="C11" s="244" t="s">
        <v>264</v>
      </c>
      <c r="D11" s="115">
        <v>403289173</v>
      </c>
      <c r="E11" s="71"/>
      <c r="F11" s="245">
        <f t="shared" si="0"/>
        <v>403289173</v>
      </c>
    </row>
    <row r="12" spans="1:6" s="234" customFormat="1" ht="19.5" customHeight="1" thickBot="1" thickTop="1">
      <c r="A12" s="85"/>
      <c r="B12" s="85"/>
      <c r="C12" s="246" t="s">
        <v>265</v>
      </c>
      <c r="D12" s="150">
        <v>107503206</v>
      </c>
      <c r="E12" s="247"/>
      <c r="F12" s="71">
        <f t="shared" si="0"/>
        <v>107503206</v>
      </c>
    </row>
    <row r="13" spans="1:6" s="234" customFormat="1" ht="19.5" customHeight="1" thickBot="1" thickTop="1">
      <c r="A13" s="85"/>
      <c r="B13" s="85"/>
      <c r="C13" s="246" t="s">
        <v>266</v>
      </c>
      <c r="D13" s="115">
        <v>30039170</v>
      </c>
      <c r="E13" s="71">
        <f>E14+E17</f>
        <v>264030</v>
      </c>
      <c r="F13" s="248">
        <f t="shared" si="0"/>
        <v>30303200</v>
      </c>
    </row>
    <row r="14" spans="1:6" ht="19.5" customHeight="1" thickTop="1">
      <c r="A14" s="182">
        <v>801</v>
      </c>
      <c r="B14" s="72"/>
      <c r="C14" s="227" t="s">
        <v>97</v>
      </c>
      <c r="D14" s="232">
        <v>1155343</v>
      </c>
      <c r="E14" s="250">
        <f>E15</f>
        <v>19947</v>
      </c>
      <c r="F14" s="87">
        <f t="shared" si="0"/>
        <v>1175290</v>
      </c>
    </row>
    <row r="15" spans="1:6" ht="20.25" customHeight="1">
      <c r="A15" s="251"/>
      <c r="B15" s="221">
        <v>80195</v>
      </c>
      <c r="C15" s="477" t="s">
        <v>96</v>
      </c>
      <c r="D15" s="424"/>
      <c r="E15" s="253">
        <f>E16</f>
        <v>19947</v>
      </c>
      <c r="F15" s="220">
        <f t="shared" si="0"/>
        <v>19947</v>
      </c>
    </row>
    <row r="16" spans="1:6" ht="29.25" customHeight="1">
      <c r="A16" s="183"/>
      <c r="B16" s="76"/>
      <c r="C16" s="478" t="s">
        <v>444</v>
      </c>
      <c r="D16" s="988"/>
      <c r="E16" s="995">
        <v>19947</v>
      </c>
      <c r="F16" s="612">
        <f t="shared" si="0"/>
        <v>19947</v>
      </c>
    </row>
    <row r="17" spans="1:6" ht="19.5" customHeight="1">
      <c r="A17" s="182">
        <v>852</v>
      </c>
      <c r="B17" s="72"/>
      <c r="C17" s="227" t="s">
        <v>98</v>
      </c>
      <c r="D17" s="232">
        <v>11525460</v>
      </c>
      <c r="E17" s="250">
        <f>E18</f>
        <v>244083</v>
      </c>
      <c r="F17" s="87">
        <f t="shared" si="0"/>
        <v>11769543</v>
      </c>
    </row>
    <row r="18" spans="1:6" ht="20.25" customHeight="1">
      <c r="A18" s="251"/>
      <c r="B18" s="221">
        <v>85295</v>
      </c>
      <c r="C18" s="477" t="s">
        <v>96</v>
      </c>
      <c r="D18" s="424">
        <v>2755917</v>
      </c>
      <c r="E18" s="253">
        <f>E19</f>
        <v>244083</v>
      </c>
      <c r="F18" s="220">
        <f t="shared" si="0"/>
        <v>3000000</v>
      </c>
    </row>
    <row r="19" spans="1:6" ht="28.5" customHeight="1">
      <c r="A19" s="183"/>
      <c r="B19" s="76"/>
      <c r="C19" s="996" t="s">
        <v>376</v>
      </c>
      <c r="D19" s="997">
        <v>2755917</v>
      </c>
      <c r="E19" s="995">
        <v>244083</v>
      </c>
      <c r="F19" s="612">
        <f t="shared" si="0"/>
        <v>3000000</v>
      </c>
    </row>
    <row r="20" spans="1:6" s="234" customFormat="1" ht="29.25" customHeight="1" thickBot="1">
      <c r="A20" s="258"/>
      <c r="B20" s="258"/>
      <c r="C20" s="259" t="s">
        <v>267</v>
      </c>
      <c r="D20" s="115">
        <v>821200</v>
      </c>
      <c r="E20" s="71"/>
      <c r="F20" s="71">
        <f t="shared" si="0"/>
        <v>821200</v>
      </c>
    </row>
    <row r="21" spans="1:6" s="234" customFormat="1" ht="31.5" customHeight="1" thickBot="1" thickTop="1">
      <c r="A21" s="258"/>
      <c r="B21" s="258"/>
      <c r="C21" s="259" t="s">
        <v>268</v>
      </c>
      <c r="D21" s="115">
        <v>77256529</v>
      </c>
      <c r="E21" s="71"/>
      <c r="F21" s="71">
        <f t="shared" si="0"/>
        <v>77256529</v>
      </c>
    </row>
    <row r="22" spans="1:6" s="234" customFormat="1" ht="20.25" customHeight="1" thickBot="1" thickTop="1">
      <c r="A22" s="67"/>
      <c r="B22" s="67"/>
      <c r="C22" s="86" t="s">
        <v>360</v>
      </c>
      <c r="D22" s="631">
        <v>279004445</v>
      </c>
      <c r="E22" s="632">
        <f>E23+E24+E25+E26+E27</f>
        <v>59172</v>
      </c>
      <c r="F22" s="632">
        <f t="shared" si="0"/>
        <v>279063617</v>
      </c>
    </row>
    <row r="23" spans="1:6" s="234" customFormat="1" ht="19.5" customHeight="1" thickBot="1">
      <c r="A23" s="85"/>
      <c r="B23" s="85"/>
      <c r="C23" s="624" t="s">
        <v>264</v>
      </c>
      <c r="D23" s="150">
        <v>72360210</v>
      </c>
      <c r="E23" s="625"/>
      <c r="F23" s="106">
        <f t="shared" si="0"/>
        <v>72360210</v>
      </c>
    </row>
    <row r="24" spans="1:6" s="234" customFormat="1" ht="20.25" customHeight="1" thickBot="1" thickTop="1">
      <c r="A24" s="85"/>
      <c r="B24" s="85"/>
      <c r="C24" s="626" t="s">
        <v>269</v>
      </c>
      <c r="D24" s="627">
        <v>133820759</v>
      </c>
      <c r="E24" s="628"/>
      <c r="F24" s="628">
        <f t="shared" si="0"/>
        <v>133820759</v>
      </c>
    </row>
    <row r="25" spans="1:6" s="234" customFormat="1" ht="19.5" customHeight="1" thickBot="1" thickTop="1">
      <c r="A25" s="85"/>
      <c r="B25" s="85"/>
      <c r="C25" s="246" t="s">
        <v>266</v>
      </c>
      <c r="D25" s="150">
        <v>46540946</v>
      </c>
      <c r="E25" s="106"/>
      <c r="F25" s="106">
        <f t="shared" si="0"/>
        <v>46540946</v>
      </c>
    </row>
    <row r="26" spans="1:6" ht="28.5" customHeight="1" thickTop="1">
      <c r="A26" s="86"/>
      <c r="B26" s="86"/>
      <c r="C26" s="1084" t="s">
        <v>267</v>
      </c>
      <c r="D26" s="1085">
        <v>4166025</v>
      </c>
      <c r="E26" s="630"/>
      <c r="F26" s="630">
        <f t="shared" si="0"/>
        <v>4166025</v>
      </c>
    </row>
    <row r="27" spans="1:6" ht="30" customHeight="1" thickBot="1">
      <c r="A27" s="86"/>
      <c r="B27" s="86"/>
      <c r="C27" s="1083" t="s">
        <v>421</v>
      </c>
      <c r="D27" s="150">
        <v>22116505</v>
      </c>
      <c r="E27" s="106">
        <f>E28+E31+E34</f>
        <v>59172</v>
      </c>
      <c r="F27" s="106">
        <f t="shared" si="0"/>
        <v>22175677</v>
      </c>
    </row>
    <row r="28" spans="1:6" ht="19.5" customHeight="1" thickTop="1">
      <c r="A28" s="962">
        <v>700</v>
      </c>
      <c r="B28" s="428"/>
      <c r="C28" s="476" t="s">
        <v>129</v>
      </c>
      <c r="D28" s="250">
        <v>708000</v>
      </c>
      <c r="E28" s="250">
        <f>E29</f>
        <v>1251</v>
      </c>
      <c r="F28" s="87">
        <f t="shared" si="0"/>
        <v>709251</v>
      </c>
    </row>
    <row r="29" spans="1:6" ht="19.5" customHeight="1">
      <c r="A29" s="447"/>
      <c r="B29" s="963">
        <v>70005</v>
      </c>
      <c r="C29" s="477" t="s">
        <v>130</v>
      </c>
      <c r="D29" s="253">
        <v>708000</v>
      </c>
      <c r="E29" s="253">
        <f>E30</f>
        <v>1251</v>
      </c>
      <c r="F29" s="220">
        <f t="shared" si="0"/>
        <v>709251</v>
      </c>
    </row>
    <row r="30" spans="1:6" ht="25.5">
      <c r="A30" s="66"/>
      <c r="B30" s="613"/>
      <c r="C30" s="998" t="s">
        <v>27</v>
      </c>
      <c r="D30" s="995">
        <v>708000</v>
      </c>
      <c r="E30" s="995">
        <v>1251</v>
      </c>
      <c r="F30" s="612">
        <f t="shared" si="0"/>
        <v>709251</v>
      </c>
    </row>
    <row r="31" spans="1:6" ht="19.5" customHeight="1">
      <c r="A31" s="962">
        <v>710</v>
      </c>
      <c r="B31" s="428"/>
      <c r="C31" s="476" t="s">
        <v>312</v>
      </c>
      <c r="D31" s="250">
        <v>562505</v>
      </c>
      <c r="E31" s="250">
        <f>E32</f>
        <v>51730</v>
      </c>
      <c r="F31" s="87">
        <f t="shared" si="0"/>
        <v>614235</v>
      </c>
    </row>
    <row r="32" spans="1:6" ht="19.5" customHeight="1">
      <c r="A32" s="447"/>
      <c r="B32" s="221">
        <v>71015</v>
      </c>
      <c r="C32" s="477" t="s">
        <v>446</v>
      </c>
      <c r="D32" s="253">
        <v>451168</v>
      </c>
      <c r="E32" s="253">
        <f>E33</f>
        <v>51730</v>
      </c>
      <c r="F32" s="220">
        <f t="shared" si="0"/>
        <v>502898</v>
      </c>
    </row>
    <row r="33" spans="1:6" ht="25.5">
      <c r="A33" s="69"/>
      <c r="B33" s="69"/>
      <c r="C33" s="998" t="s">
        <v>28</v>
      </c>
      <c r="D33" s="995">
        <v>451168</v>
      </c>
      <c r="E33" s="995">
        <v>51730</v>
      </c>
      <c r="F33" s="612">
        <f t="shared" si="0"/>
        <v>502898</v>
      </c>
    </row>
    <row r="34" spans="1:6" ht="19.5" customHeight="1">
      <c r="A34" s="73">
        <v>853</v>
      </c>
      <c r="B34" s="73"/>
      <c r="C34" s="92" t="s">
        <v>141</v>
      </c>
      <c r="D34" s="250">
        <v>585369</v>
      </c>
      <c r="E34" s="250">
        <f>E35</f>
        <v>6191</v>
      </c>
      <c r="F34" s="87">
        <f t="shared" si="0"/>
        <v>591560</v>
      </c>
    </row>
    <row r="35" spans="1:6" ht="19.5" customHeight="1">
      <c r="A35" s="447"/>
      <c r="B35" s="77">
        <v>85334</v>
      </c>
      <c r="C35" s="77" t="s">
        <v>372</v>
      </c>
      <c r="D35" s="253">
        <v>33369</v>
      </c>
      <c r="E35" s="253">
        <f>E36</f>
        <v>6191</v>
      </c>
      <c r="F35" s="220">
        <f t="shared" si="0"/>
        <v>39560</v>
      </c>
    </row>
    <row r="36" spans="1:6" ht="19.5" customHeight="1">
      <c r="A36" s="69"/>
      <c r="B36" s="69"/>
      <c r="C36" s="622" t="s">
        <v>374</v>
      </c>
      <c r="D36" s="995">
        <v>33369</v>
      </c>
      <c r="E36" s="995">
        <v>6191</v>
      </c>
      <c r="F36" s="612">
        <f t="shared" si="0"/>
        <v>39560</v>
      </c>
    </row>
    <row r="39" spans="3:6" ht="14.25">
      <c r="C39" s="1201" t="s">
        <v>562</v>
      </c>
      <c r="D39" s="1201" t="s">
        <v>559</v>
      </c>
      <c r="E39"/>
      <c r="F39" s="1200"/>
    </row>
    <row r="40" spans="3:6" ht="14.25">
      <c r="C40" s="1201" t="s">
        <v>563</v>
      </c>
      <c r="D40" s="1201" t="s">
        <v>560</v>
      </c>
      <c r="E40"/>
      <c r="F40" s="1200"/>
    </row>
    <row r="41" spans="3:6" ht="14.25">
      <c r="C41" s="1201" t="s">
        <v>558</v>
      </c>
      <c r="D41" s="1201" t="s">
        <v>561</v>
      </c>
      <c r="E41" s="1200"/>
      <c r="F41"/>
    </row>
    <row r="42" ht="12.75">
      <c r="C42" s="1202"/>
    </row>
  </sheetData>
  <printOptions horizontalCentered="1"/>
  <pageMargins left="0.4724409448818898" right="0.4724409448818898" top="0.6692913385826772" bottom="0.5905511811023623" header="0.5118110236220472" footer="0.3937007874015748"/>
  <pageSetup firstPageNumber="5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workbookViewId="0" topLeftCell="A4">
      <pane ySplit="1920" topLeftCell="BM1" activePane="bottomLeft" state="split"/>
      <selection pane="topLeft" activeCell="A55" sqref="A55"/>
      <selection pane="bottomLeft" activeCell="I8" sqref="I8"/>
    </sheetView>
  </sheetViews>
  <sheetFormatPr defaultColWidth="9.00390625" defaultRowHeight="12.75"/>
  <cols>
    <col min="1" max="1" width="32.25390625" style="481" customWidth="1"/>
    <col min="2" max="2" width="12.375" style="481" customWidth="1"/>
    <col min="3" max="3" width="11.125" style="481" customWidth="1"/>
    <col min="4" max="4" width="11.875" style="481" customWidth="1"/>
    <col min="5" max="6" width="12.00390625" style="481" customWidth="1"/>
    <col min="7" max="7" width="9.00390625" style="483" customWidth="1"/>
    <col min="8" max="8" width="11.75390625" style="481" customWidth="1"/>
    <col min="9" max="9" width="9.625" style="481" customWidth="1"/>
    <col min="10" max="11" width="10.875" style="481" customWidth="1"/>
    <col min="12" max="12" width="10.625" style="481" customWidth="1"/>
    <col min="13" max="13" width="7.875" style="481" customWidth="1"/>
    <col min="14" max="14" width="9.75390625" style="481" customWidth="1"/>
    <col min="15" max="15" width="13.375" style="481" customWidth="1"/>
    <col min="16" max="16" width="10.00390625" style="484" customWidth="1"/>
    <col min="17" max="17" width="11.75390625" style="485" customWidth="1"/>
    <col min="18" max="16384" width="9.125" style="485" customWidth="1"/>
  </cols>
  <sheetData>
    <row r="1" spans="1:16" ht="15.75" customHeight="1">
      <c r="A1" s="589" t="s">
        <v>157</v>
      </c>
      <c r="C1" s="482"/>
      <c r="D1" s="482"/>
      <c r="E1" s="482"/>
      <c r="F1" s="482"/>
      <c r="H1" s="482"/>
      <c r="P1" s="481"/>
    </row>
    <row r="2" ht="13.5" thickBot="1">
      <c r="P2" s="590" t="s">
        <v>68</v>
      </c>
    </row>
    <row r="3" spans="1:16" ht="14.25" customHeight="1" thickTop="1">
      <c r="A3" s="486"/>
      <c r="B3" s="1189" t="s">
        <v>206</v>
      </c>
      <c r="C3" s="1190"/>
      <c r="D3" s="591" t="s">
        <v>159</v>
      </c>
      <c r="E3" s="592"/>
      <c r="F3" s="751"/>
      <c r="G3" s="487"/>
      <c r="H3" s="487"/>
      <c r="I3" s="487" t="s">
        <v>160</v>
      </c>
      <c r="J3" s="487"/>
      <c r="K3" s="487"/>
      <c r="L3" s="487"/>
      <c r="M3" s="487"/>
      <c r="N3" s="601"/>
      <c r="O3" s="488" t="s">
        <v>158</v>
      </c>
      <c r="P3" s="489"/>
    </row>
    <row r="4" spans="1:16" s="492" customFormat="1" ht="12.75">
      <c r="A4" s="490" t="s">
        <v>207</v>
      </c>
      <c r="B4" s="491" t="s">
        <v>387</v>
      </c>
      <c r="C4" s="593" t="s">
        <v>208</v>
      </c>
      <c r="D4" s="492" t="s">
        <v>209</v>
      </c>
      <c r="E4" s="593" t="s">
        <v>210</v>
      </c>
      <c r="F4" s="752" t="s">
        <v>391</v>
      </c>
      <c r="G4" s="491" t="s">
        <v>211</v>
      </c>
      <c r="H4" s="491" t="s">
        <v>212</v>
      </c>
      <c r="I4" s="491" t="s">
        <v>213</v>
      </c>
      <c r="J4" s="491" t="s">
        <v>214</v>
      </c>
      <c r="K4" s="491" t="s">
        <v>478</v>
      </c>
      <c r="L4" s="491" t="s">
        <v>215</v>
      </c>
      <c r="M4" s="603" t="s">
        <v>216</v>
      </c>
      <c r="N4" s="755" t="s">
        <v>396</v>
      </c>
      <c r="O4" s="598" t="s">
        <v>152</v>
      </c>
      <c r="P4" s="586"/>
    </row>
    <row r="5" spans="1:16" s="492" customFormat="1" ht="12.75">
      <c r="A5" s="493" t="s">
        <v>217</v>
      </c>
      <c r="B5" s="494" t="s">
        <v>388</v>
      </c>
      <c r="C5" s="594" t="s">
        <v>218</v>
      </c>
      <c r="D5" s="557" t="s">
        <v>219</v>
      </c>
      <c r="E5" s="594" t="s">
        <v>220</v>
      </c>
      <c r="F5" s="753" t="s">
        <v>108</v>
      </c>
      <c r="G5" s="494" t="s">
        <v>221</v>
      </c>
      <c r="H5" s="491" t="s">
        <v>222</v>
      </c>
      <c r="I5" s="491" t="s">
        <v>222</v>
      </c>
      <c r="J5" s="491" t="s">
        <v>222</v>
      </c>
      <c r="K5" s="491" t="s">
        <v>479</v>
      </c>
      <c r="L5" s="491" t="s">
        <v>222</v>
      </c>
      <c r="M5" s="756" t="s">
        <v>161</v>
      </c>
      <c r="N5" s="757" t="s">
        <v>397</v>
      </c>
      <c r="O5" s="599" t="s">
        <v>108</v>
      </c>
      <c r="P5" s="587"/>
    </row>
    <row r="6" spans="1:16" s="492" customFormat="1" ht="12.75">
      <c r="A6" s="493"/>
      <c r="B6" s="494" t="s">
        <v>389</v>
      </c>
      <c r="C6" s="594" t="s">
        <v>223</v>
      </c>
      <c r="D6" s="557" t="s">
        <v>224</v>
      </c>
      <c r="E6" s="594" t="s">
        <v>225</v>
      </c>
      <c r="F6" s="753" t="s">
        <v>389</v>
      </c>
      <c r="G6" s="494" t="s">
        <v>226</v>
      </c>
      <c r="H6" s="491" t="s">
        <v>227</v>
      </c>
      <c r="I6" s="491" t="s">
        <v>228</v>
      </c>
      <c r="J6" s="491" t="s">
        <v>229</v>
      </c>
      <c r="K6" s="491" t="s">
        <v>230</v>
      </c>
      <c r="L6" s="491" t="s">
        <v>230</v>
      </c>
      <c r="M6" s="756" t="s">
        <v>162</v>
      </c>
      <c r="N6" s="757" t="s">
        <v>395</v>
      </c>
      <c r="O6" s="599" t="s">
        <v>153</v>
      </c>
      <c r="P6" s="587"/>
    </row>
    <row r="7" spans="1:16" s="492" customFormat="1" ht="12.75">
      <c r="A7" s="493"/>
      <c r="B7" s="494" t="s">
        <v>390</v>
      </c>
      <c r="C7" s="594" t="s">
        <v>231</v>
      </c>
      <c r="D7" s="557" t="s">
        <v>232</v>
      </c>
      <c r="E7" s="594" t="s">
        <v>233</v>
      </c>
      <c r="F7" s="753" t="s">
        <v>392</v>
      </c>
      <c r="G7" s="496" t="s">
        <v>235</v>
      </c>
      <c r="H7" s="491" t="s">
        <v>236</v>
      </c>
      <c r="I7" s="491"/>
      <c r="J7" s="494" t="s">
        <v>237</v>
      </c>
      <c r="K7" s="494" t="s">
        <v>480</v>
      </c>
      <c r="L7" s="491" t="s">
        <v>238</v>
      </c>
      <c r="M7" s="756" t="s">
        <v>163</v>
      </c>
      <c r="N7" s="757" t="s">
        <v>398</v>
      </c>
      <c r="O7" s="599" t="s">
        <v>148</v>
      </c>
      <c r="P7" s="586" t="s">
        <v>239</v>
      </c>
    </row>
    <row r="8" spans="1:16" s="492" customFormat="1" ht="12.75">
      <c r="A8" s="497" t="s">
        <v>207</v>
      </c>
      <c r="B8" s="491"/>
      <c r="C8" s="595"/>
      <c r="E8" s="594" t="s">
        <v>240</v>
      </c>
      <c r="F8" s="753" t="s">
        <v>393</v>
      </c>
      <c r="G8" s="496" t="s">
        <v>234</v>
      </c>
      <c r="H8" s="491" t="s">
        <v>241</v>
      </c>
      <c r="I8" s="491"/>
      <c r="J8" s="491"/>
      <c r="K8" s="491"/>
      <c r="L8" s="491"/>
      <c r="M8" s="756"/>
      <c r="N8" s="757" t="s">
        <v>399</v>
      </c>
      <c r="O8" s="599" t="s">
        <v>149</v>
      </c>
      <c r="P8" s="587"/>
    </row>
    <row r="9" spans="1:16" s="492" customFormat="1" ht="12.75">
      <c r="A9" s="497"/>
      <c r="B9" s="491"/>
      <c r="C9" s="595"/>
      <c r="E9" s="594"/>
      <c r="F9" s="753" t="s">
        <v>394</v>
      </c>
      <c r="G9" s="496"/>
      <c r="H9" s="491"/>
      <c r="I9" s="491"/>
      <c r="J9" s="491"/>
      <c r="K9" s="491"/>
      <c r="L9" s="491"/>
      <c r="M9" s="756"/>
      <c r="N9" s="757" t="s">
        <v>400</v>
      </c>
      <c r="O9" s="599" t="s">
        <v>150</v>
      </c>
      <c r="P9" s="587"/>
    </row>
    <row r="10" spans="1:16" s="492" customFormat="1" ht="12" customHeight="1">
      <c r="A10" s="497" t="s">
        <v>242</v>
      </c>
      <c r="B10" s="498"/>
      <c r="C10" s="596"/>
      <c r="D10" s="558"/>
      <c r="E10" s="597"/>
      <c r="F10" s="754"/>
      <c r="G10" s="499"/>
      <c r="H10" s="498"/>
      <c r="I10" s="498"/>
      <c r="J10" s="498"/>
      <c r="K10" s="498"/>
      <c r="L10" s="498"/>
      <c r="M10" s="500"/>
      <c r="N10" s="758" t="s">
        <v>401</v>
      </c>
      <c r="O10" s="600"/>
      <c r="P10" s="588"/>
    </row>
    <row r="11" spans="1:16" s="504" customFormat="1" ht="11.25">
      <c r="A11" s="501">
        <v>1</v>
      </c>
      <c r="B11" s="502">
        <v>2</v>
      </c>
      <c r="C11" s="502">
        <v>3</v>
      </c>
      <c r="D11" s="502">
        <v>4</v>
      </c>
      <c r="E11" s="502">
        <v>5</v>
      </c>
      <c r="F11" s="502">
        <v>6</v>
      </c>
      <c r="G11" s="502">
        <v>7</v>
      </c>
      <c r="H11" s="502">
        <v>8</v>
      </c>
      <c r="I11" s="502">
        <v>9</v>
      </c>
      <c r="J11" s="502">
        <v>10</v>
      </c>
      <c r="K11" s="502">
        <v>11</v>
      </c>
      <c r="L11" s="502">
        <v>12</v>
      </c>
      <c r="M11" s="502">
        <v>13</v>
      </c>
      <c r="N11" s="502">
        <v>14</v>
      </c>
      <c r="O11" s="502">
        <v>15</v>
      </c>
      <c r="P11" s="503">
        <v>16</v>
      </c>
    </row>
    <row r="12" spans="1:16" s="492" customFormat="1" ht="18" customHeight="1" thickBot="1">
      <c r="A12" s="505" t="s">
        <v>164</v>
      </c>
      <c r="B12" s="649">
        <f>B13</f>
        <v>116720</v>
      </c>
      <c r="C12" s="649">
        <f aca="true" t="shared" si="0" ref="C12:O12">C13</f>
        <v>8173</v>
      </c>
      <c r="D12" s="649">
        <f t="shared" si="0"/>
        <v>21086</v>
      </c>
      <c r="E12" s="649">
        <f t="shared" si="0"/>
        <v>3016</v>
      </c>
      <c r="F12" s="649">
        <f t="shared" si="0"/>
        <v>3000</v>
      </c>
      <c r="G12" s="649">
        <f t="shared" si="0"/>
        <v>224</v>
      </c>
      <c r="H12" s="649">
        <f t="shared" si="0"/>
        <v>23039</v>
      </c>
      <c r="I12" s="649">
        <f t="shared" si="0"/>
        <v>268600</v>
      </c>
      <c r="J12" s="649">
        <f t="shared" si="0"/>
        <v>717105</v>
      </c>
      <c r="K12" s="649">
        <f t="shared" si="0"/>
        <v>1110</v>
      </c>
      <c r="L12" s="649">
        <f t="shared" si="0"/>
        <v>22110</v>
      </c>
      <c r="M12" s="649">
        <f t="shared" si="0"/>
        <v>200</v>
      </c>
      <c r="N12" s="649">
        <f t="shared" si="0"/>
        <v>3840</v>
      </c>
      <c r="O12" s="649">
        <f t="shared" si="0"/>
        <v>13000</v>
      </c>
      <c r="P12" s="650">
        <f aca="true" t="shared" si="1" ref="P12:P27">SUM(B12:O12)</f>
        <v>1201223</v>
      </c>
    </row>
    <row r="13" spans="1:16" s="507" customFormat="1" ht="18" customHeight="1">
      <c r="A13" s="506" t="s">
        <v>91</v>
      </c>
      <c r="B13" s="651">
        <f>B14+B101+B117+B93</f>
        <v>116720</v>
      </c>
      <c r="C13" s="651">
        <f aca="true" t="shared" si="2" ref="C13:O13">C14+C101+C117+C93</f>
        <v>8173</v>
      </c>
      <c r="D13" s="651">
        <f t="shared" si="2"/>
        <v>21086</v>
      </c>
      <c r="E13" s="651">
        <f t="shared" si="2"/>
        <v>3016</v>
      </c>
      <c r="F13" s="651">
        <f t="shared" si="2"/>
        <v>3000</v>
      </c>
      <c r="G13" s="651">
        <f t="shared" si="2"/>
        <v>224</v>
      </c>
      <c r="H13" s="651">
        <f t="shared" si="2"/>
        <v>23039</v>
      </c>
      <c r="I13" s="651">
        <f t="shared" si="2"/>
        <v>268600</v>
      </c>
      <c r="J13" s="651">
        <f t="shared" si="2"/>
        <v>717105</v>
      </c>
      <c r="K13" s="651">
        <f t="shared" si="2"/>
        <v>1110</v>
      </c>
      <c r="L13" s="651">
        <f t="shared" si="2"/>
        <v>22110</v>
      </c>
      <c r="M13" s="651">
        <f t="shared" si="2"/>
        <v>200</v>
      </c>
      <c r="N13" s="651">
        <f t="shared" si="2"/>
        <v>3840</v>
      </c>
      <c r="O13" s="651">
        <f t="shared" si="2"/>
        <v>13000</v>
      </c>
      <c r="P13" s="651">
        <f t="shared" si="1"/>
        <v>1201223</v>
      </c>
    </row>
    <row r="14" spans="1:16" s="492" customFormat="1" ht="24" customHeight="1" thickBot="1">
      <c r="A14" s="871" t="s">
        <v>243</v>
      </c>
      <c r="B14" s="872">
        <f>B15+B23+B25+B27+B65+B71+B77+B80+B85+B87</f>
        <v>93540</v>
      </c>
      <c r="C14" s="872">
        <f>C15+C23+C25+C27+C65+C71+C77+C80+C85+C87</f>
        <v>8000</v>
      </c>
      <c r="D14" s="872">
        <f>D15+D23+D25+D27+D65+D71+D77+D80+D85+D87</f>
        <v>15910</v>
      </c>
      <c r="E14" s="872">
        <f>E15+E23+E25+E27+E65+E71+E77+E80+E85+E87</f>
        <v>2280</v>
      </c>
      <c r="F14" s="872">
        <f>F15+F23+F25+F27+F65+F71+F77+F80+F85+F87</f>
        <v>600</v>
      </c>
      <c r="G14" s="872"/>
      <c r="H14" s="872">
        <f>H15+H23+H25+H27+H65+H71+H77+H80+H85+H87</f>
        <v>19064</v>
      </c>
      <c r="I14" s="872">
        <f>I15+I23+I25+I27+I65+I71+I77+I80+I85+I87</f>
        <v>251800</v>
      </c>
      <c r="J14" s="872">
        <f>J15+J23+J25+J27+J65+J71+J77+J80+J85+J87</f>
        <v>701905</v>
      </c>
      <c r="K14" s="872">
        <f>K15+K23+K25+K27+K65+K71+K77+K80+K85+K87</f>
        <v>710</v>
      </c>
      <c r="L14" s="872">
        <f>L15+L23+L25+L27+L65+L71+L77+L80+L85+L87</f>
        <v>9370</v>
      </c>
      <c r="M14" s="872"/>
      <c r="N14" s="872">
        <f>N15+N23+N25+N27+N65+N71+N77+N80+N85+N87</f>
        <v>2980</v>
      </c>
      <c r="O14" s="872">
        <f>O15+O23+O25+O27+O65+O71+O77+O80+O85+O87</f>
        <v>-4000</v>
      </c>
      <c r="P14" s="873">
        <f t="shared" si="1"/>
        <v>1102159</v>
      </c>
    </row>
    <row r="15" spans="1:16" ht="27.75" customHeight="1" thickBot="1" thickTop="1">
      <c r="A15" s="511" t="s">
        <v>358</v>
      </c>
      <c r="B15" s="652">
        <f>SUM(B16:B22)</f>
        <v>69170</v>
      </c>
      <c r="C15" s="652">
        <f>SUM(C16:C22)</f>
        <v>8000</v>
      </c>
      <c r="D15" s="652">
        <f>SUM(D16:D22)</f>
        <v>11600</v>
      </c>
      <c r="E15" s="652">
        <f>SUM(E16:E22)</f>
        <v>1670</v>
      </c>
      <c r="F15" s="652">
        <f>SUM(F16:F22)</f>
        <v>600</v>
      </c>
      <c r="G15" s="652"/>
      <c r="H15" s="652">
        <f>SUM(H16:H22)</f>
        <v>3800</v>
      </c>
      <c r="I15" s="652">
        <f>SUM(I16:I22)</f>
        <v>90000</v>
      </c>
      <c r="J15" s="652">
        <f>SUM(J16:J22)</f>
        <v>36930</v>
      </c>
      <c r="K15" s="652"/>
      <c r="L15" s="652">
        <f>SUM(L16:L22)</f>
        <v>7770</v>
      </c>
      <c r="M15" s="652"/>
      <c r="N15" s="652">
        <f>SUM(N16:N22)</f>
        <v>2980</v>
      </c>
      <c r="O15" s="122"/>
      <c r="P15" s="848">
        <f>SUM(B15:O15)</f>
        <v>232520</v>
      </c>
    </row>
    <row r="16" spans="1:16" ht="18" customHeight="1">
      <c r="A16" s="512" t="s">
        <v>512</v>
      </c>
      <c r="B16" s="509"/>
      <c r="C16" s="509"/>
      <c r="D16" s="509"/>
      <c r="E16" s="509"/>
      <c r="F16" s="509"/>
      <c r="G16" s="509"/>
      <c r="H16" s="509"/>
      <c r="I16" s="509"/>
      <c r="J16" s="509">
        <v>3700</v>
      </c>
      <c r="K16" s="509"/>
      <c r="L16" s="509"/>
      <c r="M16" s="509"/>
      <c r="N16" s="654"/>
      <c r="O16" s="654"/>
      <c r="P16" s="648">
        <f t="shared" si="1"/>
        <v>3700</v>
      </c>
    </row>
    <row r="17" spans="1:16" ht="18" customHeight="1">
      <c r="A17" s="512" t="s">
        <v>168</v>
      </c>
      <c r="B17" s="509"/>
      <c r="C17" s="509"/>
      <c r="D17" s="509"/>
      <c r="E17" s="509"/>
      <c r="F17" s="509"/>
      <c r="G17" s="509"/>
      <c r="H17" s="509"/>
      <c r="I17" s="509">
        <v>20000</v>
      </c>
      <c r="J17" s="509"/>
      <c r="K17" s="509"/>
      <c r="L17" s="509">
        <v>7000</v>
      </c>
      <c r="M17" s="509"/>
      <c r="N17" s="654"/>
      <c r="O17" s="654"/>
      <c r="P17" s="648">
        <f t="shared" si="1"/>
        <v>27000</v>
      </c>
    </row>
    <row r="18" spans="1:16" ht="18" customHeight="1">
      <c r="A18" s="512" t="s">
        <v>169</v>
      </c>
      <c r="B18" s="655">
        <v>54000</v>
      </c>
      <c r="C18" s="655"/>
      <c r="D18" s="655">
        <v>9000</v>
      </c>
      <c r="E18" s="655">
        <v>1300</v>
      </c>
      <c r="F18" s="655"/>
      <c r="G18" s="655"/>
      <c r="H18" s="655">
        <v>15000</v>
      </c>
      <c r="I18" s="655">
        <v>54000</v>
      </c>
      <c r="J18" s="655"/>
      <c r="K18" s="655"/>
      <c r="L18" s="655">
        <v>10000</v>
      </c>
      <c r="M18" s="655"/>
      <c r="N18" s="654">
        <v>2200</v>
      </c>
      <c r="O18" s="654"/>
      <c r="P18" s="648">
        <f t="shared" si="1"/>
        <v>145500</v>
      </c>
    </row>
    <row r="19" spans="1:16" ht="18" customHeight="1">
      <c r="A19" s="512" t="s">
        <v>513</v>
      </c>
      <c r="B19" s="655"/>
      <c r="C19" s="655"/>
      <c r="D19" s="655"/>
      <c r="E19" s="655"/>
      <c r="F19" s="655"/>
      <c r="G19" s="655"/>
      <c r="H19" s="655"/>
      <c r="I19" s="655"/>
      <c r="J19" s="655">
        <v>6000</v>
      </c>
      <c r="K19" s="655"/>
      <c r="L19" s="655"/>
      <c r="M19" s="655"/>
      <c r="N19" s="654"/>
      <c r="O19" s="654"/>
      <c r="P19" s="648">
        <f t="shared" si="1"/>
        <v>6000</v>
      </c>
    </row>
    <row r="20" spans="1:16" ht="18" customHeight="1">
      <c r="A20" s="512" t="s">
        <v>170</v>
      </c>
      <c r="B20" s="655"/>
      <c r="C20" s="655"/>
      <c r="D20" s="655"/>
      <c r="E20" s="655"/>
      <c r="F20" s="655"/>
      <c r="G20" s="655"/>
      <c r="H20" s="655">
        <v>-13700</v>
      </c>
      <c r="I20" s="655"/>
      <c r="J20" s="655">
        <v>18700</v>
      </c>
      <c r="K20" s="655"/>
      <c r="L20" s="655">
        <v>-5000</v>
      </c>
      <c r="M20" s="655"/>
      <c r="N20" s="654"/>
      <c r="O20" s="654"/>
      <c r="P20" s="648">
        <f t="shared" si="1"/>
        <v>0</v>
      </c>
    </row>
    <row r="21" spans="1:16" ht="18" customHeight="1">
      <c r="A21" s="512" t="s">
        <v>189</v>
      </c>
      <c r="B21" s="655">
        <v>15170</v>
      </c>
      <c r="C21" s="655">
        <v>8000</v>
      </c>
      <c r="D21" s="655">
        <v>2600</v>
      </c>
      <c r="E21" s="655">
        <v>370</v>
      </c>
      <c r="F21" s="655">
        <v>600</v>
      </c>
      <c r="G21" s="655"/>
      <c r="H21" s="655">
        <v>2500</v>
      </c>
      <c r="I21" s="655">
        <v>16000</v>
      </c>
      <c r="J21" s="655"/>
      <c r="K21" s="655"/>
      <c r="L21" s="655">
        <v>4300</v>
      </c>
      <c r="M21" s="655"/>
      <c r="N21" s="654">
        <v>780</v>
      </c>
      <c r="O21" s="654"/>
      <c r="P21" s="648">
        <f t="shared" si="1"/>
        <v>50320</v>
      </c>
    </row>
    <row r="22" spans="1:16" ht="18" customHeight="1" thickBot="1">
      <c r="A22" s="949" t="s">
        <v>190</v>
      </c>
      <c r="B22" s="123"/>
      <c r="C22" s="123"/>
      <c r="D22" s="123"/>
      <c r="E22" s="123"/>
      <c r="F22" s="123"/>
      <c r="G22" s="123"/>
      <c r="H22" s="123"/>
      <c r="I22" s="123"/>
      <c r="J22" s="123">
        <v>8530</v>
      </c>
      <c r="K22" s="123"/>
      <c r="L22" s="123">
        <v>-8530</v>
      </c>
      <c r="M22" s="123"/>
      <c r="N22" s="942"/>
      <c r="O22" s="942"/>
      <c r="P22" s="843">
        <f t="shared" si="1"/>
        <v>0</v>
      </c>
    </row>
    <row r="23" spans="1:16" ht="42" customHeight="1" thickBot="1">
      <c r="A23" s="515" t="s">
        <v>402</v>
      </c>
      <c r="B23" s="657">
        <f>B24</f>
        <v>13970</v>
      </c>
      <c r="C23" s="657"/>
      <c r="D23" s="657">
        <f>D24</f>
        <v>2440</v>
      </c>
      <c r="E23" s="657">
        <f>E24</f>
        <v>350</v>
      </c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844">
        <f t="shared" si="1"/>
        <v>16760</v>
      </c>
    </row>
    <row r="24" spans="1:16" ht="18" customHeight="1" thickBot="1">
      <c r="A24" s="512" t="s">
        <v>186</v>
      </c>
      <c r="B24" s="509">
        <v>13970</v>
      </c>
      <c r="C24" s="509"/>
      <c r="D24" s="509">
        <v>2440</v>
      </c>
      <c r="E24" s="509">
        <v>350</v>
      </c>
      <c r="F24" s="509"/>
      <c r="G24" s="509"/>
      <c r="H24" s="509"/>
      <c r="I24" s="509"/>
      <c r="J24" s="509"/>
      <c r="K24" s="509"/>
      <c r="L24" s="509"/>
      <c r="M24" s="509"/>
      <c r="N24" s="654"/>
      <c r="O24" s="654"/>
      <c r="P24" s="648">
        <f t="shared" si="1"/>
        <v>16760</v>
      </c>
    </row>
    <row r="25" spans="1:16" ht="39" customHeight="1" thickBot="1">
      <c r="A25" s="515" t="s">
        <v>406</v>
      </c>
      <c r="B25" s="657">
        <f>B26</f>
        <v>10400</v>
      </c>
      <c r="C25" s="657"/>
      <c r="D25" s="657">
        <f>D26</f>
        <v>1870</v>
      </c>
      <c r="E25" s="657">
        <f>E26</f>
        <v>260</v>
      </c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844">
        <f t="shared" si="1"/>
        <v>12530</v>
      </c>
    </row>
    <row r="26" spans="1:16" ht="18" customHeight="1" thickBot="1">
      <c r="A26" s="512" t="s">
        <v>58</v>
      </c>
      <c r="B26" s="655">
        <v>10400</v>
      </c>
      <c r="C26" s="655"/>
      <c r="D26" s="655">
        <v>1870</v>
      </c>
      <c r="E26" s="655">
        <v>260</v>
      </c>
      <c r="F26" s="655"/>
      <c r="G26" s="655"/>
      <c r="H26" s="655"/>
      <c r="I26" s="655"/>
      <c r="J26" s="655"/>
      <c r="K26" s="655"/>
      <c r="L26" s="655"/>
      <c r="M26" s="655"/>
      <c r="N26" s="654"/>
      <c r="O26" s="654"/>
      <c r="P26" s="648">
        <f t="shared" si="1"/>
        <v>12530</v>
      </c>
    </row>
    <row r="27" spans="1:16" s="495" customFormat="1" ht="18" customHeight="1" thickBot="1">
      <c r="A27" s="515" t="s">
        <v>244</v>
      </c>
      <c r="B27" s="657"/>
      <c r="C27" s="657"/>
      <c r="D27" s="657"/>
      <c r="E27" s="657"/>
      <c r="F27" s="657"/>
      <c r="G27" s="657"/>
      <c r="H27" s="657">
        <f>SUM(H28:H64)</f>
        <v>13764</v>
      </c>
      <c r="I27" s="657">
        <f>SUM(I28:I64)</f>
        <v>52800</v>
      </c>
      <c r="J27" s="657">
        <f>SUM(J28:J64)</f>
        <v>3900</v>
      </c>
      <c r="K27" s="657">
        <f>SUM(K28:K64)</f>
        <v>710</v>
      </c>
      <c r="L27" s="657">
        <f>SUM(L28:L64)</f>
        <v>1600</v>
      </c>
      <c r="M27" s="657"/>
      <c r="N27" s="657"/>
      <c r="O27" s="657">
        <f>SUM(O28:O64)</f>
        <v>-4000</v>
      </c>
      <c r="P27" s="658">
        <f t="shared" si="1"/>
        <v>68774</v>
      </c>
    </row>
    <row r="28" spans="1:16" ht="18" customHeight="1">
      <c r="A28" s="512" t="s">
        <v>282</v>
      </c>
      <c r="B28" s="509"/>
      <c r="C28" s="509"/>
      <c r="D28" s="509"/>
      <c r="E28" s="509"/>
      <c r="F28" s="509"/>
      <c r="G28" s="509"/>
      <c r="H28" s="509"/>
      <c r="I28" s="509">
        <v>2000</v>
      </c>
      <c r="J28" s="509"/>
      <c r="K28" s="509"/>
      <c r="L28" s="509"/>
      <c r="M28" s="509"/>
      <c r="N28" s="510"/>
      <c r="O28" s="510"/>
      <c r="P28" s="648">
        <f aca="true" t="shared" si="3" ref="P28:P64">SUM(B28:O28)</f>
        <v>2000</v>
      </c>
    </row>
    <row r="29" spans="1:16" ht="18" customHeight="1">
      <c r="A29" s="512" t="s">
        <v>468</v>
      </c>
      <c r="B29" s="509"/>
      <c r="C29" s="509"/>
      <c r="D29" s="509"/>
      <c r="E29" s="509"/>
      <c r="F29" s="509"/>
      <c r="G29" s="509"/>
      <c r="H29" s="509">
        <v>2700</v>
      </c>
      <c r="I29" s="509"/>
      <c r="J29" s="509"/>
      <c r="K29" s="509">
        <v>56</v>
      </c>
      <c r="L29" s="509"/>
      <c r="M29" s="509"/>
      <c r="N29" s="510"/>
      <c r="O29" s="510"/>
      <c r="P29" s="648">
        <f t="shared" si="3"/>
        <v>2756</v>
      </c>
    </row>
    <row r="30" spans="1:16" ht="18" customHeight="1">
      <c r="A30" s="512" t="s">
        <v>283</v>
      </c>
      <c r="B30" s="509"/>
      <c r="C30" s="509"/>
      <c r="D30" s="509"/>
      <c r="E30" s="509"/>
      <c r="F30" s="509"/>
      <c r="G30" s="509"/>
      <c r="H30" s="509"/>
      <c r="I30" s="509">
        <v>1500</v>
      </c>
      <c r="J30" s="509"/>
      <c r="K30" s="509"/>
      <c r="L30" s="509"/>
      <c r="M30" s="509"/>
      <c r="N30" s="510"/>
      <c r="O30" s="510"/>
      <c r="P30" s="648">
        <f t="shared" si="3"/>
        <v>1500</v>
      </c>
    </row>
    <row r="31" spans="1:16" ht="18" customHeight="1">
      <c r="A31" s="512" t="s">
        <v>469</v>
      </c>
      <c r="B31" s="509"/>
      <c r="C31" s="509"/>
      <c r="D31" s="509"/>
      <c r="E31" s="509"/>
      <c r="F31" s="509"/>
      <c r="G31" s="509"/>
      <c r="H31" s="509"/>
      <c r="I31" s="509">
        <v>4000</v>
      </c>
      <c r="J31" s="509"/>
      <c r="K31" s="509"/>
      <c r="L31" s="509"/>
      <c r="M31" s="509"/>
      <c r="N31" s="510"/>
      <c r="O31" s="510"/>
      <c r="P31" s="648">
        <f t="shared" si="3"/>
        <v>4000</v>
      </c>
    </row>
    <row r="32" spans="1:16" ht="18" customHeight="1">
      <c r="A32" s="512" t="s">
        <v>470</v>
      </c>
      <c r="B32" s="509"/>
      <c r="C32" s="509"/>
      <c r="D32" s="509"/>
      <c r="E32" s="509"/>
      <c r="F32" s="509"/>
      <c r="G32" s="509"/>
      <c r="H32" s="509">
        <v>600</v>
      </c>
      <c r="I32" s="509">
        <v>4000</v>
      </c>
      <c r="J32" s="509">
        <v>-600</v>
      </c>
      <c r="K32" s="509">
        <v>45</v>
      </c>
      <c r="L32" s="509"/>
      <c r="M32" s="509"/>
      <c r="N32" s="510"/>
      <c r="O32" s="510"/>
      <c r="P32" s="648">
        <f t="shared" si="3"/>
        <v>4045</v>
      </c>
    </row>
    <row r="33" spans="1:16" ht="18" customHeight="1">
      <c r="A33" s="512" t="s">
        <v>471</v>
      </c>
      <c r="B33" s="509"/>
      <c r="C33" s="509"/>
      <c r="D33" s="509"/>
      <c r="E33" s="509"/>
      <c r="F33" s="509"/>
      <c r="G33" s="509"/>
      <c r="H33" s="509">
        <v>700</v>
      </c>
      <c r="I33" s="509"/>
      <c r="J33" s="509"/>
      <c r="K33" s="509"/>
      <c r="L33" s="509">
        <v>1600</v>
      </c>
      <c r="M33" s="509"/>
      <c r="N33" s="510"/>
      <c r="O33" s="510"/>
      <c r="P33" s="648">
        <f t="shared" si="3"/>
        <v>2300</v>
      </c>
    </row>
    <row r="34" spans="1:16" ht="18" customHeight="1">
      <c r="A34" s="512" t="s">
        <v>472</v>
      </c>
      <c r="B34" s="509"/>
      <c r="C34" s="509"/>
      <c r="D34" s="509"/>
      <c r="E34" s="509"/>
      <c r="F34" s="509"/>
      <c r="G34" s="509"/>
      <c r="H34" s="509"/>
      <c r="I34" s="509">
        <v>4000</v>
      </c>
      <c r="J34" s="509"/>
      <c r="K34" s="509"/>
      <c r="L34" s="509"/>
      <c r="M34" s="509"/>
      <c r="N34" s="510"/>
      <c r="O34" s="510"/>
      <c r="P34" s="648">
        <f t="shared" si="3"/>
        <v>4000</v>
      </c>
    </row>
    <row r="35" spans="1:16" ht="18" customHeight="1">
      <c r="A35" s="512" t="s">
        <v>473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>
        <v>45</v>
      </c>
      <c r="L35" s="509"/>
      <c r="M35" s="509"/>
      <c r="N35" s="510"/>
      <c r="O35" s="510"/>
      <c r="P35" s="648">
        <f t="shared" si="3"/>
        <v>45</v>
      </c>
    </row>
    <row r="36" spans="1:16" ht="18" customHeight="1">
      <c r="A36" s="512" t="s">
        <v>474</v>
      </c>
      <c r="B36" s="509"/>
      <c r="C36" s="509"/>
      <c r="D36" s="509"/>
      <c r="E36" s="509"/>
      <c r="F36" s="509"/>
      <c r="G36" s="509"/>
      <c r="H36" s="509"/>
      <c r="I36" s="509">
        <v>400</v>
      </c>
      <c r="J36" s="509"/>
      <c r="K36" s="509"/>
      <c r="L36" s="509"/>
      <c r="M36" s="509"/>
      <c r="N36" s="510"/>
      <c r="O36" s="510"/>
      <c r="P36" s="648">
        <f t="shared" si="3"/>
        <v>400</v>
      </c>
    </row>
    <row r="37" spans="1:16" ht="18" customHeight="1">
      <c r="A37" s="512" t="s">
        <v>475</v>
      </c>
      <c r="B37" s="509"/>
      <c r="C37" s="509"/>
      <c r="D37" s="509"/>
      <c r="E37" s="509"/>
      <c r="F37" s="509"/>
      <c r="G37" s="509"/>
      <c r="H37" s="509">
        <v>500</v>
      </c>
      <c r="I37" s="509"/>
      <c r="J37" s="509"/>
      <c r="K37" s="509"/>
      <c r="L37" s="509"/>
      <c r="M37" s="509"/>
      <c r="N37" s="510"/>
      <c r="O37" s="510"/>
      <c r="P37" s="648">
        <f t="shared" si="3"/>
        <v>500</v>
      </c>
    </row>
    <row r="38" spans="1:16" ht="18" customHeight="1">
      <c r="A38" s="512" t="s">
        <v>284</v>
      </c>
      <c r="B38" s="509"/>
      <c r="C38" s="509"/>
      <c r="D38" s="509"/>
      <c r="E38" s="509"/>
      <c r="F38" s="509"/>
      <c r="G38" s="509"/>
      <c r="H38" s="509"/>
      <c r="I38" s="509">
        <v>1000</v>
      </c>
      <c r="J38" s="509"/>
      <c r="K38" s="509">
        <v>59</v>
      </c>
      <c r="L38" s="509"/>
      <c r="M38" s="509"/>
      <c r="N38" s="510"/>
      <c r="O38" s="510"/>
      <c r="P38" s="648">
        <f t="shared" si="3"/>
        <v>1059</v>
      </c>
    </row>
    <row r="39" spans="1:16" ht="18" customHeight="1">
      <c r="A39" s="512" t="s">
        <v>481</v>
      </c>
      <c r="B39" s="509"/>
      <c r="C39" s="509"/>
      <c r="D39" s="509"/>
      <c r="E39" s="509"/>
      <c r="F39" s="509"/>
      <c r="G39" s="509"/>
      <c r="H39" s="509">
        <v>500</v>
      </c>
      <c r="I39" s="509">
        <v>2000</v>
      </c>
      <c r="J39" s="509"/>
      <c r="K39" s="509">
        <v>123</v>
      </c>
      <c r="L39" s="509"/>
      <c r="M39" s="509"/>
      <c r="N39" s="510"/>
      <c r="O39" s="510"/>
      <c r="P39" s="648">
        <f t="shared" si="3"/>
        <v>2623</v>
      </c>
    </row>
    <row r="40" spans="1:16" ht="18" customHeight="1">
      <c r="A40" s="512" t="s">
        <v>482</v>
      </c>
      <c r="B40" s="509"/>
      <c r="C40" s="509"/>
      <c r="D40" s="509"/>
      <c r="E40" s="509"/>
      <c r="F40" s="509"/>
      <c r="G40" s="509"/>
      <c r="H40" s="509">
        <v>608</v>
      </c>
      <c r="I40" s="509">
        <v>2000</v>
      </c>
      <c r="J40" s="509"/>
      <c r="K40" s="509">
        <v>135</v>
      </c>
      <c r="L40" s="509"/>
      <c r="M40" s="509"/>
      <c r="N40" s="510"/>
      <c r="O40" s="510"/>
      <c r="P40" s="648">
        <f t="shared" si="3"/>
        <v>2743</v>
      </c>
    </row>
    <row r="41" spans="1:16" ht="18" customHeight="1">
      <c r="A41" s="512" t="s">
        <v>483</v>
      </c>
      <c r="B41" s="509"/>
      <c r="C41" s="509"/>
      <c r="D41" s="509"/>
      <c r="E41" s="509"/>
      <c r="F41" s="509"/>
      <c r="G41" s="509"/>
      <c r="H41" s="509"/>
      <c r="I41" s="509">
        <v>4000</v>
      </c>
      <c r="J41" s="509"/>
      <c r="K41" s="509"/>
      <c r="L41" s="509"/>
      <c r="M41" s="509"/>
      <c r="N41" s="510"/>
      <c r="O41" s="510"/>
      <c r="P41" s="648">
        <f t="shared" si="3"/>
        <v>4000</v>
      </c>
    </row>
    <row r="42" spans="1:16" ht="18" customHeight="1">
      <c r="A42" s="512" t="s">
        <v>484</v>
      </c>
      <c r="B42" s="509"/>
      <c r="C42" s="509"/>
      <c r="D42" s="509"/>
      <c r="E42" s="509"/>
      <c r="F42" s="509"/>
      <c r="G42" s="509"/>
      <c r="H42" s="509"/>
      <c r="I42" s="509">
        <v>4000</v>
      </c>
      <c r="J42" s="509"/>
      <c r="K42" s="509"/>
      <c r="L42" s="509"/>
      <c r="M42" s="509"/>
      <c r="N42" s="510"/>
      <c r="O42" s="510"/>
      <c r="P42" s="648">
        <f t="shared" si="3"/>
        <v>4000</v>
      </c>
    </row>
    <row r="43" spans="1:16" ht="18" customHeight="1">
      <c r="A43" s="512" t="s">
        <v>285</v>
      </c>
      <c r="B43" s="509"/>
      <c r="C43" s="509"/>
      <c r="D43" s="509"/>
      <c r="E43" s="509"/>
      <c r="F43" s="509"/>
      <c r="G43" s="509"/>
      <c r="H43" s="509"/>
      <c r="I43" s="509">
        <v>1500</v>
      </c>
      <c r="J43" s="509"/>
      <c r="K43" s="509"/>
      <c r="L43" s="509"/>
      <c r="M43" s="509"/>
      <c r="N43" s="510"/>
      <c r="O43" s="510"/>
      <c r="P43" s="648">
        <f t="shared" si="3"/>
        <v>1500</v>
      </c>
    </row>
    <row r="44" spans="1:16" ht="18" customHeight="1">
      <c r="A44" s="512" t="s">
        <v>514</v>
      </c>
      <c r="B44" s="509"/>
      <c r="C44" s="509"/>
      <c r="D44" s="509"/>
      <c r="E44" s="509"/>
      <c r="F44" s="509"/>
      <c r="G44" s="509"/>
      <c r="H44" s="509"/>
      <c r="I44" s="509"/>
      <c r="J44" s="509">
        <v>2000</v>
      </c>
      <c r="K44" s="509"/>
      <c r="L44" s="509"/>
      <c r="M44" s="509"/>
      <c r="N44" s="510"/>
      <c r="O44" s="510"/>
      <c r="P44" s="648">
        <f t="shared" si="3"/>
        <v>2000</v>
      </c>
    </row>
    <row r="45" spans="1:16" ht="18" customHeight="1">
      <c r="A45" s="512" t="s">
        <v>485</v>
      </c>
      <c r="B45" s="509"/>
      <c r="C45" s="509"/>
      <c r="D45" s="509"/>
      <c r="E45" s="509"/>
      <c r="F45" s="509"/>
      <c r="G45" s="509"/>
      <c r="H45" s="509">
        <v>200</v>
      </c>
      <c r="I45" s="509">
        <v>1200</v>
      </c>
      <c r="J45" s="509"/>
      <c r="K45" s="509"/>
      <c r="L45" s="509"/>
      <c r="M45" s="509"/>
      <c r="N45" s="510"/>
      <c r="O45" s="510"/>
      <c r="P45" s="648">
        <f t="shared" si="3"/>
        <v>1400</v>
      </c>
    </row>
    <row r="46" spans="1:16" ht="18" customHeight="1">
      <c r="A46" s="512" t="s">
        <v>286</v>
      </c>
      <c r="B46" s="509"/>
      <c r="C46" s="509"/>
      <c r="D46" s="509"/>
      <c r="E46" s="509"/>
      <c r="F46" s="509"/>
      <c r="G46" s="509"/>
      <c r="H46" s="509"/>
      <c r="I46" s="509">
        <v>2000</v>
      </c>
      <c r="J46" s="509"/>
      <c r="K46" s="509">
        <v>55</v>
      </c>
      <c r="L46" s="509"/>
      <c r="M46" s="509"/>
      <c r="N46" s="510"/>
      <c r="O46" s="510"/>
      <c r="P46" s="648">
        <f t="shared" si="3"/>
        <v>2055</v>
      </c>
    </row>
    <row r="47" spans="1:16" ht="18" customHeight="1">
      <c r="A47" s="512" t="s">
        <v>486</v>
      </c>
      <c r="B47" s="509"/>
      <c r="C47" s="509"/>
      <c r="D47" s="509"/>
      <c r="E47" s="509"/>
      <c r="F47" s="509"/>
      <c r="G47" s="509"/>
      <c r="H47" s="509">
        <v>500</v>
      </c>
      <c r="I47" s="509">
        <v>2000</v>
      </c>
      <c r="J47" s="509"/>
      <c r="K47" s="509"/>
      <c r="L47" s="509"/>
      <c r="M47" s="509"/>
      <c r="N47" s="510"/>
      <c r="O47" s="510"/>
      <c r="P47" s="648">
        <f t="shared" si="3"/>
        <v>2500</v>
      </c>
    </row>
    <row r="48" spans="1:16" ht="18" customHeight="1">
      <c r="A48" s="512" t="s">
        <v>287</v>
      </c>
      <c r="B48" s="509"/>
      <c r="C48" s="509"/>
      <c r="D48" s="509"/>
      <c r="E48" s="509"/>
      <c r="F48" s="509"/>
      <c r="G48" s="509"/>
      <c r="H48" s="509"/>
      <c r="I48" s="509">
        <v>2000</v>
      </c>
      <c r="J48" s="509"/>
      <c r="K48" s="509"/>
      <c r="L48" s="509"/>
      <c r="M48" s="509"/>
      <c r="N48" s="510"/>
      <c r="O48" s="510"/>
      <c r="P48" s="648">
        <f t="shared" si="3"/>
        <v>2000</v>
      </c>
    </row>
    <row r="49" spans="1:16" ht="18" customHeight="1">
      <c r="A49" s="512" t="s">
        <v>487</v>
      </c>
      <c r="B49" s="509"/>
      <c r="C49" s="509"/>
      <c r="D49" s="509"/>
      <c r="E49" s="509"/>
      <c r="F49" s="509"/>
      <c r="G49" s="509"/>
      <c r="H49" s="509"/>
      <c r="I49" s="509">
        <v>2000</v>
      </c>
      <c r="J49" s="509"/>
      <c r="K49" s="509"/>
      <c r="L49" s="509"/>
      <c r="M49" s="509"/>
      <c r="N49" s="510"/>
      <c r="O49" s="510"/>
      <c r="P49" s="648">
        <f t="shared" si="3"/>
        <v>2000</v>
      </c>
    </row>
    <row r="50" spans="1:16" ht="18" customHeight="1">
      <c r="A50" s="512" t="s">
        <v>488</v>
      </c>
      <c r="B50" s="509"/>
      <c r="C50" s="509"/>
      <c r="D50" s="509"/>
      <c r="E50" s="509"/>
      <c r="F50" s="509"/>
      <c r="G50" s="509"/>
      <c r="H50" s="509"/>
      <c r="I50" s="509">
        <v>3000</v>
      </c>
      <c r="J50" s="509"/>
      <c r="K50" s="509">
        <v>32</v>
      </c>
      <c r="L50" s="509"/>
      <c r="M50" s="509"/>
      <c r="N50" s="510"/>
      <c r="O50" s="510"/>
      <c r="P50" s="648">
        <f t="shared" si="3"/>
        <v>3032</v>
      </c>
    </row>
    <row r="51" spans="1:16" ht="18" customHeight="1">
      <c r="A51" s="512" t="s">
        <v>515</v>
      </c>
      <c r="B51" s="509"/>
      <c r="C51" s="509"/>
      <c r="D51" s="509"/>
      <c r="E51" s="509"/>
      <c r="F51" s="509"/>
      <c r="G51" s="509"/>
      <c r="H51" s="509"/>
      <c r="I51" s="509"/>
      <c r="J51" s="509">
        <v>2500</v>
      </c>
      <c r="K51" s="509"/>
      <c r="L51" s="509"/>
      <c r="M51" s="509"/>
      <c r="N51" s="510"/>
      <c r="O51" s="510"/>
      <c r="P51" s="648">
        <f t="shared" si="3"/>
        <v>2500</v>
      </c>
    </row>
    <row r="52" spans="1:16" ht="18" customHeight="1">
      <c r="A52" s="512" t="s">
        <v>489</v>
      </c>
      <c r="B52" s="509"/>
      <c r="C52" s="509"/>
      <c r="D52" s="509"/>
      <c r="E52" s="509"/>
      <c r="F52" s="509"/>
      <c r="G52" s="509"/>
      <c r="H52" s="509"/>
      <c r="I52" s="509">
        <v>1200</v>
      </c>
      <c r="J52" s="509"/>
      <c r="K52" s="509"/>
      <c r="L52" s="509"/>
      <c r="M52" s="509"/>
      <c r="N52" s="510"/>
      <c r="O52" s="510"/>
      <c r="P52" s="648">
        <f t="shared" si="3"/>
        <v>1200</v>
      </c>
    </row>
    <row r="53" spans="1:16" ht="18" customHeight="1">
      <c r="A53" s="512" t="s">
        <v>490</v>
      </c>
      <c r="B53" s="509"/>
      <c r="C53" s="509"/>
      <c r="D53" s="509"/>
      <c r="E53" s="509"/>
      <c r="F53" s="509"/>
      <c r="G53" s="509"/>
      <c r="H53" s="509">
        <v>6</v>
      </c>
      <c r="I53" s="509"/>
      <c r="J53" s="509"/>
      <c r="K53" s="509"/>
      <c r="L53" s="509"/>
      <c r="M53" s="509"/>
      <c r="N53" s="510"/>
      <c r="O53" s="510"/>
      <c r="P53" s="648">
        <f t="shared" si="3"/>
        <v>6</v>
      </c>
    </row>
    <row r="54" spans="1:16" ht="18" customHeight="1">
      <c r="A54" s="512" t="s">
        <v>476</v>
      </c>
      <c r="B54" s="509"/>
      <c r="C54" s="509"/>
      <c r="D54" s="509"/>
      <c r="E54" s="509"/>
      <c r="F54" s="509"/>
      <c r="G54" s="509"/>
      <c r="H54" s="509"/>
      <c r="I54" s="509">
        <v>3000</v>
      </c>
      <c r="J54" s="509"/>
      <c r="K54" s="509"/>
      <c r="L54" s="509"/>
      <c r="M54" s="509"/>
      <c r="N54" s="510"/>
      <c r="O54" s="510"/>
      <c r="P54" s="648">
        <f t="shared" si="3"/>
        <v>3000</v>
      </c>
    </row>
    <row r="55" spans="1:16" ht="18" customHeight="1">
      <c r="A55" s="512" t="s">
        <v>477</v>
      </c>
      <c r="B55" s="509"/>
      <c r="C55" s="509"/>
      <c r="D55" s="509"/>
      <c r="E55" s="509"/>
      <c r="F55" s="509"/>
      <c r="G55" s="509"/>
      <c r="H55" s="509">
        <v>4000</v>
      </c>
      <c r="I55" s="509"/>
      <c r="J55" s="509"/>
      <c r="K55" s="509"/>
      <c r="L55" s="509"/>
      <c r="M55" s="509"/>
      <c r="N55" s="510"/>
      <c r="O55" s="510">
        <v>-4000</v>
      </c>
      <c r="P55" s="648">
        <f t="shared" si="3"/>
        <v>0</v>
      </c>
    </row>
    <row r="56" spans="1:16" ht="18" customHeight="1">
      <c r="A56" s="512" t="s">
        <v>288</v>
      </c>
      <c r="B56" s="509"/>
      <c r="C56" s="509"/>
      <c r="D56" s="509"/>
      <c r="E56" s="509"/>
      <c r="F56" s="509"/>
      <c r="G56" s="509"/>
      <c r="H56" s="509">
        <v>400</v>
      </c>
      <c r="I56" s="509"/>
      <c r="J56" s="509"/>
      <c r="K56" s="509">
        <v>160</v>
      </c>
      <c r="L56" s="509"/>
      <c r="M56" s="509"/>
      <c r="N56" s="510"/>
      <c r="O56" s="510"/>
      <c r="P56" s="648">
        <f t="shared" si="3"/>
        <v>560</v>
      </c>
    </row>
    <row r="57" spans="1:16" ht="18" customHeight="1">
      <c r="A57" s="512" t="s">
        <v>491</v>
      </c>
      <c r="B57" s="509"/>
      <c r="C57" s="509"/>
      <c r="D57" s="509"/>
      <c r="E57" s="509"/>
      <c r="F57" s="509"/>
      <c r="G57" s="509"/>
      <c r="H57" s="509">
        <v>200</v>
      </c>
      <c r="I57" s="509"/>
      <c r="J57" s="509"/>
      <c r="K57" s="509"/>
      <c r="L57" s="509"/>
      <c r="M57" s="509"/>
      <c r="N57" s="510"/>
      <c r="O57" s="510"/>
      <c r="P57" s="648">
        <f t="shared" si="3"/>
        <v>200</v>
      </c>
    </row>
    <row r="58" spans="1:16" ht="18" customHeight="1">
      <c r="A58" s="512" t="s">
        <v>492</v>
      </c>
      <c r="B58" s="509"/>
      <c r="C58" s="509"/>
      <c r="D58" s="509"/>
      <c r="E58" s="509"/>
      <c r="F58" s="509"/>
      <c r="G58" s="509"/>
      <c r="H58" s="509">
        <v>150</v>
      </c>
      <c r="I58" s="509">
        <v>2000</v>
      </c>
      <c r="J58" s="509"/>
      <c r="K58" s="509"/>
      <c r="L58" s="509"/>
      <c r="M58" s="509"/>
      <c r="N58" s="510"/>
      <c r="O58" s="510"/>
      <c r="P58" s="648">
        <f t="shared" si="3"/>
        <v>2150</v>
      </c>
    </row>
    <row r="59" spans="1:16" ht="18" customHeight="1">
      <c r="A59" s="512" t="s">
        <v>493</v>
      </c>
      <c r="B59" s="509"/>
      <c r="C59" s="509"/>
      <c r="D59" s="509"/>
      <c r="E59" s="509"/>
      <c r="F59" s="509"/>
      <c r="G59" s="509"/>
      <c r="H59" s="509">
        <v>100</v>
      </c>
      <c r="I59" s="509">
        <v>1000</v>
      </c>
      <c r="J59" s="509"/>
      <c r="K59" s="509"/>
      <c r="L59" s="509"/>
      <c r="M59" s="509"/>
      <c r="N59" s="510"/>
      <c r="O59" s="510"/>
      <c r="P59" s="648">
        <f t="shared" si="3"/>
        <v>1100</v>
      </c>
    </row>
    <row r="60" spans="1:16" ht="18" customHeight="1">
      <c r="A60" s="512" t="s">
        <v>289</v>
      </c>
      <c r="B60" s="509"/>
      <c r="C60" s="509"/>
      <c r="D60" s="509"/>
      <c r="E60" s="509"/>
      <c r="F60" s="509"/>
      <c r="G60" s="509"/>
      <c r="H60" s="509">
        <v>600</v>
      </c>
      <c r="I60" s="509">
        <v>1000</v>
      </c>
      <c r="J60" s="509"/>
      <c r="K60" s="509"/>
      <c r="L60" s="509"/>
      <c r="M60" s="509"/>
      <c r="N60" s="510"/>
      <c r="O60" s="510"/>
      <c r="P60" s="648">
        <f t="shared" si="3"/>
        <v>1600</v>
      </c>
    </row>
    <row r="61" spans="1:16" ht="18" customHeight="1">
      <c r="A61" s="512" t="s">
        <v>290</v>
      </c>
      <c r="B61" s="509"/>
      <c r="C61" s="509"/>
      <c r="D61" s="509"/>
      <c r="E61" s="509"/>
      <c r="F61" s="509"/>
      <c r="G61" s="509"/>
      <c r="H61" s="509">
        <v>300</v>
      </c>
      <c r="I61" s="509"/>
      <c r="J61" s="509"/>
      <c r="K61" s="509"/>
      <c r="L61" s="509"/>
      <c r="M61" s="509"/>
      <c r="N61" s="510"/>
      <c r="O61" s="510"/>
      <c r="P61" s="648">
        <f t="shared" si="3"/>
        <v>300</v>
      </c>
    </row>
    <row r="62" spans="1:16" ht="18" customHeight="1">
      <c r="A62" s="512" t="s">
        <v>494</v>
      </c>
      <c r="B62" s="509"/>
      <c r="C62" s="509"/>
      <c r="D62" s="509"/>
      <c r="E62" s="509"/>
      <c r="F62" s="509"/>
      <c r="G62" s="509"/>
      <c r="H62" s="509">
        <v>300</v>
      </c>
      <c r="I62" s="509"/>
      <c r="J62" s="509"/>
      <c r="K62" s="509"/>
      <c r="L62" s="509"/>
      <c r="M62" s="509"/>
      <c r="N62" s="656"/>
      <c r="O62" s="656"/>
      <c r="P62" s="648">
        <f t="shared" si="3"/>
        <v>300</v>
      </c>
    </row>
    <row r="63" spans="1:16" ht="18" customHeight="1">
      <c r="A63" s="512" t="s">
        <v>495</v>
      </c>
      <c r="B63" s="509"/>
      <c r="C63" s="509"/>
      <c r="D63" s="509"/>
      <c r="E63" s="509"/>
      <c r="F63" s="509"/>
      <c r="G63" s="509"/>
      <c r="H63" s="509">
        <v>1400</v>
      </c>
      <c r="I63" s="509"/>
      <c r="J63" s="509"/>
      <c r="K63" s="509"/>
      <c r="L63" s="509"/>
      <c r="M63" s="509"/>
      <c r="N63" s="656"/>
      <c r="O63" s="656"/>
      <c r="P63" s="648">
        <f t="shared" si="3"/>
        <v>1400</v>
      </c>
    </row>
    <row r="64" spans="1:16" ht="18" customHeight="1" thickBot="1">
      <c r="A64" s="512" t="s">
        <v>291</v>
      </c>
      <c r="B64" s="509"/>
      <c r="C64" s="509"/>
      <c r="D64" s="509"/>
      <c r="E64" s="509"/>
      <c r="F64" s="509"/>
      <c r="G64" s="509"/>
      <c r="H64" s="509"/>
      <c r="I64" s="509">
        <v>2000</v>
      </c>
      <c r="J64" s="509"/>
      <c r="K64" s="509"/>
      <c r="L64" s="509"/>
      <c r="M64" s="509"/>
      <c r="N64" s="656"/>
      <c r="O64" s="656"/>
      <c r="P64" s="648">
        <f t="shared" si="3"/>
        <v>2000</v>
      </c>
    </row>
    <row r="65" spans="1:16" s="495" customFormat="1" ht="18" customHeight="1" thickBot="1">
      <c r="A65" s="515" t="s">
        <v>165</v>
      </c>
      <c r="B65" s="657"/>
      <c r="C65" s="657"/>
      <c r="D65" s="657"/>
      <c r="E65" s="657"/>
      <c r="F65" s="657"/>
      <c r="G65" s="657"/>
      <c r="H65" s="657"/>
      <c r="I65" s="657">
        <f>I66+I69</f>
        <v>50000</v>
      </c>
      <c r="J65" s="657">
        <f>J66+J69+J67+J68</f>
        <v>176500</v>
      </c>
      <c r="K65" s="657"/>
      <c r="L65" s="657"/>
      <c r="M65" s="657"/>
      <c r="N65" s="657"/>
      <c r="O65" s="657"/>
      <c r="P65" s="658">
        <f aca="true" t="shared" si="4" ref="P65:P76">SUM(B65:O65)</f>
        <v>226500</v>
      </c>
    </row>
    <row r="66" spans="1:16" s="513" customFormat="1" ht="18" customHeight="1">
      <c r="A66" s="604" t="s">
        <v>192</v>
      </c>
      <c r="B66" s="509"/>
      <c r="C66" s="509"/>
      <c r="D66" s="509"/>
      <c r="E66" s="509"/>
      <c r="F66" s="509"/>
      <c r="G66" s="509"/>
      <c r="H66" s="509"/>
      <c r="I66" s="509">
        <v>50000</v>
      </c>
      <c r="J66" s="509"/>
      <c r="K66" s="509"/>
      <c r="L66" s="509"/>
      <c r="M66" s="509"/>
      <c r="N66" s="510"/>
      <c r="O66" s="510"/>
      <c r="P66" s="648">
        <f t="shared" si="4"/>
        <v>50000</v>
      </c>
    </row>
    <row r="67" spans="1:16" s="513" customFormat="1" ht="18" customHeight="1">
      <c r="A67" s="604" t="s">
        <v>547</v>
      </c>
      <c r="B67" s="509"/>
      <c r="C67" s="509"/>
      <c r="D67" s="509"/>
      <c r="E67" s="509"/>
      <c r="F67" s="509"/>
      <c r="G67" s="509"/>
      <c r="H67" s="509"/>
      <c r="I67" s="509"/>
      <c r="J67" s="509">
        <v>90000</v>
      </c>
      <c r="K67" s="509"/>
      <c r="L67" s="509"/>
      <c r="M67" s="509"/>
      <c r="N67" s="510"/>
      <c r="O67" s="510"/>
      <c r="P67" s="648">
        <f t="shared" si="4"/>
        <v>90000</v>
      </c>
    </row>
    <row r="68" spans="1:16" s="513" customFormat="1" ht="18" customHeight="1">
      <c r="A68" s="604" t="s">
        <v>548</v>
      </c>
      <c r="B68" s="509"/>
      <c r="C68" s="509"/>
      <c r="D68" s="509"/>
      <c r="E68" s="509"/>
      <c r="F68" s="509"/>
      <c r="G68" s="509"/>
      <c r="H68" s="509"/>
      <c r="I68" s="509"/>
      <c r="J68" s="509">
        <v>80000</v>
      </c>
      <c r="K68" s="509"/>
      <c r="L68" s="509"/>
      <c r="M68" s="509"/>
      <c r="N68" s="510"/>
      <c r="O68" s="510"/>
      <c r="P68" s="648">
        <f t="shared" si="4"/>
        <v>80000</v>
      </c>
    </row>
    <row r="69" spans="1:16" s="513" customFormat="1" ht="18" customHeight="1">
      <c r="A69" s="604" t="s">
        <v>551</v>
      </c>
      <c r="B69" s="509"/>
      <c r="C69" s="509"/>
      <c r="D69" s="509"/>
      <c r="E69" s="509"/>
      <c r="F69" s="509"/>
      <c r="G69" s="509"/>
      <c r="H69" s="509"/>
      <c r="I69" s="509"/>
      <c r="J69" s="509">
        <v>6500</v>
      </c>
      <c r="K69" s="509"/>
      <c r="L69" s="509"/>
      <c r="M69" s="509"/>
      <c r="N69" s="510"/>
      <c r="O69" s="510"/>
      <c r="P69" s="648">
        <f t="shared" si="4"/>
        <v>6500</v>
      </c>
    </row>
    <row r="70" spans="1:16" s="513" customFormat="1" ht="18" customHeight="1">
      <c r="A70" s="1086"/>
      <c r="B70" s="507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1087"/>
    </row>
    <row r="71" spans="1:16" s="513" customFormat="1" ht="30" customHeight="1" thickBot="1">
      <c r="A71" s="511" t="s">
        <v>166</v>
      </c>
      <c r="B71" s="653"/>
      <c r="C71" s="653"/>
      <c r="D71" s="653"/>
      <c r="E71" s="653"/>
      <c r="F71" s="653"/>
      <c r="G71" s="653"/>
      <c r="H71" s="653"/>
      <c r="I71" s="653">
        <f>I76</f>
        <v>15000</v>
      </c>
      <c r="J71" s="653">
        <f>J74+J72+J73+J75</f>
        <v>279000</v>
      </c>
      <c r="K71" s="653"/>
      <c r="L71" s="653"/>
      <c r="M71" s="653"/>
      <c r="N71" s="653"/>
      <c r="O71" s="653"/>
      <c r="P71" s="653">
        <f t="shared" si="4"/>
        <v>294000</v>
      </c>
    </row>
    <row r="72" spans="1:16" s="513" customFormat="1" ht="21" customHeight="1">
      <c r="A72" s="512" t="s">
        <v>544</v>
      </c>
      <c r="B72" s="659"/>
      <c r="C72" s="659"/>
      <c r="D72" s="659"/>
      <c r="E72" s="659"/>
      <c r="F72" s="659"/>
      <c r="G72" s="659"/>
      <c r="H72" s="659"/>
      <c r="I72" s="659"/>
      <c r="J72" s="659">
        <v>60000</v>
      </c>
      <c r="K72" s="659"/>
      <c r="L72" s="659"/>
      <c r="M72" s="659"/>
      <c r="N72" s="660"/>
      <c r="O72" s="660"/>
      <c r="P72" s="648">
        <f t="shared" si="4"/>
        <v>60000</v>
      </c>
    </row>
    <row r="73" spans="1:16" s="513" customFormat="1" ht="21" customHeight="1">
      <c r="A73" s="512" t="s">
        <v>545</v>
      </c>
      <c r="B73" s="659"/>
      <c r="C73" s="659"/>
      <c r="D73" s="659"/>
      <c r="E73" s="659"/>
      <c r="F73" s="659"/>
      <c r="G73" s="659"/>
      <c r="H73" s="659"/>
      <c r="I73" s="659"/>
      <c r="J73" s="659">
        <v>70000</v>
      </c>
      <c r="K73" s="659"/>
      <c r="L73" s="659"/>
      <c r="M73" s="659"/>
      <c r="N73" s="660"/>
      <c r="O73" s="660"/>
      <c r="P73" s="648">
        <f t="shared" si="4"/>
        <v>70000</v>
      </c>
    </row>
    <row r="74" spans="1:16" s="513" customFormat="1" ht="21" customHeight="1">
      <c r="A74" s="512" t="s">
        <v>193</v>
      </c>
      <c r="B74" s="659"/>
      <c r="C74" s="659"/>
      <c r="D74" s="659"/>
      <c r="E74" s="659"/>
      <c r="F74" s="659"/>
      <c r="G74" s="659"/>
      <c r="H74" s="659"/>
      <c r="I74" s="659"/>
      <c r="J74" s="659">
        <v>29000</v>
      </c>
      <c r="K74" s="659"/>
      <c r="L74" s="659"/>
      <c r="M74" s="659"/>
      <c r="N74" s="660"/>
      <c r="O74" s="660"/>
      <c r="P74" s="648">
        <f t="shared" si="4"/>
        <v>29000</v>
      </c>
    </row>
    <row r="75" spans="1:16" s="513" customFormat="1" ht="21" customHeight="1">
      <c r="A75" s="512" t="s">
        <v>546</v>
      </c>
      <c r="B75" s="659"/>
      <c r="C75" s="659"/>
      <c r="D75" s="659"/>
      <c r="E75" s="659"/>
      <c r="F75" s="659"/>
      <c r="G75" s="659"/>
      <c r="H75" s="659"/>
      <c r="I75" s="659"/>
      <c r="J75" s="659">
        <v>120000</v>
      </c>
      <c r="K75" s="659"/>
      <c r="L75" s="659"/>
      <c r="M75" s="659"/>
      <c r="N75" s="660"/>
      <c r="O75" s="660"/>
      <c r="P75" s="648">
        <f t="shared" si="4"/>
        <v>120000</v>
      </c>
    </row>
    <row r="76" spans="1:16" s="513" customFormat="1" ht="29.25" customHeight="1" thickBot="1">
      <c r="A76" s="512" t="s">
        <v>45</v>
      </c>
      <c r="B76" s="659"/>
      <c r="C76" s="659"/>
      <c r="D76" s="659"/>
      <c r="E76" s="659"/>
      <c r="F76" s="659"/>
      <c r="G76" s="659"/>
      <c r="H76" s="659"/>
      <c r="I76" s="659">
        <v>15000</v>
      </c>
      <c r="J76" s="659"/>
      <c r="K76" s="659"/>
      <c r="L76" s="659"/>
      <c r="M76" s="659"/>
      <c r="N76" s="660"/>
      <c r="O76" s="660"/>
      <c r="P76" s="648">
        <f t="shared" si="4"/>
        <v>15000</v>
      </c>
    </row>
    <row r="77" spans="1:16" s="513" customFormat="1" ht="19.5" customHeight="1" thickBot="1">
      <c r="A77" s="515" t="s">
        <v>46</v>
      </c>
      <c r="B77" s="658"/>
      <c r="C77" s="658"/>
      <c r="D77" s="658"/>
      <c r="E77" s="658"/>
      <c r="F77" s="658"/>
      <c r="G77" s="658"/>
      <c r="H77" s="658">
        <f>SUM(H78:H79)</f>
        <v>1500</v>
      </c>
      <c r="I77" s="658">
        <f>SUM(I78:I79)</f>
        <v>8000</v>
      </c>
      <c r="J77" s="658"/>
      <c r="K77" s="658"/>
      <c r="L77" s="658"/>
      <c r="M77" s="658"/>
      <c r="N77" s="658"/>
      <c r="O77" s="658"/>
      <c r="P77" s="658">
        <f aca="true" t="shared" si="5" ref="P77:P84">SUM(C77:O77)</f>
        <v>9500</v>
      </c>
    </row>
    <row r="78" spans="1:16" s="492" customFormat="1" ht="41.25" customHeight="1">
      <c r="A78" s="512" t="s">
        <v>47</v>
      </c>
      <c r="B78" s="509"/>
      <c r="C78" s="509"/>
      <c r="D78" s="509"/>
      <c r="E78" s="509"/>
      <c r="F78" s="509"/>
      <c r="G78" s="509"/>
      <c r="H78" s="509"/>
      <c r="I78" s="509">
        <v>4000</v>
      </c>
      <c r="J78" s="509"/>
      <c r="K78" s="509"/>
      <c r="L78" s="509"/>
      <c r="M78" s="509"/>
      <c r="N78" s="510"/>
      <c r="O78" s="510"/>
      <c r="P78" s="648">
        <f t="shared" si="5"/>
        <v>4000</v>
      </c>
    </row>
    <row r="79" spans="1:16" s="492" customFormat="1" ht="42" customHeight="1" thickBot="1">
      <c r="A79" s="604" t="s">
        <v>48</v>
      </c>
      <c r="B79" s="509"/>
      <c r="C79" s="509"/>
      <c r="D79" s="509"/>
      <c r="E79" s="509"/>
      <c r="F79" s="509"/>
      <c r="G79" s="509"/>
      <c r="H79" s="509">
        <v>1500</v>
      </c>
      <c r="I79" s="509">
        <v>4000</v>
      </c>
      <c r="J79" s="509"/>
      <c r="K79" s="509"/>
      <c r="L79" s="509"/>
      <c r="M79" s="509"/>
      <c r="N79" s="510"/>
      <c r="O79" s="510"/>
      <c r="P79" s="648">
        <f t="shared" si="5"/>
        <v>5500</v>
      </c>
    </row>
    <row r="80" spans="1:16" s="513" customFormat="1" ht="19.5" customHeight="1" thickBot="1">
      <c r="A80" s="515" t="s">
        <v>245</v>
      </c>
      <c r="B80" s="658"/>
      <c r="C80" s="658"/>
      <c r="D80" s="658"/>
      <c r="E80" s="658"/>
      <c r="F80" s="658"/>
      <c r="G80" s="658"/>
      <c r="H80" s="658"/>
      <c r="I80" s="658">
        <f>SUM(I81:I84)</f>
        <v>35000</v>
      </c>
      <c r="J80" s="658">
        <f>J81+J82+J83</f>
        <v>205575</v>
      </c>
      <c r="K80" s="658"/>
      <c r="L80" s="658"/>
      <c r="M80" s="658"/>
      <c r="N80" s="658"/>
      <c r="O80" s="658"/>
      <c r="P80" s="658">
        <f t="shared" si="5"/>
        <v>240575</v>
      </c>
    </row>
    <row r="81" spans="1:16" s="492" customFormat="1" ht="19.5" customHeight="1">
      <c r="A81" s="604" t="s">
        <v>246</v>
      </c>
      <c r="B81" s="509"/>
      <c r="C81" s="509"/>
      <c r="D81" s="509"/>
      <c r="E81" s="509"/>
      <c r="F81" s="509"/>
      <c r="G81" s="509"/>
      <c r="H81" s="509"/>
      <c r="I81" s="509">
        <v>5000</v>
      </c>
      <c r="J81" s="509">
        <v>120000</v>
      </c>
      <c r="K81" s="509"/>
      <c r="L81" s="509"/>
      <c r="M81" s="509"/>
      <c r="N81" s="510"/>
      <c r="O81" s="510"/>
      <c r="P81" s="648">
        <f t="shared" si="5"/>
        <v>125000</v>
      </c>
    </row>
    <row r="82" spans="1:16" s="492" customFormat="1" ht="21.75" customHeight="1">
      <c r="A82" s="512" t="s">
        <v>549</v>
      </c>
      <c r="B82" s="509"/>
      <c r="C82" s="509"/>
      <c r="D82" s="509"/>
      <c r="E82" s="509"/>
      <c r="F82" s="509"/>
      <c r="G82" s="509"/>
      <c r="H82" s="509"/>
      <c r="I82" s="509"/>
      <c r="J82" s="509">
        <v>60000</v>
      </c>
      <c r="K82" s="509"/>
      <c r="L82" s="509"/>
      <c r="M82" s="509"/>
      <c r="N82" s="510"/>
      <c r="O82" s="510"/>
      <c r="P82" s="648">
        <f>SUM(C82:O82)</f>
        <v>60000</v>
      </c>
    </row>
    <row r="83" spans="1:16" s="492" customFormat="1" ht="30" customHeight="1">
      <c r="A83" s="512" t="s">
        <v>550</v>
      </c>
      <c r="B83" s="509"/>
      <c r="C83" s="509"/>
      <c r="D83" s="509"/>
      <c r="E83" s="509"/>
      <c r="F83" s="509"/>
      <c r="G83" s="509"/>
      <c r="H83" s="509"/>
      <c r="I83" s="509"/>
      <c r="J83" s="509">
        <v>25575</v>
      </c>
      <c r="K83" s="509"/>
      <c r="L83" s="509"/>
      <c r="M83" s="509"/>
      <c r="N83" s="510"/>
      <c r="O83" s="510"/>
      <c r="P83" s="648">
        <f>SUM(C83:O83)</f>
        <v>25575</v>
      </c>
    </row>
    <row r="84" spans="1:16" s="492" customFormat="1" ht="30" customHeight="1" thickBot="1">
      <c r="A84" s="512" t="s">
        <v>49</v>
      </c>
      <c r="B84" s="509"/>
      <c r="C84" s="509"/>
      <c r="D84" s="509"/>
      <c r="E84" s="509"/>
      <c r="F84" s="509"/>
      <c r="G84" s="509"/>
      <c r="H84" s="509"/>
      <c r="I84" s="509">
        <v>30000</v>
      </c>
      <c r="J84" s="509"/>
      <c r="K84" s="509"/>
      <c r="L84" s="509"/>
      <c r="M84" s="509"/>
      <c r="N84" s="510"/>
      <c r="O84" s="510"/>
      <c r="P84" s="648">
        <f t="shared" si="5"/>
        <v>30000</v>
      </c>
    </row>
    <row r="85" spans="1:16" s="513" customFormat="1" ht="55.5" customHeight="1" thickBot="1">
      <c r="A85" s="515" t="s">
        <v>50</v>
      </c>
      <c r="B85" s="658"/>
      <c r="C85" s="658"/>
      <c r="D85" s="658"/>
      <c r="E85" s="658"/>
      <c r="F85" s="658"/>
      <c r="G85" s="658"/>
      <c r="H85" s="658"/>
      <c r="I85" s="658">
        <f>I86</f>
        <v>1000</v>
      </c>
      <c r="J85" s="658"/>
      <c r="K85" s="658"/>
      <c r="L85" s="658"/>
      <c r="M85" s="658"/>
      <c r="N85" s="658"/>
      <c r="O85" s="658"/>
      <c r="P85" s="658">
        <f>SUM(B85:O85)</f>
        <v>1000</v>
      </c>
    </row>
    <row r="86" spans="1:16" s="492" customFormat="1" ht="30" customHeight="1" thickBot="1">
      <c r="A86" s="512" t="s">
        <v>49</v>
      </c>
      <c r="B86" s="123"/>
      <c r="C86" s="123"/>
      <c r="D86" s="123"/>
      <c r="E86" s="123"/>
      <c r="F86" s="123"/>
      <c r="G86" s="123"/>
      <c r="H86" s="123"/>
      <c r="I86" s="123">
        <v>1000</v>
      </c>
      <c r="J86" s="123"/>
      <c r="K86" s="123"/>
      <c r="L86" s="123"/>
      <c r="M86" s="123"/>
      <c r="N86" s="942"/>
      <c r="O86" s="942"/>
      <c r="P86" s="648">
        <f>SUM(B86:O86)</f>
        <v>1000</v>
      </c>
    </row>
    <row r="87" spans="1:16" ht="28.5" customHeight="1" thickBot="1">
      <c r="A87" s="515" t="s">
        <v>424</v>
      </c>
      <c r="B87" s="657"/>
      <c r="C87" s="657">
        <f>SUM(C88:C89)</f>
        <v>0</v>
      </c>
      <c r="D87" s="657"/>
      <c r="E87" s="657"/>
      <c r="F87" s="657"/>
      <c r="G87" s="657"/>
      <c r="H87" s="657"/>
      <c r="I87" s="657"/>
      <c r="J87" s="657"/>
      <c r="K87" s="657"/>
      <c r="L87" s="657">
        <f>SUM(L88:L89)</f>
        <v>0</v>
      </c>
      <c r="M87" s="657"/>
      <c r="N87" s="657"/>
      <c r="O87" s="657"/>
      <c r="P87" s="658">
        <f>SUM(B87:O87)</f>
        <v>0</v>
      </c>
    </row>
    <row r="88" spans="1:16" ht="19.5" customHeight="1">
      <c r="A88" s="605" t="s">
        <v>57</v>
      </c>
      <c r="B88" s="509"/>
      <c r="C88" s="509">
        <v>800</v>
      </c>
      <c r="D88" s="509"/>
      <c r="E88" s="509"/>
      <c r="F88" s="509"/>
      <c r="G88" s="509"/>
      <c r="H88" s="509"/>
      <c r="I88" s="509"/>
      <c r="J88" s="509"/>
      <c r="K88" s="509"/>
      <c r="L88" s="509">
        <v>-800</v>
      </c>
      <c r="M88" s="509"/>
      <c r="N88" s="509"/>
      <c r="O88" s="509"/>
      <c r="P88" s="648">
        <f>SUM(B88:O88)</f>
        <v>0</v>
      </c>
    </row>
    <row r="89" spans="1:16" ht="19.5" customHeight="1">
      <c r="A89" s="605" t="s">
        <v>191</v>
      </c>
      <c r="B89" s="509"/>
      <c r="C89" s="509">
        <v>-800</v>
      </c>
      <c r="D89" s="509"/>
      <c r="E89" s="509"/>
      <c r="F89" s="509"/>
      <c r="G89" s="509"/>
      <c r="H89" s="509"/>
      <c r="I89" s="509"/>
      <c r="J89" s="509"/>
      <c r="K89" s="509"/>
      <c r="L89" s="509">
        <v>800</v>
      </c>
      <c r="M89" s="509"/>
      <c r="N89" s="509"/>
      <c r="O89" s="509"/>
      <c r="P89" s="648">
        <f>SUM(B89:O89)</f>
        <v>0</v>
      </c>
    </row>
    <row r="90" spans="1:16" ht="19.5" customHeight="1">
      <c r="A90" s="1090"/>
      <c r="B90" s="1091"/>
      <c r="C90" s="1091"/>
      <c r="D90" s="1091"/>
      <c r="E90" s="1091"/>
      <c r="F90" s="1091"/>
      <c r="G90" s="1091"/>
      <c r="H90" s="1091"/>
      <c r="I90" s="1091"/>
      <c r="J90" s="1091"/>
      <c r="K90" s="1091"/>
      <c r="L90" s="1091"/>
      <c r="M90" s="1091"/>
      <c r="N90" s="1091"/>
      <c r="O90" s="1091"/>
      <c r="P90" s="1092"/>
    </row>
    <row r="91" spans="1:16" ht="19.5" customHeight="1">
      <c r="A91" s="1093"/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1087"/>
    </row>
    <row r="92" spans="1:16" ht="19.5" customHeight="1">
      <c r="A92" s="1093"/>
      <c r="B92" s="507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1087"/>
    </row>
    <row r="93" spans="1:16" s="551" customFormat="1" ht="22.5" customHeight="1" thickBot="1">
      <c r="A93" s="1088" t="s">
        <v>251</v>
      </c>
      <c r="B93" s="1089"/>
      <c r="C93" s="1089">
        <f>C94</f>
        <v>144</v>
      </c>
      <c r="D93" s="1089">
        <f>D94</f>
        <v>1215</v>
      </c>
      <c r="E93" s="1089">
        <f>E94</f>
        <v>176</v>
      </c>
      <c r="F93" s="1089"/>
      <c r="G93" s="1089"/>
      <c r="H93" s="1089">
        <f>H94</f>
        <v>1075</v>
      </c>
      <c r="I93" s="1089"/>
      <c r="J93" s="1089"/>
      <c r="K93" s="1089"/>
      <c r="L93" s="1089">
        <f aca="true" t="shared" si="6" ref="L93:M95">L94</f>
        <v>12940</v>
      </c>
      <c r="M93" s="1089">
        <f t="shared" si="6"/>
        <v>200</v>
      </c>
      <c r="N93" s="1089"/>
      <c r="O93" s="1089"/>
      <c r="P93" s="1089">
        <f>SUM(C93:O93)</f>
        <v>15750</v>
      </c>
    </row>
    <row r="94" spans="1:16" ht="28.5" customHeight="1" thickBot="1" thickTop="1">
      <c r="A94" s="515" t="s">
        <v>184</v>
      </c>
      <c r="B94" s="657"/>
      <c r="C94" s="657">
        <f aca="true" t="shared" si="7" ref="C94:E95">C95</f>
        <v>144</v>
      </c>
      <c r="D94" s="657">
        <f t="shared" si="7"/>
        <v>1215</v>
      </c>
      <c r="E94" s="657">
        <f t="shared" si="7"/>
        <v>176</v>
      </c>
      <c r="F94" s="657"/>
      <c r="G94" s="657"/>
      <c r="H94" s="657">
        <f>H95</f>
        <v>1075</v>
      </c>
      <c r="I94" s="657"/>
      <c r="J94" s="657"/>
      <c r="K94" s="657"/>
      <c r="L94" s="657">
        <f t="shared" si="6"/>
        <v>12940</v>
      </c>
      <c r="M94" s="657">
        <f t="shared" si="6"/>
        <v>200</v>
      </c>
      <c r="N94" s="657"/>
      <c r="O94" s="657"/>
      <c r="P94" s="844">
        <f aca="true" t="shared" si="8" ref="P94:P100">SUM(B94:O94)</f>
        <v>15750</v>
      </c>
    </row>
    <row r="95" spans="1:16" s="543" customFormat="1" ht="51" customHeight="1">
      <c r="A95" s="531" t="s">
        <v>180</v>
      </c>
      <c r="B95" s="541"/>
      <c r="C95" s="541">
        <f t="shared" si="7"/>
        <v>144</v>
      </c>
      <c r="D95" s="541">
        <f t="shared" si="7"/>
        <v>1215</v>
      </c>
      <c r="E95" s="541">
        <f t="shared" si="7"/>
        <v>176</v>
      </c>
      <c r="F95" s="541"/>
      <c r="G95" s="541"/>
      <c r="H95" s="541">
        <f>H96</f>
        <v>1075</v>
      </c>
      <c r="I95" s="541"/>
      <c r="J95" s="541"/>
      <c r="K95" s="541"/>
      <c r="L95" s="541">
        <f t="shared" si="6"/>
        <v>12940</v>
      </c>
      <c r="M95" s="541">
        <f t="shared" si="6"/>
        <v>200</v>
      </c>
      <c r="N95" s="541"/>
      <c r="O95" s="541"/>
      <c r="P95" s="542">
        <f t="shared" si="8"/>
        <v>15750</v>
      </c>
    </row>
    <row r="96" spans="1:16" s="544" customFormat="1" ht="159.75" customHeight="1">
      <c r="A96" s="788" t="s">
        <v>181</v>
      </c>
      <c r="B96" s="874"/>
      <c r="C96" s="874">
        <f>SUM(C97:C100)</f>
        <v>144</v>
      </c>
      <c r="D96" s="874">
        <f>SUM(D97:D100)</f>
        <v>1215</v>
      </c>
      <c r="E96" s="874">
        <f>SUM(E97:E100)</f>
        <v>176</v>
      </c>
      <c r="F96" s="874"/>
      <c r="G96" s="874"/>
      <c r="H96" s="874">
        <f>SUM(H97:H100)</f>
        <v>1075</v>
      </c>
      <c r="I96" s="874"/>
      <c r="J96" s="874"/>
      <c r="K96" s="874"/>
      <c r="L96" s="874">
        <f>SUM(L97:L100)</f>
        <v>12940</v>
      </c>
      <c r="M96" s="874">
        <f>SUM(M97:M100)</f>
        <v>200</v>
      </c>
      <c r="N96" s="874"/>
      <c r="O96" s="874"/>
      <c r="P96" s="550">
        <f t="shared" si="8"/>
        <v>15750</v>
      </c>
    </row>
    <row r="97" spans="1:16" s="545" customFormat="1" ht="19.5" customHeight="1">
      <c r="A97" s="861" t="s">
        <v>57</v>
      </c>
      <c r="B97" s="855"/>
      <c r="C97" s="855">
        <f>1050-1511</f>
        <v>-461</v>
      </c>
      <c r="D97" s="855">
        <v>1324</v>
      </c>
      <c r="E97" s="855">
        <v>187</v>
      </c>
      <c r="F97" s="855"/>
      <c r="G97" s="855"/>
      <c r="H97" s="855">
        <v>500</v>
      </c>
      <c r="I97" s="856"/>
      <c r="J97" s="856"/>
      <c r="K97" s="856"/>
      <c r="L97" s="857">
        <v>7500</v>
      </c>
      <c r="M97" s="857">
        <v>200</v>
      </c>
      <c r="N97" s="857"/>
      <c r="O97" s="857"/>
      <c r="P97" s="858">
        <f t="shared" si="8"/>
        <v>9250</v>
      </c>
    </row>
    <row r="98" spans="1:16" s="545" customFormat="1" ht="19.5" customHeight="1">
      <c r="A98" s="546" t="s">
        <v>51</v>
      </c>
      <c r="B98" s="547"/>
      <c r="C98" s="547">
        <v>-95</v>
      </c>
      <c r="D98" s="547"/>
      <c r="E98" s="547"/>
      <c r="F98" s="547"/>
      <c r="G98" s="547"/>
      <c r="H98" s="547">
        <v>95</v>
      </c>
      <c r="I98" s="548"/>
      <c r="J98" s="548"/>
      <c r="K98" s="548"/>
      <c r="L98" s="549"/>
      <c r="M98" s="549"/>
      <c r="N98" s="549"/>
      <c r="O98" s="549"/>
      <c r="P98" s="585">
        <f t="shared" si="8"/>
        <v>0</v>
      </c>
    </row>
    <row r="99" spans="1:16" s="545" customFormat="1" ht="19.5" customHeight="1">
      <c r="A99" s="720" t="s">
        <v>193</v>
      </c>
      <c r="B99" s="845"/>
      <c r="C99" s="845">
        <v>484</v>
      </c>
      <c r="D99" s="845">
        <v>84</v>
      </c>
      <c r="E99" s="845">
        <v>12</v>
      </c>
      <c r="F99" s="845"/>
      <c r="G99" s="845"/>
      <c r="H99" s="845">
        <v>480</v>
      </c>
      <c r="I99" s="846"/>
      <c r="J99" s="846"/>
      <c r="K99" s="846"/>
      <c r="L99" s="847">
        <v>5440</v>
      </c>
      <c r="M99" s="847"/>
      <c r="N99" s="847"/>
      <c r="O99" s="847"/>
      <c r="P99" s="585">
        <f t="shared" si="8"/>
        <v>6500</v>
      </c>
    </row>
    <row r="100" spans="1:16" s="545" customFormat="1" ht="30.75" customHeight="1">
      <c r="A100" s="546" t="s">
        <v>195</v>
      </c>
      <c r="B100" s="547"/>
      <c r="C100" s="547">
        <v>216</v>
      </c>
      <c r="D100" s="547">
        <v>-193</v>
      </c>
      <c r="E100" s="547">
        <v>-23</v>
      </c>
      <c r="F100" s="547"/>
      <c r="G100" s="547"/>
      <c r="H100" s="547"/>
      <c r="I100" s="548"/>
      <c r="J100" s="548"/>
      <c r="K100" s="548"/>
      <c r="L100" s="549"/>
      <c r="M100" s="549"/>
      <c r="N100" s="549"/>
      <c r="O100" s="549"/>
      <c r="P100" s="585">
        <f t="shared" si="8"/>
        <v>0</v>
      </c>
    </row>
    <row r="101" spans="1:16" s="495" customFormat="1" ht="32.25" customHeight="1" thickBot="1">
      <c r="A101" s="606" t="s">
        <v>196</v>
      </c>
      <c r="B101" s="663">
        <f>B102+B106+B110+B113+B104</f>
        <v>23180</v>
      </c>
      <c r="C101" s="663"/>
      <c r="D101" s="663">
        <f aca="true" t="shared" si="9" ref="D101:L101">D102+D106+D110+D113+D104</f>
        <v>3990</v>
      </c>
      <c r="E101" s="663">
        <f t="shared" si="9"/>
        <v>560</v>
      </c>
      <c r="F101" s="663">
        <f t="shared" si="9"/>
        <v>2400</v>
      </c>
      <c r="G101" s="663">
        <f t="shared" si="9"/>
        <v>224</v>
      </c>
      <c r="H101" s="663">
        <f t="shared" si="9"/>
        <v>2900</v>
      </c>
      <c r="I101" s="663">
        <f t="shared" si="9"/>
        <v>16800</v>
      </c>
      <c r="J101" s="663">
        <f t="shared" si="9"/>
        <v>15200</v>
      </c>
      <c r="K101" s="663">
        <f t="shared" si="9"/>
        <v>400</v>
      </c>
      <c r="L101" s="663">
        <f t="shared" si="9"/>
        <v>-200</v>
      </c>
      <c r="M101" s="663"/>
      <c r="N101" s="663">
        <f>N102+N106+N110+N113+N104</f>
        <v>860</v>
      </c>
      <c r="O101" s="663">
        <f>O102+O106+O110+O113+O104</f>
        <v>17000</v>
      </c>
      <c r="P101" s="842">
        <f>SUM(B101:O101)</f>
        <v>83314</v>
      </c>
    </row>
    <row r="102" spans="1:16" ht="21.75" customHeight="1" thickBot="1" thickTop="1">
      <c r="A102" s="516" t="s">
        <v>52</v>
      </c>
      <c r="B102" s="658"/>
      <c r="C102" s="658"/>
      <c r="D102" s="658"/>
      <c r="E102" s="658"/>
      <c r="F102" s="658">
        <f>F103</f>
        <v>1400</v>
      </c>
      <c r="G102" s="658"/>
      <c r="H102" s="658"/>
      <c r="I102" s="658"/>
      <c r="J102" s="658"/>
      <c r="K102" s="658"/>
      <c r="L102" s="658"/>
      <c r="M102" s="658"/>
      <c r="N102" s="658"/>
      <c r="O102" s="658"/>
      <c r="P102" s="658">
        <f aca="true" t="shared" si="10" ref="P102:P110">SUM(B102:O102)</f>
        <v>1400</v>
      </c>
    </row>
    <row r="103" spans="1:16" ht="19.5" customHeight="1" thickBot="1">
      <c r="A103" s="607" t="s">
        <v>188</v>
      </c>
      <c r="B103" s="661"/>
      <c r="C103" s="661"/>
      <c r="D103" s="661"/>
      <c r="E103" s="661"/>
      <c r="F103" s="661">
        <v>1400</v>
      </c>
      <c r="G103" s="661"/>
      <c r="H103" s="661"/>
      <c r="I103" s="661"/>
      <c r="J103" s="661"/>
      <c r="K103" s="661"/>
      <c r="L103" s="661"/>
      <c r="M103" s="661"/>
      <c r="N103" s="662"/>
      <c r="O103" s="662"/>
      <c r="P103" s="648">
        <f t="shared" si="10"/>
        <v>1400</v>
      </c>
    </row>
    <row r="104" spans="1:16" ht="27.75" customHeight="1" thickBot="1">
      <c r="A104" s="516" t="s">
        <v>519</v>
      </c>
      <c r="B104" s="658"/>
      <c r="C104" s="658"/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>
        <f>O105</f>
        <v>10500</v>
      </c>
      <c r="P104" s="658">
        <f t="shared" si="10"/>
        <v>10500</v>
      </c>
    </row>
    <row r="105" spans="1:16" ht="28.5" customHeight="1" thickBot="1">
      <c r="A105" s="607" t="s">
        <v>520</v>
      </c>
      <c r="B105" s="661"/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2"/>
      <c r="O105" s="662">
        <v>10500</v>
      </c>
      <c r="P105" s="648">
        <f t="shared" si="10"/>
        <v>10500</v>
      </c>
    </row>
    <row r="106" spans="1:16" ht="33.75" customHeight="1" thickBot="1">
      <c r="A106" s="516" t="s">
        <v>53</v>
      </c>
      <c r="B106" s="658"/>
      <c r="C106" s="658"/>
      <c r="D106" s="658"/>
      <c r="E106" s="658"/>
      <c r="F106" s="658"/>
      <c r="G106" s="658"/>
      <c r="H106" s="658">
        <f>SUM(H107:H109)</f>
        <v>-10000</v>
      </c>
      <c r="I106" s="658">
        <f>SUM(I107:I109)</f>
        <v>4000</v>
      </c>
      <c r="J106" s="658">
        <f>SUM(J107:J109)</f>
        <v>15200</v>
      </c>
      <c r="K106" s="658"/>
      <c r="L106" s="658">
        <f>SUM(L107:L109)</f>
        <v>-2200</v>
      </c>
      <c r="M106" s="658"/>
      <c r="N106" s="658"/>
      <c r="O106" s="658"/>
      <c r="P106" s="658">
        <f t="shared" si="10"/>
        <v>7000</v>
      </c>
    </row>
    <row r="107" spans="1:16" ht="19.5" customHeight="1">
      <c r="A107" s="607" t="s">
        <v>54</v>
      </c>
      <c r="B107" s="661"/>
      <c r="C107" s="661"/>
      <c r="D107" s="661"/>
      <c r="E107" s="661"/>
      <c r="F107" s="661"/>
      <c r="G107" s="661"/>
      <c r="H107" s="661">
        <v>-10000</v>
      </c>
      <c r="I107" s="661"/>
      <c r="J107" s="661">
        <v>12200</v>
      </c>
      <c r="K107" s="661"/>
      <c r="L107" s="661">
        <v>-2200</v>
      </c>
      <c r="M107" s="661"/>
      <c r="N107" s="662"/>
      <c r="O107" s="662"/>
      <c r="P107" s="648">
        <f t="shared" si="10"/>
        <v>0</v>
      </c>
    </row>
    <row r="108" spans="1:16" s="545" customFormat="1" ht="19.5" customHeight="1">
      <c r="A108" s="546" t="s">
        <v>518</v>
      </c>
      <c r="B108" s="547"/>
      <c r="C108" s="547"/>
      <c r="D108" s="547"/>
      <c r="E108" s="547"/>
      <c r="F108" s="547"/>
      <c r="G108" s="547"/>
      <c r="H108" s="547"/>
      <c r="I108" s="548"/>
      <c r="J108" s="947">
        <v>3000</v>
      </c>
      <c r="K108" s="548"/>
      <c r="L108" s="549"/>
      <c r="M108" s="549"/>
      <c r="N108" s="549"/>
      <c r="O108" s="549"/>
      <c r="P108" s="648">
        <f t="shared" si="10"/>
        <v>3000</v>
      </c>
    </row>
    <row r="109" spans="1:16" ht="19.5" customHeight="1">
      <c r="A109" s="607" t="s">
        <v>246</v>
      </c>
      <c r="B109" s="661"/>
      <c r="C109" s="661"/>
      <c r="D109" s="661"/>
      <c r="E109" s="661"/>
      <c r="F109" s="661"/>
      <c r="G109" s="661"/>
      <c r="H109" s="661"/>
      <c r="I109" s="661">
        <v>4000</v>
      </c>
      <c r="J109" s="661"/>
      <c r="K109" s="661"/>
      <c r="L109" s="661"/>
      <c r="M109" s="661"/>
      <c r="N109" s="662"/>
      <c r="O109" s="662"/>
      <c r="P109" s="648">
        <f t="shared" si="10"/>
        <v>4000</v>
      </c>
    </row>
    <row r="110" spans="1:16" s="513" customFormat="1" ht="27.75" customHeight="1" thickBot="1">
      <c r="A110" s="1094" t="s">
        <v>247</v>
      </c>
      <c r="B110" s="243"/>
      <c r="C110" s="243"/>
      <c r="D110" s="243"/>
      <c r="E110" s="243"/>
      <c r="F110" s="243"/>
      <c r="G110" s="243">
        <f>G111</f>
        <v>224</v>
      </c>
      <c r="H110" s="243"/>
      <c r="I110" s="243"/>
      <c r="J110" s="243"/>
      <c r="K110" s="243"/>
      <c r="L110" s="243"/>
      <c r="M110" s="243"/>
      <c r="N110" s="243"/>
      <c r="O110" s="243"/>
      <c r="P110" s="653">
        <f t="shared" si="10"/>
        <v>224</v>
      </c>
    </row>
    <row r="111" spans="1:16" s="513" customFormat="1" ht="39.75" customHeight="1">
      <c r="A111" s="519" t="s">
        <v>423</v>
      </c>
      <c r="B111" s="630"/>
      <c r="C111" s="630"/>
      <c r="D111" s="630"/>
      <c r="E111" s="630"/>
      <c r="F111" s="630"/>
      <c r="G111" s="630">
        <f>G112</f>
        <v>224</v>
      </c>
      <c r="H111" s="630"/>
      <c r="I111" s="630"/>
      <c r="J111" s="630"/>
      <c r="K111" s="630"/>
      <c r="L111" s="630"/>
      <c r="M111" s="630"/>
      <c r="N111" s="630"/>
      <c r="O111" s="630"/>
      <c r="P111" s="783">
        <f>SUM(B111:O111)</f>
        <v>224</v>
      </c>
    </row>
    <row r="112" spans="1:16" s="513" customFormat="1" ht="18" customHeight="1" thickBot="1">
      <c r="A112" s="604" t="s">
        <v>188</v>
      </c>
      <c r="B112" s="666"/>
      <c r="C112" s="666"/>
      <c r="D112" s="666"/>
      <c r="E112" s="666"/>
      <c r="F112" s="666"/>
      <c r="G112" s="509">
        <v>224</v>
      </c>
      <c r="H112" s="666"/>
      <c r="I112" s="666"/>
      <c r="J112" s="666"/>
      <c r="K112" s="666"/>
      <c r="L112" s="666"/>
      <c r="M112" s="666"/>
      <c r="N112" s="667"/>
      <c r="O112" s="667"/>
      <c r="P112" s="648">
        <f>SUM(B112:O112)</f>
        <v>224</v>
      </c>
    </row>
    <row r="113" spans="1:16" s="513" customFormat="1" ht="30" customHeight="1" thickBot="1">
      <c r="A113" s="516" t="s">
        <v>248</v>
      </c>
      <c r="B113" s="658">
        <f>SUM(B114:B116)</f>
        <v>23180</v>
      </c>
      <c r="C113" s="658"/>
      <c r="D113" s="658">
        <f>SUM(D114:D116)</f>
        <v>3990</v>
      </c>
      <c r="E113" s="658">
        <f>SUM(E114:E116)</f>
        <v>560</v>
      </c>
      <c r="F113" s="658">
        <f>SUM(F114:F116)</f>
        <v>1000</v>
      </c>
      <c r="G113" s="658"/>
      <c r="H113" s="658">
        <f>SUM(H114:H116)</f>
        <v>12900</v>
      </c>
      <c r="I113" s="658">
        <f>SUM(I114:I116)</f>
        <v>12800</v>
      </c>
      <c r="J113" s="658"/>
      <c r="K113" s="658">
        <f>SUM(K114:K116)</f>
        <v>400</v>
      </c>
      <c r="L113" s="658">
        <f>SUM(L114:L116)</f>
        <v>2000</v>
      </c>
      <c r="M113" s="658"/>
      <c r="N113" s="658">
        <f>SUM(N114:N116)</f>
        <v>860</v>
      </c>
      <c r="O113" s="658">
        <f>SUM(O114:O116)</f>
        <v>6500</v>
      </c>
      <c r="P113" s="658">
        <f aca="true" t="shared" si="11" ref="P113:P122">SUM(B113:O113)</f>
        <v>64190</v>
      </c>
    </row>
    <row r="114" spans="1:16" s="495" customFormat="1" ht="18" customHeight="1">
      <c r="A114" s="514" t="s">
        <v>169</v>
      </c>
      <c r="B114" s="659"/>
      <c r="C114" s="659"/>
      <c r="D114" s="659"/>
      <c r="E114" s="659"/>
      <c r="F114" s="659"/>
      <c r="G114" s="659"/>
      <c r="H114" s="659">
        <v>12000</v>
      </c>
      <c r="I114" s="659">
        <v>3000</v>
      </c>
      <c r="J114" s="659"/>
      <c r="K114" s="659"/>
      <c r="L114" s="659">
        <v>1000</v>
      </c>
      <c r="M114" s="659"/>
      <c r="N114" s="660"/>
      <c r="O114" s="660"/>
      <c r="P114" s="648">
        <f t="shared" si="11"/>
        <v>16000</v>
      </c>
    </row>
    <row r="115" spans="1:16" s="495" customFormat="1" ht="18" customHeight="1">
      <c r="A115" s="514" t="s">
        <v>189</v>
      </c>
      <c r="B115" s="661">
        <v>23180</v>
      </c>
      <c r="C115" s="661"/>
      <c r="D115" s="661">
        <v>3990</v>
      </c>
      <c r="E115" s="661">
        <v>560</v>
      </c>
      <c r="F115" s="661">
        <v>1000</v>
      </c>
      <c r="G115" s="661"/>
      <c r="H115" s="661">
        <v>900</v>
      </c>
      <c r="I115" s="661">
        <v>9800</v>
      </c>
      <c r="J115" s="661"/>
      <c r="K115" s="661">
        <v>400</v>
      </c>
      <c r="L115" s="661">
        <v>1000</v>
      </c>
      <c r="M115" s="661"/>
      <c r="N115" s="662">
        <v>860</v>
      </c>
      <c r="O115" s="662"/>
      <c r="P115" s="648">
        <f t="shared" si="11"/>
        <v>41690</v>
      </c>
    </row>
    <row r="116" spans="1:16" s="495" customFormat="1" ht="18" customHeight="1">
      <c r="A116" s="508" t="s">
        <v>194</v>
      </c>
      <c r="B116" s="661"/>
      <c r="C116" s="661"/>
      <c r="D116" s="661"/>
      <c r="E116" s="661"/>
      <c r="F116" s="661"/>
      <c r="G116" s="661"/>
      <c r="H116" s="661"/>
      <c r="I116" s="661"/>
      <c r="J116" s="661"/>
      <c r="K116" s="661"/>
      <c r="L116" s="661"/>
      <c r="M116" s="661"/>
      <c r="N116" s="662"/>
      <c r="O116" s="662">
        <v>6500</v>
      </c>
      <c r="P116" s="648">
        <f t="shared" si="11"/>
        <v>6500</v>
      </c>
    </row>
    <row r="117" spans="1:16" s="495" customFormat="1" ht="31.5" customHeight="1" thickBot="1">
      <c r="A117" s="606" t="s">
        <v>249</v>
      </c>
      <c r="B117" s="842"/>
      <c r="C117" s="842">
        <f>C118</f>
        <v>29</v>
      </c>
      <c r="D117" s="842">
        <f>D118</f>
        <v>-29</v>
      </c>
      <c r="E117" s="842"/>
      <c r="F117" s="842"/>
      <c r="G117" s="842"/>
      <c r="H117" s="842"/>
      <c r="I117" s="842"/>
      <c r="J117" s="842"/>
      <c r="K117" s="842"/>
      <c r="L117" s="842"/>
      <c r="M117" s="842"/>
      <c r="N117" s="842"/>
      <c r="O117" s="842"/>
      <c r="P117" s="664">
        <f t="shared" si="11"/>
        <v>0</v>
      </c>
    </row>
    <row r="118" spans="1:16" ht="27" thickBot="1" thickTop="1">
      <c r="A118" s="517" t="s">
        <v>422</v>
      </c>
      <c r="B118" s="665"/>
      <c r="C118" s="665">
        <f>C119</f>
        <v>29</v>
      </c>
      <c r="D118" s="665">
        <f>D119</f>
        <v>-29</v>
      </c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53">
        <f t="shared" si="11"/>
        <v>0</v>
      </c>
    </row>
    <row r="119" spans="1:16" ht="33" customHeight="1">
      <c r="A119" s="518" t="s">
        <v>250</v>
      </c>
      <c r="B119" s="668"/>
      <c r="C119" s="668">
        <f>SUM(C120:C122)</f>
        <v>29</v>
      </c>
      <c r="D119" s="668">
        <f>SUM(D120:D122)</f>
        <v>-29</v>
      </c>
      <c r="E119" s="668"/>
      <c r="F119" s="668"/>
      <c r="G119" s="668"/>
      <c r="H119" s="668"/>
      <c r="I119" s="668"/>
      <c r="J119" s="668"/>
      <c r="K119" s="668"/>
      <c r="L119" s="668"/>
      <c r="M119" s="668"/>
      <c r="N119" s="668"/>
      <c r="O119" s="668"/>
      <c r="P119" s="669">
        <f t="shared" si="11"/>
        <v>0</v>
      </c>
    </row>
    <row r="120" spans="1:16" ht="18" customHeight="1">
      <c r="A120" s="514" t="s">
        <v>167</v>
      </c>
      <c r="B120" s="670"/>
      <c r="C120" s="670">
        <v>11</v>
      </c>
      <c r="D120" s="670">
        <v>-11</v>
      </c>
      <c r="E120" s="670"/>
      <c r="F120" s="670"/>
      <c r="G120" s="670"/>
      <c r="H120" s="670"/>
      <c r="I120" s="670"/>
      <c r="J120" s="670"/>
      <c r="K120" s="670"/>
      <c r="L120" s="670"/>
      <c r="M120" s="670"/>
      <c r="N120" s="671"/>
      <c r="O120" s="671"/>
      <c r="P120" s="648">
        <f t="shared" si="11"/>
        <v>0</v>
      </c>
    </row>
    <row r="121" spans="1:16" ht="18" customHeight="1">
      <c r="A121" s="514" t="s">
        <v>187</v>
      </c>
      <c r="B121" s="763"/>
      <c r="C121" s="763">
        <v>6</v>
      </c>
      <c r="D121" s="763">
        <v>-6</v>
      </c>
      <c r="E121" s="763"/>
      <c r="F121" s="763"/>
      <c r="G121" s="763"/>
      <c r="H121" s="763"/>
      <c r="I121" s="763"/>
      <c r="J121" s="763"/>
      <c r="K121" s="763"/>
      <c r="L121" s="763"/>
      <c r="M121" s="763"/>
      <c r="N121" s="764"/>
      <c r="O121" s="764"/>
      <c r="P121" s="648">
        <f t="shared" si="11"/>
        <v>0</v>
      </c>
    </row>
    <row r="122" spans="1:16" ht="18" customHeight="1">
      <c r="A122" s="514" t="s">
        <v>188</v>
      </c>
      <c r="B122" s="670"/>
      <c r="C122" s="670">
        <v>12</v>
      </c>
      <c r="D122" s="670">
        <v>-12</v>
      </c>
      <c r="E122" s="670"/>
      <c r="F122" s="670"/>
      <c r="G122" s="670"/>
      <c r="H122" s="670"/>
      <c r="I122" s="670"/>
      <c r="J122" s="670"/>
      <c r="K122" s="670"/>
      <c r="L122" s="670"/>
      <c r="M122" s="670"/>
      <c r="N122" s="671"/>
      <c r="O122" s="670"/>
      <c r="P122" s="648">
        <f t="shared" si="11"/>
        <v>0</v>
      </c>
    </row>
    <row r="123" ht="12.75">
      <c r="A123" s="608"/>
    </row>
    <row r="124" ht="12.75">
      <c r="A124" s="608"/>
    </row>
    <row r="125" ht="12.75">
      <c r="A125" s="608"/>
    </row>
    <row r="126" ht="12.75">
      <c r="A126" s="608"/>
    </row>
    <row r="127" ht="12.75">
      <c r="A127" s="608"/>
    </row>
    <row r="128" ht="12.75">
      <c r="A128" s="608"/>
    </row>
    <row r="129" spans="1:6" ht="14.25">
      <c r="A129" s="608"/>
      <c r="C129" s="1201" t="s">
        <v>562</v>
      </c>
      <c r="D129" s="1201"/>
      <c r="F129" s="1201" t="s">
        <v>559</v>
      </c>
    </row>
    <row r="130" spans="1:6" ht="14.25">
      <c r="A130" s="608"/>
      <c r="C130" s="1201" t="s">
        <v>563</v>
      </c>
      <c r="D130" s="1201"/>
      <c r="F130" s="1201" t="s">
        <v>560</v>
      </c>
    </row>
    <row r="131" spans="1:6" ht="14.25">
      <c r="A131" s="608"/>
      <c r="C131" s="1201" t="s">
        <v>558</v>
      </c>
      <c r="D131" s="1201"/>
      <c r="F131" s="1201" t="s">
        <v>561</v>
      </c>
    </row>
    <row r="132" ht="12.75">
      <c r="A132" s="608"/>
    </row>
    <row r="133" ht="12.75">
      <c r="A133" s="608"/>
    </row>
    <row r="134" ht="12.75">
      <c r="A134" s="608"/>
    </row>
    <row r="135" ht="12.75">
      <c r="A135" s="608"/>
    </row>
    <row r="136" ht="12.75">
      <c r="A136" s="608"/>
    </row>
    <row r="137" ht="12.75">
      <c r="A137" s="608"/>
    </row>
    <row r="138" ht="12.75">
      <c r="A138" s="608"/>
    </row>
    <row r="139" ht="12.75">
      <c r="A139" s="608"/>
    </row>
    <row r="140" ht="12.75">
      <c r="A140" s="608"/>
    </row>
    <row r="141" ht="12.75">
      <c r="A141" s="608"/>
    </row>
    <row r="142" ht="12.75">
      <c r="A142" s="608"/>
    </row>
    <row r="143" ht="12.75">
      <c r="A143" s="608"/>
    </row>
    <row r="144" ht="12.75">
      <c r="A144" s="608"/>
    </row>
    <row r="145" ht="12.75">
      <c r="A145" s="608"/>
    </row>
    <row r="146" ht="12.75">
      <c r="A146" s="608"/>
    </row>
    <row r="147" ht="12.75">
      <c r="A147" s="608"/>
    </row>
    <row r="148" ht="12.75">
      <c r="A148" s="608"/>
    </row>
    <row r="149" ht="12.75">
      <c r="A149" s="608"/>
    </row>
    <row r="150" ht="12.75">
      <c r="A150" s="608"/>
    </row>
    <row r="151" ht="12.75">
      <c r="A151" s="608"/>
    </row>
    <row r="152" ht="12.75">
      <c r="A152" s="608"/>
    </row>
    <row r="153" ht="12.75">
      <c r="A153" s="608"/>
    </row>
    <row r="154" ht="12.75">
      <c r="A154" s="608"/>
    </row>
    <row r="155" ht="12.75">
      <c r="A155" s="608"/>
    </row>
    <row r="156" ht="12.75">
      <c r="A156" s="608"/>
    </row>
    <row r="157" ht="12.75">
      <c r="A157" s="608"/>
    </row>
    <row r="158" ht="12.75">
      <c r="A158" s="608"/>
    </row>
    <row r="159" ht="12.75">
      <c r="A159" s="608"/>
    </row>
    <row r="160" ht="12.75">
      <c r="A160" s="608"/>
    </row>
    <row r="161" ht="12.75">
      <c r="A161" s="608"/>
    </row>
    <row r="162" ht="12.75">
      <c r="A162" s="608"/>
    </row>
    <row r="163" ht="12.75">
      <c r="A163" s="608"/>
    </row>
    <row r="164" ht="12.75">
      <c r="A164" s="608"/>
    </row>
    <row r="165" ht="12.75">
      <c r="A165" s="608"/>
    </row>
    <row r="166" ht="12.75">
      <c r="A166" s="608"/>
    </row>
    <row r="167" ht="12.75">
      <c r="A167" s="608"/>
    </row>
    <row r="168" ht="12.75">
      <c r="A168" s="608"/>
    </row>
    <row r="169" ht="12.75">
      <c r="A169" s="608"/>
    </row>
    <row r="170" ht="12.75">
      <c r="A170" s="608"/>
    </row>
    <row r="171" ht="12.75">
      <c r="A171" s="608"/>
    </row>
    <row r="172" ht="12.75">
      <c r="A172" s="608"/>
    </row>
    <row r="173" ht="12.75">
      <c r="A173" s="608"/>
    </row>
    <row r="174" ht="12.75">
      <c r="A174" s="608"/>
    </row>
    <row r="175" ht="12.75">
      <c r="A175" s="608"/>
    </row>
    <row r="176" ht="12.75">
      <c r="A176" s="608"/>
    </row>
    <row r="177" ht="12.75">
      <c r="A177" s="608"/>
    </row>
    <row r="178" ht="12.75">
      <c r="A178" s="608"/>
    </row>
    <row r="179" ht="12.75">
      <c r="A179" s="608"/>
    </row>
    <row r="180" ht="12.75">
      <c r="A180" s="608"/>
    </row>
    <row r="181" ht="12.75">
      <c r="A181" s="608"/>
    </row>
    <row r="182" ht="12.75">
      <c r="A182" s="608"/>
    </row>
    <row r="183" ht="12.75">
      <c r="A183" s="608"/>
    </row>
    <row r="184" ht="12.75">
      <c r="A184" s="608"/>
    </row>
    <row r="185" ht="12.75">
      <c r="A185" s="608"/>
    </row>
    <row r="186" ht="12.75">
      <c r="A186" s="608"/>
    </row>
    <row r="187" ht="12.75">
      <c r="A187" s="608"/>
    </row>
    <row r="188" ht="12.75">
      <c r="A188" s="608"/>
    </row>
    <row r="189" ht="12.75">
      <c r="A189" s="608"/>
    </row>
    <row r="190" ht="12.75">
      <c r="A190" s="608"/>
    </row>
    <row r="191" ht="12.75">
      <c r="A191" s="608"/>
    </row>
  </sheetData>
  <mergeCells count="1">
    <mergeCell ref="B3:C3"/>
  </mergeCells>
  <printOptions/>
  <pageMargins left="0.3937007874015748" right="0.3937007874015748" top="0.9055118110236221" bottom="0.7086614173228347" header="0.5118110236220472" footer="0.5118110236220472"/>
  <pageSetup firstPageNumber="42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Z34"/>
  <sheetViews>
    <sheetView zoomScale="70" zoomScaleNormal="70" zoomScaleSheetLayoutView="75" workbookViewId="0" topLeftCell="A1">
      <selection activeCell="J3" sqref="J3"/>
    </sheetView>
  </sheetViews>
  <sheetFormatPr defaultColWidth="9.00390625" defaultRowHeight="12.75"/>
  <cols>
    <col min="1" max="1" width="5.75390625" style="267" customWidth="1"/>
    <col min="2" max="2" width="8.25390625" style="267" customWidth="1"/>
    <col min="3" max="3" width="47.875" style="46" customWidth="1"/>
    <col min="4" max="4" width="18.75390625" style="1" customWidth="1"/>
    <col min="5" max="12" width="13.75390625" style="1" customWidth="1"/>
    <col min="13" max="16" width="13.75390625" style="2" customWidth="1"/>
    <col min="17" max="17" width="22.75390625" style="1" customWidth="1"/>
    <col min="18" max="18" width="13.875" style="1" customWidth="1"/>
    <col min="19" max="16384" width="9.125" style="1" customWidth="1"/>
  </cols>
  <sheetData>
    <row r="1" spans="14:15" ht="15">
      <c r="N1" s="1" t="s">
        <v>347</v>
      </c>
      <c r="O1" s="1"/>
    </row>
    <row r="2" spans="2:15" ht="15" customHeight="1">
      <c r="B2" s="268"/>
      <c r="N2" s="1" t="s">
        <v>538</v>
      </c>
      <c r="O2" s="1"/>
    </row>
    <row r="3" spans="3:15" ht="15.75">
      <c r="C3" s="269" t="s">
        <v>273</v>
      </c>
      <c r="N3" s="1" t="s">
        <v>67</v>
      </c>
      <c r="O3" s="1"/>
    </row>
    <row r="4" spans="14:15" ht="14.25" customHeight="1">
      <c r="N4" s="1" t="s">
        <v>443</v>
      </c>
      <c r="O4" s="1"/>
    </row>
    <row r="5" spans="3:12" ht="6" customHeight="1">
      <c r="C5" s="270"/>
      <c r="D5" s="2"/>
      <c r="E5" s="2"/>
      <c r="F5" s="2"/>
      <c r="G5" s="2"/>
      <c r="H5" s="2"/>
      <c r="I5" s="2"/>
      <c r="J5" s="2"/>
      <c r="K5" s="2"/>
      <c r="L5" s="2"/>
    </row>
    <row r="6" spans="3:16" ht="20.25" customHeight="1" thickBot="1">
      <c r="C6" s="270"/>
      <c r="D6" s="2"/>
      <c r="E6" s="2"/>
      <c r="F6" s="2"/>
      <c r="G6" s="2"/>
      <c r="H6" s="2"/>
      <c r="I6" s="2"/>
      <c r="J6" s="2"/>
      <c r="K6" s="2"/>
      <c r="L6" s="2"/>
      <c r="M6" s="271"/>
      <c r="N6" s="271"/>
      <c r="O6" s="271"/>
      <c r="P6" s="272" t="s">
        <v>68</v>
      </c>
    </row>
    <row r="7" spans="1:16" ht="18" customHeight="1" thickTop="1">
      <c r="A7" s="273"/>
      <c r="B7" s="273"/>
      <c r="C7" s="274" t="s">
        <v>69</v>
      </c>
      <c r="D7" s="274" t="s">
        <v>274</v>
      </c>
      <c r="E7" s="1163" t="s">
        <v>71</v>
      </c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2"/>
    </row>
    <row r="8" spans="1:16" ht="26.25" customHeight="1" thickBot="1">
      <c r="A8" s="275" t="s">
        <v>72</v>
      </c>
      <c r="B8" s="276" t="s">
        <v>275</v>
      </c>
      <c r="C8" s="277" t="s">
        <v>276</v>
      </c>
      <c r="D8" s="277" t="s">
        <v>75</v>
      </c>
      <c r="E8" s="277" t="s">
        <v>76</v>
      </c>
      <c r="F8" s="277" t="s">
        <v>77</v>
      </c>
      <c r="G8" s="277" t="s">
        <v>78</v>
      </c>
      <c r="H8" s="277" t="s">
        <v>79</v>
      </c>
      <c r="I8" s="277" t="s">
        <v>80</v>
      </c>
      <c r="J8" s="277" t="s">
        <v>81</v>
      </c>
      <c r="K8" s="277" t="s">
        <v>82</v>
      </c>
      <c r="L8" s="277" t="s">
        <v>83</v>
      </c>
      <c r="M8" s="278" t="s">
        <v>84</v>
      </c>
      <c r="N8" s="278" t="s">
        <v>85</v>
      </c>
      <c r="O8" s="278" t="s">
        <v>86</v>
      </c>
      <c r="P8" s="278" t="s">
        <v>87</v>
      </c>
    </row>
    <row r="9" spans="1:22" s="22" customFormat="1" ht="14.25" thickBot="1" thickTop="1">
      <c r="A9" s="279">
        <v>1</v>
      </c>
      <c r="B9" s="279">
        <v>2</v>
      </c>
      <c r="C9" s="280">
        <v>3</v>
      </c>
      <c r="D9" s="281">
        <v>4</v>
      </c>
      <c r="E9" s="281">
        <v>5</v>
      </c>
      <c r="F9" s="281">
        <v>6</v>
      </c>
      <c r="G9" s="281">
        <v>7</v>
      </c>
      <c r="H9" s="281">
        <v>8</v>
      </c>
      <c r="I9" s="281">
        <v>9</v>
      </c>
      <c r="J9" s="281">
        <v>10</v>
      </c>
      <c r="K9" s="281">
        <v>11</v>
      </c>
      <c r="L9" s="281">
        <v>12</v>
      </c>
      <c r="M9" s="281">
        <v>13</v>
      </c>
      <c r="N9" s="281">
        <v>14</v>
      </c>
      <c r="O9" s="281">
        <v>15</v>
      </c>
      <c r="P9" s="281">
        <v>16</v>
      </c>
      <c r="Q9" s="33"/>
      <c r="R9" s="33"/>
      <c r="S9" s="33"/>
      <c r="T9" s="33"/>
      <c r="U9" s="33"/>
      <c r="V9" s="33"/>
    </row>
    <row r="10" spans="1:26" s="268" customFormat="1" ht="30.75" customHeight="1" thickBot="1" thickTop="1">
      <c r="A10" s="282"/>
      <c r="B10" s="283"/>
      <c r="C10" s="284" t="s">
        <v>277</v>
      </c>
      <c r="D10" s="285">
        <f>SUM(E10:P10)</f>
        <v>323202</v>
      </c>
      <c r="E10" s="286">
        <f>E11</f>
        <v>-5200</v>
      </c>
      <c r="F10" s="286">
        <f aca="true" t="shared" si="0" ref="F10:P10">F11</f>
        <v>-50000</v>
      </c>
      <c r="G10" s="286">
        <f t="shared" si="0"/>
        <v>-50000</v>
      </c>
      <c r="H10" s="286">
        <f t="shared" si="0"/>
        <v>-5100</v>
      </c>
      <c r="I10" s="286">
        <f t="shared" si="0"/>
        <v>-14850</v>
      </c>
      <c r="J10" s="286">
        <f t="shared" si="0"/>
        <v>-52600</v>
      </c>
      <c r="K10" s="286">
        <f t="shared" si="0"/>
        <v>-39634</v>
      </c>
      <c r="L10" s="286">
        <f t="shared" si="0"/>
        <v>42872</v>
      </c>
      <c r="M10" s="286">
        <f t="shared" si="0"/>
        <v>125771</v>
      </c>
      <c r="N10" s="286">
        <f t="shared" si="0"/>
        <v>124520</v>
      </c>
      <c r="O10" s="286">
        <f t="shared" si="0"/>
        <v>124520</v>
      </c>
      <c r="P10" s="286">
        <f t="shared" si="0"/>
        <v>122903</v>
      </c>
      <c r="Q10" s="287">
        <f>D10-'doch Pr'!F8</f>
        <v>0</v>
      </c>
      <c r="R10" s="288"/>
      <c r="S10" s="288"/>
      <c r="T10" s="288"/>
      <c r="U10" s="288"/>
      <c r="V10" s="288"/>
      <c r="W10" s="289"/>
      <c r="X10" s="289"/>
      <c r="Y10" s="289"/>
      <c r="Z10" s="289"/>
    </row>
    <row r="11" spans="1:26" s="294" customFormat="1" ht="24" customHeight="1" thickBot="1" thickTop="1">
      <c r="A11" s="290"/>
      <c r="B11" s="290"/>
      <c r="C11" s="291" t="s">
        <v>90</v>
      </c>
      <c r="D11" s="285">
        <f aca="true" t="shared" si="1" ref="D11:D26">SUM(E11:P11)</f>
        <v>323202</v>
      </c>
      <c r="E11" s="285">
        <f>E12</f>
        <v>-5200</v>
      </c>
      <c r="F11" s="285">
        <f aca="true" t="shared" si="2" ref="F11:P11">F12</f>
        <v>-50000</v>
      </c>
      <c r="G11" s="285">
        <f t="shared" si="2"/>
        <v>-50000</v>
      </c>
      <c r="H11" s="285">
        <f t="shared" si="2"/>
        <v>-5100</v>
      </c>
      <c r="I11" s="285">
        <f t="shared" si="2"/>
        <v>-14850</v>
      </c>
      <c r="J11" s="285">
        <f t="shared" si="2"/>
        <v>-52600</v>
      </c>
      <c r="K11" s="285">
        <f t="shared" si="2"/>
        <v>-39634</v>
      </c>
      <c r="L11" s="285">
        <f t="shared" si="2"/>
        <v>42872</v>
      </c>
      <c r="M11" s="285">
        <f t="shared" si="2"/>
        <v>125771</v>
      </c>
      <c r="N11" s="285">
        <f t="shared" si="2"/>
        <v>124520</v>
      </c>
      <c r="O11" s="285">
        <f t="shared" si="2"/>
        <v>124520</v>
      </c>
      <c r="P11" s="285">
        <f t="shared" si="2"/>
        <v>122903</v>
      </c>
      <c r="Q11" s="292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16" ht="23.25" customHeight="1" thickTop="1">
      <c r="A12" s="295"/>
      <c r="B12" s="295"/>
      <c r="C12" s="296" t="s">
        <v>278</v>
      </c>
      <c r="D12" s="297">
        <f t="shared" si="1"/>
        <v>323202</v>
      </c>
      <c r="E12" s="297">
        <f>E13+E19</f>
        <v>-5200</v>
      </c>
      <c r="F12" s="297">
        <f aca="true" t="shared" si="3" ref="F12:P12">F13+F19</f>
        <v>-50000</v>
      </c>
      <c r="G12" s="297">
        <f t="shared" si="3"/>
        <v>-50000</v>
      </c>
      <c r="H12" s="297">
        <f t="shared" si="3"/>
        <v>-5100</v>
      </c>
      <c r="I12" s="297">
        <f t="shared" si="3"/>
        <v>-14850</v>
      </c>
      <c r="J12" s="297">
        <f t="shared" si="3"/>
        <v>-52600</v>
      </c>
      <c r="K12" s="297">
        <f t="shared" si="3"/>
        <v>-39634</v>
      </c>
      <c r="L12" s="297">
        <f t="shared" si="3"/>
        <v>42872</v>
      </c>
      <c r="M12" s="297">
        <f t="shared" si="3"/>
        <v>125771</v>
      </c>
      <c r="N12" s="297">
        <f t="shared" si="3"/>
        <v>124520</v>
      </c>
      <c r="O12" s="297">
        <f t="shared" si="3"/>
        <v>124520</v>
      </c>
      <c r="P12" s="297">
        <f t="shared" si="3"/>
        <v>122903</v>
      </c>
    </row>
    <row r="13" spans="1:16" ht="25.5" customHeight="1">
      <c r="A13" s="295"/>
      <c r="B13" s="295"/>
      <c r="C13" s="298" t="s">
        <v>272</v>
      </c>
      <c r="D13" s="299">
        <f t="shared" si="1"/>
        <v>264030</v>
      </c>
      <c r="E13" s="299"/>
      <c r="F13" s="299"/>
      <c r="G13" s="299"/>
      <c r="H13" s="299"/>
      <c r="I13" s="299"/>
      <c r="J13" s="299"/>
      <c r="K13" s="299"/>
      <c r="L13" s="299">
        <f>L14</f>
        <v>19947</v>
      </c>
      <c r="M13" s="299">
        <f>M14</f>
        <v>61020</v>
      </c>
      <c r="N13" s="299">
        <f>N14</f>
        <v>61020</v>
      </c>
      <c r="O13" s="299">
        <f>O14</f>
        <v>61020</v>
      </c>
      <c r="P13" s="299">
        <f>P14</f>
        <v>61023</v>
      </c>
    </row>
    <row r="14" spans="1:16" s="48" customFormat="1" ht="39.75" customHeight="1" thickBot="1">
      <c r="A14" s="300"/>
      <c r="B14" s="300"/>
      <c r="C14" s="301" t="s">
        <v>266</v>
      </c>
      <c r="D14" s="302">
        <f t="shared" si="1"/>
        <v>264030</v>
      </c>
      <c r="E14" s="302"/>
      <c r="F14" s="302"/>
      <c r="G14" s="302"/>
      <c r="H14" s="302"/>
      <c r="I14" s="302"/>
      <c r="J14" s="302"/>
      <c r="K14" s="302"/>
      <c r="L14" s="302">
        <f>L15+L17</f>
        <v>19947</v>
      </c>
      <c r="M14" s="302">
        <f>M15+M17</f>
        <v>61020</v>
      </c>
      <c r="N14" s="302">
        <f>N15+N17</f>
        <v>61020</v>
      </c>
      <c r="O14" s="302">
        <f>O15+O17</f>
        <v>61020</v>
      </c>
      <c r="P14" s="302">
        <f>P15+P17</f>
        <v>61023</v>
      </c>
    </row>
    <row r="15" spans="1:16" s="4" customFormat="1" ht="21.75" customHeight="1" thickTop="1">
      <c r="A15" s="303">
        <v>801</v>
      </c>
      <c r="B15" s="303"/>
      <c r="C15" s="304" t="s">
        <v>97</v>
      </c>
      <c r="D15" s="41">
        <f t="shared" si="1"/>
        <v>19947</v>
      </c>
      <c r="E15" s="41"/>
      <c r="F15" s="41"/>
      <c r="G15" s="41"/>
      <c r="H15" s="41"/>
      <c r="I15" s="41"/>
      <c r="J15" s="41"/>
      <c r="K15" s="41"/>
      <c r="L15" s="41">
        <f>L16</f>
        <v>19947</v>
      </c>
      <c r="M15" s="41"/>
      <c r="N15" s="41"/>
      <c r="O15" s="41"/>
      <c r="P15" s="41"/>
    </row>
    <row r="16" spans="1:16" s="305" customFormat="1" ht="22.5" customHeight="1">
      <c r="A16" s="417"/>
      <c r="B16" s="417">
        <v>80195</v>
      </c>
      <c r="C16" s="129" t="s">
        <v>96</v>
      </c>
      <c r="D16" s="43">
        <f t="shared" si="1"/>
        <v>19947</v>
      </c>
      <c r="E16" s="43"/>
      <c r="F16" s="43"/>
      <c r="G16" s="43"/>
      <c r="H16" s="43"/>
      <c r="I16" s="43"/>
      <c r="J16" s="43"/>
      <c r="K16" s="43"/>
      <c r="L16" s="43">
        <v>19947</v>
      </c>
      <c r="M16" s="43"/>
      <c r="N16" s="43"/>
      <c r="O16" s="43"/>
      <c r="P16" s="43"/>
    </row>
    <row r="17" spans="1:16" s="4" customFormat="1" ht="21.75" customHeight="1">
      <c r="A17" s="303">
        <v>852</v>
      </c>
      <c r="B17" s="303"/>
      <c r="C17" s="304" t="s">
        <v>98</v>
      </c>
      <c r="D17" s="41">
        <f t="shared" si="1"/>
        <v>244083</v>
      </c>
      <c r="E17" s="41"/>
      <c r="F17" s="41"/>
      <c r="G17" s="41"/>
      <c r="H17" s="41"/>
      <c r="I17" s="41"/>
      <c r="J17" s="41"/>
      <c r="K17" s="41"/>
      <c r="L17" s="41"/>
      <c r="M17" s="41">
        <f>M18</f>
        <v>61020</v>
      </c>
      <c r="N17" s="41">
        <f>N18</f>
        <v>61020</v>
      </c>
      <c r="O17" s="41">
        <f>O18</f>
        <v>61020</v>
      </c>
      <c r="P17" s="41">
        <f>P18</f>
        <v>61023</v>
      </c>
    </row>
    <row r="18" spans="1:16" s="305" customFormat="1" ht="22.5" customHeight="1">
      <c r="A18" s="416"/>
      <c r="B18" s="417">
        <v>85295</v>
      </c>
      <c r="C18" s="129" t="s">
        <v>96</v>
      </c>
      <c r="D18" s="43">
        <f t="shared" si="1"/>
        <v>244083</v>
      </c>
      <c r="E18" s="43"/>
      <c r="F18" s="43"/>
      <c r="G18" s="43"/>
      <c r="H18" s="43"/>
      <c r="I18" s="43"/>
      <c r="J18" s="43"/>
      <c r="K18" s="43"/>
      <c r="L18" s="43"/>
      <c r="M18" s="43">
        <v>61020</v>
      </c>
      <c r="N18" s="43">
        <v>61020</v>
      </c>
      <c r="O18" s="43">
        <v>61020</v>
      </c>
      <c r="P18" s="43">
        <v>61023</v>
      </c>
    </row>
    <row r="19" spans="1:16" ht="25.5" customHeight="1">
      <c r="A19" s="295"/>
      <c r="B19" s="295"/>
      <c r="C19" s="298" t="s">
        <v>362</v>
      </c>
      <c r="D19" s="299">
        <f>SUM(E19:P19)</f>
        <v>59172</v>
      </c>
      <c r="E19" s="299">
        <f>E20</f>
        <v>-5200</v>
      </c>
      <c r="F19" s="299">
        <f aca="true" t="shared" si="4" ref="F19:P19">F20</f>
        <v>-50000</v>
      </c>
      <c r="G19" s="299">
        <f t="shared" si="4"/>
        <v>-50000</v>
      </c>
      <c r="H19" s="299">
        <f t="shared" si="4"/>
        <v>-5100</v>
      </c>
      <c r="I19" s="299">
        <f t="shared" si="4"/>
        <v>-14850</v>
      </c>
      <c r="J19" s="299">
        <f t="shared" si="4"/>
        <v>-52600</v>
      </c>
      <c r="K19" s="299">
        <f t="shared" si="4"/>
        <v>-39634</v>
      </c>
      <c r="L19" s="299">
        <f t="shared" si="4"/>
        <v>22925</v>
      </c>
      <c r="M19" s="299">
        <f t="shared" si="4"/>
        <v>64751</v>
      </c>
      <c r="N19" s="299">
        <f t="shared" si="4"/>
        <v>63500</v>
      </c>
      <c r="O19" s="299">
        <f t="shared" si="4"/>
        <v>63500</v>
      </c>
      <c r="P19" s="299">
        <f t="shared" si="4"/>
        <v>61880</v>
      </c>
    </row>
    <row r="20" spans="1:16" s="48" customFormat="1" ht="50.25" customHeight="1" thickBot="1">
      <c r="A20" s="300"/>
      <c r="B20" s="300"/>
      <c r="C20" s="301" t="s">
        <v>421</v>
      </c>
      <c r="D20" s="302">
        <f t="shared" si="1"/>
        <v>59172</v>
      </c>
      <c r="E20" s="302">
        <f>E21+E23+E25</f>
        <v>-5200</v>
      </c>
      <c r="F20" s="302">
        <f aca="true" t="shared" si="5" ref="F20:P20">F21+F23+F25</f>
        <v>-50000</v>
      </c>
      <c r="G20" s="302">
        <f t="shared" si="5"/>
        <v>-50000</v>
      </c>
      <c r="H20" s="302">
        <f t="shared" si="5"/>
        <v>-5100</v>
      </c>
      <c r="I20" s="302">
        <f t="shared" si="5"/>
        <v>-14850</v>
      </c>
      <c r="J20" s="302">
        <f t="shared" si="5"/>
        <v>-52600</v>
      </c>
      <c r="K20" s="302">
        <f t="shared" si="5"/>
        <v>-39634</v>
      </c>
      <c r="L20" s="302">
        <f t="shared" si="5"/>
        <v>22925</v>
      </c>
      <c r="M20" s="302">
        <f t="shared" si="5"/>
        <v>64751</v>
      </c>
      <c r="N20" s="302">
        <f t="shared" si="5"/>
        <v>63500</v>
      </c>
      <c r="O20" s="302">
        <f t="shared" si="5"/>
        <v>63500</v>
      </c>
      <c r="P20" s="302">
        <f t="shared" si="5"/>
        <v>61880</v>
      </c>
    </row>
    <row r="21" spans="1:16" s="4" customFormat="1" ht="21.75" customHeight="1" thickTop="1">
      <c r="A21" s="303">
        <v>700</v>
      </c>
      <c r="B21" s="303"/>
      <c r="C21" s="969" t="s">
        <v>129</v>
      </c>
      <c r="D21" s="41">
        <f>SUM(E21:P21)</f>
        <v>1251</v>
      </c>
      <c r="E21" s="41">
        <f>E22</f>
        <v>-5000</v>
      </c>
      <c r="F21" s="41">
        <f aca="true" t="shared" si="6" ref="F21:P21">F22</f>
        <v>-50000</v>
      </c>
      <c r="G21" s="41">
        <f t="shared" si="6"/>
        <v>-50000</v>
      </c>
      <c r="H21" s="41"/>
      <c r="I21" s="41">
        <f t="shared" si="6"/>
        <v>-6850</v>
      </c>
      <c r="J21" s="41">
        <f t="shared" si="6"/>
        <v>-50000</v>
      </c>
      <c r="K21" s="41">
        <f t="shared" si="6"/>
        <v>-20000</v>
      </c>
      <c r="L21" s="41"/>
      <c r="M21" s="41">
        <f t="shared" si="6"/>
        <v>46751</v>
      </c>
      <c r="N21" s="41">
        <f t="shared" si="6"/>
        <v>45500</v>
      </c>
      <c r="O21" s="41">
        <f t="shared" si="6"/>
        <v>45500</v>
      </c>
      <c r="P21" s="41">
        <f t="shared" si="6"/>
        <v>45350</v>
      </c>
    </row>
    <row r="22" spans="1:16" s="305" customFormat="1" ht="22.5" customHeight="1">
      <c r="A22" s="417"/>
      <c r="B22" s="417">
        <v>70005</v>
      </c>
      <c r="C22" s="970" t="s">
        <v>130</v>
      </c>
      <c r="D22" s="43">
        <f t="shared" si="1"/>
        <v>1251</v>
      </c>
      <c r="E22" s="43">
        <v>-5000</v>
      </c>
      <c r="F22" s="43">
        <v>-50000</v>
      </c>
      <c r="G22" s="43">
        <v>-50000</v>
      </c>
      <c r="H22" s="43"/>
      <c r="I22" s="43">
        <v>-6850</v>
      </c>
      <c r="J22" s="43">
        <v>-50000</v>
      </c>
      <c r="K22" s="43">
        <v>-20000</v>
      </c>
      <c r="L22" s="43"/>
      <c r="M22" s="43">
        <f>45500+1251</f>
        <v>46751</v>
      </c>
      <c r="N22" s="43">
        <v>45500</v>
      </c>
      <c r="O22" s="43">
        <v>45500</v>
      </c>
      <c r="P22" s="43">
        <v>45350</v>
      </c>
    </row>
    <row r="23" spans="1:16" s="4" customFormat="1" ht="21.75" customHeight="1">
      <c r="A23" s="303">
        <v>710</v>
      </c>
      <c r="B23" s="303"/>
      <c r="C23" s="969" t="s">
        <v>312</v>
      </c>
      <c r="D23" s="41">
        <f>SUM(E23:P23)</f>
        <v>51730</v>
      </c>
      <c r="E23" s="41">
        <f>E24</f>
        <v>-200</v>
      </c>
      <c r="F23" s="41"/>
      <c r="G23" s="41"/>
      <c r="H23" s="41">
        <f aca="true" t="shared" si="7" ref="H23:P23">H24</f>
        <v>-5100</v>
      </c>
      <c r="I23" s="41">
        <f t="shared" si="7"/>
        <v>-8000</v>
      </c>
      <c r="J23" s="41">
        <f t="shared" si="7"/>
        <v>-2600</v>
      </c>
      <c r="K23" s="41">
        <f t="shared" si="7"/>
        <v>-3700</v>
      </c>
      <c r="L23" s="41">
        <f t="shared" si="7"/>
        <v>800</v>
      </c>
      <c r="M23" s="41">
        <f t="shared" si="7"/>
        <v>18000</v>
      </c>
      <c r="N23" s="41">
        <f t="shared" si="7"/>
        <v>18000</v>
      </c>
      <c r="O23" s="41">
        <f t="shared" si="7"/>
        <v>18000</v>
      </c>
      <c r="P23" s="41">
        <f t="shared" si="7"/>
        <v>16530</v>
      </c>
    </row>
    <row r="24" spans="1:16" s="305" customFormat="1" ht="22.5" customHeight="1">
      <c r="A24" s="417"/>
      <c r="B24" s="417">
        <v>71015</v>
      </c>
      <c r="C24" s="970" t="s">
        <v>446</v>
      </c>
      <c r="D24" s="43">
        <f t="shared" si="1"/>
        <v>51730</v>
      </c>
      <c r="E24" s="43">
        <v>-200</v>
      </c>
      <c r="F24" s="43"/>
      <c r="G24" s="43"/>
      <c r="H24" s="43">
        <v>-5100</v>
      </c>
      <c r="I24" s="43">
        <v>-8000</v>
      </c>
      <c r="J24" s="43">
        <v>-2600</v>
      </c>
      <c r="K24" s="43">
        <v>-3700</v>
      </c>
      <c r="L24" s="43">
        <v>800</v>
      </c>
      <c r="M24" s="43">
        <v>18000</v>
      </c>
      <c r="N24" s="43">
        <v>18000</v>
      </c>
      <c r="O24" s="43">
        <v>18000</v>
      </c>
      <c r="P24" s="43">
        <v>16530</v>
      </c>
    </row>
    <row r="25" spans="1:16" s="4" customFormat="1" ht="31.5">
      <c r="A25" s="303">
        <v>853</v>
      </c>
      <c r="B25" s="303"/>
      <c r="C25" s="969" t="s">
        <v>141</v>
      </c>
      <c r="D25" s="41">
        <f>SUM(E25:P25)</f>
        <v>6191</v>
      </c>
      <c r="E25" s="41"/>
      <c r="F25" s="41"/>
      <c r="G25" s="41"/>
      <c r="H25" s="41"/>
      <c r="I25" s="41"/>
      <c r="J25" s="41"/>
      <c r="K25" s="41">
        <f>K26</f>
        <v>-15934</v>
      </c>
      <c r="L25" s="41">
        <f>L26</f>
        <v>22125</v>
      </c>
      <c r="M25" s="41"/>
      <c r="N25" s="41"/>
      <c r="O25" s="41"/>
      <c r="P25" s="41"/>
    </row>
    <row r="26" spans="1:16" s="305" customFormat="1" ht="22.5" customHeight="1">
      <c r="A26" s="417"/>
      <c r="B26" s="417">
        <v>85334</v>
      </c>
      <c r="C26" s="970" t="s">
        <v>372</v>
      </c>
      <c r="D26" s="43">
        <f t="shared" si="1"/>
        <v>6191</v>
      </c>
      <c r="E26" s="43"/>
      <c r="F26" s="43"/>
      <c r="G26" s="43"/>
      <c r="H26" s="43"/>
      <c r="I26" s="43"/>
      <c r="J26" s="43"/>
      <c r="K26" s="43">
        <v>-15934</v>
      </c>
      <c r="L26" s="43">
        <f>6191+15934</f>
        <v>22125</v>
      </c>
      <c r="M26" s="43"/>
      <c r="N26" s="43"/>
      <c r="O26" s="43"/>
      <c r="P26" s="43"/>
    </row>
    <row r="32" spans="3:4" ht="15">
      <c r="C32" s="1201" t="s">
        <v>562</v>
      </c>
      <c r="D32" s="1201" t="s">
        <v>559</v>
      </c>
    </row>
    <row r="33" spans="3:4" ht="15">
      <c r="C33" s="1201" t="s">
        <v>563</v>
      </c>
      <c r="D33" s="1201" t="s">
        <v>560</v>
      </c>
    </row>
    <row r="34" spans="3:4" ht="15">
      <c r="C34" s="1201" t="s">
        <v>558</v>
      </c>
      <c r="D34" s="1201" t="s">
        <v>561</v>
      </c>
    </row>
  </sheetData>
  <mergeCells count="1">
    <mergeCell ref="E7:P7"/>
  </mergeCells>
  <printOptions horizontalCentered="1"/>
  <pageMargins left="0.3937007874015748" right="0.3937007874015748" top="0.34" bottom="0.4724409448818898" header="0.19" footer="0.3937007874015748"/>
  <pageSetup firstPageNumber="47" useFirstPageNumber="1" horizontalDpi="300" verticalDpi="300" orientation="landscape" paperSize="9" scale="5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R451"/>
  <sheetViews>
    <sheetView zoomScale="68" zoomScaleNormal="68" zoomScaleSheetLayoutView="75" workbookViewId="0" topLeftCell="A7">
      <pane ySplit="900" topLeftCell="BM1" activePane="bottomLeft" state="split"/>
      <selection pane="topLeft" activeCell="L57" sqref="L57"/>
      <selection pane="bottomLeft" activeCell="L3" sqref="L3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0.25390625" style="773" bestFit="1" customWidth="1"/>
    <col min="18" max="16384" width="9.125" style="1" customWidth="1"/>
  </cols>
  <sheetData>
    <row r="1" ht="19.5" customHeight="1">
      <c r="N1" s="2" t="s">
        <v>348</v>
      </c>
    </row>
    <row r="2" ht="19.5" customHeight="1">
      <c r="N2" s="1" t="s">
        <v>538</v>
      </c>
    </row>
    <row r="3" spans="3:14" ht="19.5" customHeight="1">
      <c r="C3" s="3" t="s">
        <v>66</v>
      </c>
      <c r="N3" s="1" t="s">
        <v>67</v>
      </c>
    </row>
    <row r="4" spans="3:14" ht="19.5" customHeight="1">
      <c r="C4" s="4"/>
      <c r="N4" s="1" t="s">
        <v>443</v>
      </c>
    </row>
    <row r="5" ht="18">
      <c r="C5" s="4"/>
    </row>
    <row r="6" spans="8:16" ht="18.75" thickBot="1">
      <c r="H6" s="5"/>
      <c r="P6" s="2" t="s">
        <v>68</v>
      </c>
    </row>
    <row r="7" spans="1:16" ht="19.5" customHeight="1" thickTop="1">
      <c r="A7" s="6"/>
      <c r="B7" s="6"/>
      <c r="C7" s="7" t="s">
        <v>69</v>
      </c>
      <c r="D7" s="8" t="s">
        <v>70</v>
      </c>
      <c r="E7" s="9"/>
      <c r="F7" s="10" t="s">
        <v>71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72</v>
      </c>
      <c r="B8" s="12" t="s">
        <v>73</v>
      </c>
      <c r="C8" s="13" t="s">
        <v>74</v>
      </c>
      <c r="D8" s="14" t="s">
        <v>75</v>
      </c>
      <c r="E8" s="15" t="s">
        <v>76</v>
      </c>
      <c r="F8" s="15" t="s">
        <v>77</v>
      </c>
      <c r="G8" s="15" t="s">
        <v>78</v>
      </c>
      <c r="H8" s="15" t="s">
        <v>79</v>
      </c>
      <c r="I8" s="15" t="s">
        <v>80</v>
      </c>
      <c r="J8" s="15" t="s">
        <v>81</v>
      </c>
      <c r="K8" s="15" t="s">
        <v>82</v>
      </c>
      <c r="L8" s="15" t="s">
        <v>83</v>
      </c>
      <c r="M8" s="15" t="s">
        <v>84</v>
      </c>
      <c r="N8" s="15" t="s">
        <v>85</v>
      </c>
      <c r="O8" s="15" t="s">
        <v>86</v>
      </c>
      <c r="P8" s="15" t="s">
        <v>87</v>
      </c>
    </row>
    <row r="9" spans="1:17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773"/>
    </row>
    <row r="10" spans="1:17" s="22" customFormat="1" ht="24.75" customHeight="1" thickBot="1" thickTop="1">
      <c r="A10" s="19"/>
      <c r="B10" s="19"/>
      <c r="C10" s="20" t="s">
        <v>88</v>
      </c>
      <c r="D10" s="21">
        <f>SUM(E10:P10)</f>
        <v>323202</v>
      </c>
      <c r="E10" s="21"/>
      <c r="F10" s="21">
        <f aca="true" t="shared" si="0" ref="F10:P10">F12+F113+F117+F122+F141+F148+F152</f>
        <v>-10500</v>
      </c>
      <c r="G10" s="21"/>
      <c r="H10" s="21"/>
      <c r="I10" s="21">
        <f t="shared" si="0"/>
        <v>-100000</v>
      </c>
      <c r="J10" s="21">
        <f t="shared" si="0"/>
        <v>-400</v>
      </c>
      <c r="K10" s="21">
        <f t="shared" si="0"/>
        <v>-50452717</v>
      </c>
      <c r="L10" s="21">
        <f t="shared" si="0"/>
        <v>48295156</v>
      </c>
      <c r="M10" s="21">
        <f t="shared" si="0"/>
        <v>1033194</v>
      </c>
      <c r="N10" s="21">
        <f t="shared" si="0"/>
        <v>1408839</v>
      </c>
      <c r="O10" s="21">
        <f t="shared" si="0"/>
        <v>530500</v>
      </c>
      <c r="P10" s="21">
        <f t="shared" si="0"/>
        <v>-380870</v>
      </c>
      <c r="Q10" s="774"/>
    </row>
    <row r="11" spans="1:17" s="22" customFormat="1" ht="12.75" customHeight="1">
      <c r="A11" s="23"/>
      <c r="B11" s="23"/>
      <c r="C11" s="24" t="s">
        <v>89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73"/>
    </row>
    <row r="12" spans="1:17" s="22" customFormat="1" ht="24" customHeight="1">
      <c r="A12" s="23"/>
      <c r="B12" s="23"/>
      <c r="C12" s="27" t="s">
        <v>90</v>
      </c>
      <c r="D12" s="28">
        <f>SUM(E12:P12)</f>
        <v>-1300025</v>
      </c>
      <c r="E12" s="29"/>
      <c r="F12" s="29">
        <f aca="true" t="shared" si="1" ref="F12:P12">F13+F22+F26+F34+F66+F72+F107</f>
        <v>-10500</v>
      </c>
      <c r="G12" s="29"/>
      <c r="H12" s="29"/>
      <c r="I12" s="29"/>
      <c r="J12" s="29"/>
      <c r="K12" s="29">
        <f t="shared" si="1"/>
        <v>-39018232</v>
      </c>
      <c r="L12" s="29">
        <f t="shared" si="1"/>
        <v>38468516</v>
      </c>
      <c r="M12" s="29">
        <f t="shared" si="1"/>
        <v>-412696</v>
      </c>
      <c r="N12" s="29">
        <f t="shared" si="1"/>
        <v>56390</v>
      </c>
      <c r="O12" s="29">
        <f t="shared" si="1"/>
        <v>-446919</v>
      </c>
      <c r="P12" s="29">
        <f t="shared" si="1"/>
        <v>63416</v>
      </c>
      <c r="Q12" s="773"/>
    </row>
    <row r="13" spans="1:18" s="33" customFormat="1" ht="21.75" customHeight="1">
      <c r="A13" s="30"/>
      <c r="B13" s="30"/>
      <c r="C13" s="31" t="s">
        <v>278</v>
      </c>
      <c r="D13" s="32">
        <f aca="true" t="shared" si="2" ref="D13:D87">SUM(E13:P13)</f>
        <v>-999420</v>
      </c>
      <c r="E13" s="32"/>
      <c r="F13" s="32"/>
      <c r="G13" s="32"/>
      <c r="H13" s="32"/>
      <c r="I13" s="32"/>
      <c r="J13" s="32"/>
      <c r="K13" s="32"/>
      <c r="L13" s="32">
        <f>L14</f>
        <v>53804</v>
      </c>
      <c r="M13" s="32">
        <f>M14</f>
        <v>-1375614</v>
      </c>
      <c r="N13" s="32">
        <f>N14</f>
        <v>113160</v>
      </c>
      <c r="O13" s="32">
        <f>O14</f>
        <v>105071</v>
      </c>
      <c r="P13" s="32">
        <f>P14</f>
        <v>104159</v>
      </c>
      <c r="Q13" s="775"/>
      <c r="R13" s="34"/>
    </row>
    <row r="14" spans="1:17" s="22" customFormat="1" ht="21.75" customHeight="1" thickBot="1">
      <c r="A14" s="35"/>
      <c r="B14" s="35"/>
      <c r="C14" s="36" t="s">
        <v>91</v>
      </c>
      <c r="D14" s="37">
        <f t="shared" si="2"/>
        <v>-999420</v>
      </c>
      <c r="E14" s="37"/>
      <c r="F14" s="37"/>
      <c r="G14" s="37"/>
      <c r="H14" s="37"/>
      <c r="I14" s="37"/>
      <c r="J14" s="37"/>
      <c r="K14" s="37"/>
      <c r="L14" s="37">
        <f>L15+L17+L19</f>
        <v>53804</v>
      </c>
      <c r="M14" s="37">
        <f>M15+M17+M19</f>
        <v>-1375614</v>
      </c>
      <c r="N14" s="37">
        <f>N15+N17+N19</f>
        <v>113160</v>
      </c>
      <c r="O14" s="37">
        <f>O15+O17+O19</f>
        <v>105071</v>
      </c>
      <c r="P14" s="37">
        <f>P15+P17+P19</f>
        <v>104159</v>
      </c>
      <c r="Q14" s="773"/>
    </row>
    <row r="15" spans="1:17" s="22" customFormat="1" ht="21.75" customHeight="1" thickTop="1">
      <c r="A15" s="38">
        <v>758</v>
      </c>
      <c r="B15" s="39"/>
      <c r="C15" s="40" t="s">
        <v>93</v>
      </c>
      <c r="D15" s="41">
        <f t="shared" si="2"/>
        <v>-1475420</v>
      </c>
      <c r="E15" s="41"/>
      <c r="F15" s="41"/>
      <c r="G15" s="41"/>
      <c r="H15" s="41"/>
      <c r="I15" s="41"/>
      <c r="J15" s="41"/>
      <c r="K15" s="41"/>
      <c r="L15" s="41"/>
      <c r="M15" s="41">
        <f>M16</f>
        <v>-1475420</v>
      </c>
      <c r="N15" s="41"/>
      <c r="O15" s="41"/>
      <c r="P15" s="41"/>
      <c r="Q15" s="773"/>
    </row>
    <row r="16" spans="1:17" s="130" customFormat="1" ht="21.75" customHeight="1">
      <c r="A16" s="42"/>
      <c r="B16" s="417">
        <v>75818</v>
      </c>
      <c r="C16" s="129" t="s">
        <v>94</v>
      </c>
      <c r="D16" s="43">
        <f t="shared" si="2"/>
        <v>-1475420</v>
      </c>
      <c r="E16" s="43"/>
      <c r="F16" s="43"/>
      <c r="G16" s="43"/>
      <c r="H16" s="43"/>
      <c r="I16" s="43"/>
      <c r="J16" s="43"/>
      <c r="K16" s="43"/>
      <c r="L16" s="43"/>
      <c r="M16" s="43">
        <f>-9837-193173-16000-237510-423900-120000-420000-50000-5000</f>
        <v>-1475420</v>
      </c>
      <c r="N16" s="43"/>
      <c r="O16" s="43"/>
      <c r="P16" s="43"/>
      <c r="Q16" s="776"/>
    </row>
    <row r="17" spans="1:17" s="22" customFormat="1" ht="21.75" customHeight="1">
      <c r="A17" s="38">
        <v>851</v>
      </c>
      <c r="B17" s="39"/>
      <c r="C17" s="40" t="s">
        <v>100</v>
      </c>
      <c r="D17" s="41">
        <f t="shared" si="2"/>
        <v>6000</v>
      </c>
      <c r="E17" s="41"/>
      <c r="F17" s="41"/>
      <c r="G17" s="41"/>
      <c r="H17" s="41"/>
      <c r="I17" s="41"/>
      <c r="J17" s="41"/>
      <c r="K17" s="41"/>
      <c r="L17" s="41"/>
      <c r="M17" s="41"/>
      <c r="N17" s="41">
        <f>N18</f>
        <v>6000</v>
      </c>
      <c r="O17" s="41"/>
      <c r="P17" s="41"/>
      <c r="Q17" s="773"/>
    </row>
    <row r="18" spans="1:17" s="130" customFormat="1" ht="21.75" customHeight="1">
      <c r="A18" s="42"/>
      <c r="B18" s="417">
        <v>85154</v>
      </c>
      <c r="C18" s="129" t="s">
        <v>123</v>
      </c>
      <c r="D18" s="43">
        <f t="shared" si="2"/>
        <v>6000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6000</v>
      </c>
      <c r="O18" s="43"/>
      <c r="P18" s="43"/>
      <c r="Q18" s="776"/>
    </row>
    <row r="19" spans="1:17" s="22" customFormat="1" ht="21.75" customHeight="1">
      <c r="A19" s="38">
        <v>852</v>
      </c>
      <c r="B19" s="39"/>
      <c r="C19" s="40" t="s">
        <v>98</v>
      </c>
      <c r="D19" s="41">
        <f t="shared" si="2"/>
        <v>470000</v>
      </c>
      <c r="E19" s="41"/>
      <c r="F19" s="41"/>
      <c r="G19" s="41"/>
      <c r="H19" s="41"/>
      <c r="I19" s="41"/>
      <c r="J19" s="41"/>
      <c r="K19" s="41"/>
      <c r="L19" s="41">
        <f>SUM(L20:L21)</f>
        <v>53804</v>
      </c>
      <c r="M19" s="41">
        <f>SUM(M20:M21)</f>
        <v>99806</v>
      </c>
      <c r="N19" s="41">
        <f>SUM(N20:N21)</f>
        <v>107160</v>
      </c>
      <c r="O19" s="41">
        <f>SUM(O20:O21)</f>
        <v>105071</v>
      </c>
      <c r="P19" s="41">
        <f>SUM(P20:P21)</f>
        <v>104159</v>
      </c>
      <c r="Q19" s="773"/>
    </row>
    <row r="20" spans="1:17" s="130" customFormat="1" ht="21.75" customHeight="1">
      <c r="A20" s="216"/>
      <c r="B20" s="217">
        <v>85201</v>
      </c>
      <c r="C20" s="129" t="s">
        <v>342</v>
      </c>
      <c r="D20" s="43">
        <f t="shared" si="2"/>
        <v>420000</v>
      </c>
      <c r="E20" s="43"/>
      <c r="F20" s="43"/>
      <c r="G20" s="43"/>
      <c r="H20" s="43"/>
      <c r="I20" s="43"/>
      <c r="J20" s="43"/>
      <c r="K20" s="43"/>
      <c r="L20" s="43">
        <v>45077</v>
      </c>
      <c r="M20" s="43">
        <v>93730</v>
      </c>
      <c r="N20" s="43">
        <v>93733</v>
      </c>
      <c r="O20" s="43">
        <v>93730</v>
      </c>
      <c r="P20" s="43">
        <v>93730</v>
      </c>
      <c r="Q20" s="776"/>
    </row>
    <row r="21" spans="1:17" s="130" customFormat="1" ht="21.75" customHeight="1">
      <c r="A21" s="42"/>
      <c r="B21" s="217">
        <v>85204</v>
      </c>
      <c r="C21" s="445" t="s">
        <v>0</v>
      </c>
      <c r="D21" s="43">
        <f>SUM(E21:P21)</f>
        <v>50000</v>
      </c>
      <c r="E21" s="43"/>
      <c r="F21" s="43"/>
      <c r="G21" s="43"/>
      <c r="H21" s="43"/>
      <c r="I21" s="43"/>
      <c r="J21" s="43"/>
      <c r="K21" s="43"/>
      <c r="L21" s="43">
        <v>8727</v>
      </c>
      <c r="M21" s="43">
        <v>6076</v>
      </c>
      <c r="N21" s="43">
        <v>13427</v>
      </c>
      <c r="O21" s="43">
        <v>11341</v>
      </c>
      <c r="P21" s="43">
        <v>10429</v>
      </c>
      <c r="Q21" s="776"/>
    </row>
    <row r="22" spans="1:18" s="33" customFormat="1" ht="31.5">
      <c r="A22" s="30"/>
      <c r="B22" s="30"/>
      <c r="C22" s="31" t="s">
        <v>530</v>
      </c>
      <c r="D22" s="32">
        <f t="shared" si="2"/>
        <v>1251</v>
      </c>
      <c r="E22" s="32"/>
      <c r="F22" s="32"/>
      <c r="G22" s="32"/>
      <c r="H22" s="32"/>
      <c r="I22" s="32"/>
      <c r="J22" s="32"/>
      <c r="K22" s="32"/>
      <c r="L22" s="32">
        <f>L23</f>
        <v>1251</v>
      </c>
      <c r="M22" s="32"/>
      <c r="N22" s="32"/>
      <c r="O22" s="32"/>
      <c r="P22" s="32"/>
      <c r="Q22" s="775"/>
      <c r="R22" s="34"/>
    </row>
    <row r="23" spans="1:17" s="22" customFormat="1" ht="45" customHeight="1" thickBot="1">
      <c r="A23" s="35"/>
      <c r="B23" s="35"/>
      <c r="C23" s="36" t="s">
        <v>128</v>
      </c>
      <c r="D23" s="37">
        <f>SUM(E23:P23)</f>
        <v>1251</v>
      </c>
      <c r="E23" s="37"/>
      <c r="F23" s="37"/>
      <c r="G23" s="37"/>
      <c r="H23" s="37"/>
      <c r="I23" s="37"/>
      <c r="J23" s="37"/>
      <c r="K23" s="37"/>
      <c r="L23" s="37">
        <f>L24</f>
        <v>1251</v>
      </c>
      <c r="M23" s="37"/>
      <c r="N23" s="37"/>
      <c r="O23" s="37"/>
      <c r="P23" s="37"/>
      <c r="Q23" s="773"/>
    </row>
    <row r="24" spans="1:17" s="22" customFormat="1" ht="21.75" customHeight="1" thickTop="1">
      <c r="A24" s="38">
        <v>700</v>
      </c>
      <c r="B24" s="39"/>
      <c r="C24" s="40" t="s">
        <v>63</v>
      </c>
      <c r="D24" s="41">
        <f>SUM(E24:P24)</f>
        <v>1251</v>
      </c>
      <c r="E24" s="41"/>
      <c r="F24" s="41"/>
      <c r="G24" s="41"/>
      <c r="H24" s="41"/>
      <c r="I24" s="41"/>
      <c r="J24" s="41"/>
      <c r="K24" s="41"/>
      <c r="L24" s="41">
        <f>L25</f>
        <v>1251</v>
      </c>
      <c r="M24" s="41"/>
      <c r="N24" s="41"/>
      <c r="O24" s="41"/>
      <c r="P24" s="41"/>
      <c r="Q24" s="773"/>
    </row>
    <row r="25" spans="1:17" s="130" customFormat="1" ht="21.75" customHeight="1">
      <c r="A25" s="216"/>
      <c r="B25" s="217">
        <v>70005</v>
      </c>
      <c r="C25" s="129" t="s">
        <v>130</v>
      </c>
      <c r="D25" s="43">
        <f>SUM(E25:P25)</f>
        <v>1251</v>
      </c>
      <c r="E25" s="43"/>
      <c r="F25" s="43"/>
      <c r="G25" s="43"/>
      <c r="H25" s="43"/>
      <c r="I25" s="43"/>
      <c r="J25" s="43"/>
      <c r="K25" s="43"/>
      <c r="L25" s="43">
        <v>1251</v>
      </c>
      <c r="M25" s="43"/>
      <c r="N25" s="43"/>
      <c r="O25" s="43"/>
      <c r="P25" s="43"/>
      <c r="Q25" s="776"/>
    </row>
    <row r="26" spans="1:18" s="33" customFormat="1" ht="21.75" customHeight="1">
      <c r="A26" s="30"/>
      <c r="B26" s="30"/>
      <c r="C26" s="31" t="s">
        <v>531</v>
      </c>
      <c r="D26" s="32">
        <f t="shared" si="2"/>
        <v>-688775</v>
      </c>
      <c r="E26" s="32"/>
      <c r="F26" s="32">
        <f>F27</f>
        <v>-10500</v>
      </c>
      <c r="G26" s="32"/>
      <c r="H26" s="32"/>
      <c r="I26" s="32"/>
      <c r="J26" s="32"/>
      <c r="K26" s="32">
        <f>K27</f>
        <v>-50000</v>
      </c>
      <c r="L26" s="32">
        <f>L27</f>
        <v>-3000</v>
      </c>
      <c r="M26" s="32">
        <f>M27</f>
        <v>-120794</v>
      </c>
      <c r="N26" s="32"/>
      <c r="O26" s="32">
        <f>O27</f>
        <v>-504481</v>
      </c>
      <c r="P26" s="32"/>
      <c r="Q26" s="775"/>
      <c r="R26" s="34"/>
    </row>
    <row r="27" spans="1:17" s="130" customFormat="1" ht="21.75" customHeight="1" thickBot="1">
      <c r="A27" s="44"/>
      <c r="B27" s="44"/>
      <c r="C27" s="134" t="s">
        <v>91</v>
      </c>
      <c r="D27" s="135">
        <f>SUM(E27:P27)</f>
        <v>-688775</v>
      </c>
      <c r="E27" s="135"/>
      <c r="F27" s="135">
        <f>F28+F31</f>
        <v>-10500</v>
      </c>
      <c r="G27" s="135"/>
      <c r="H27" s="135"/>
      <c r="I27" s="135"/>
      <c r="J27" s="135"/>
      <c r="K27" s="135">
        <f>K28+K31</f>
        <v>-50000</v>
      </c>
      <c r="L27" s="135">
        <f>L28+L31</f>
        <v>-3000</v>
      </c>
      <c r="M27" s="135">
        <f>M28</f>
        <v>-120794</v>
      </c>
      <c r="N27" s="135"/>
      <c r="O27" s="135">
        <f>O28</f>
        <v>-504481</v>
      </c>
      <c r="P27" s="135"/>
      <c r="Q27" s="776"/>
    </row>
    <row r="28" spans="1:17" s="22" customFormat="1" ht="21.75" customHeight="1" thickTop="1">
      <c r="A28" s="38">
        <v>801</v>
      </c>
      <c r="B28" s="39"/>
      <c r="C28" s="40" t="s">
        <v>97</v>
      </c>
      <c r="D28" s="41">
        <f t="shared" si="2"/>
        <v>-675275</v>
      </c>
      <c r="E28" s="41"/>
      <c r="F28" s="41"/>
      <c r="G28" s="41"/>
      <c r="H28" s="41"/>
      <c r="I28" s="41"/>
      <c r="J28" s="41"/>
      <c r="K28" s="41">
        <f>K29</f>
        <v>-50000</v>
      </c>
      <c r="L28" s="41"/>
      <c r="M28" s="41">
        <f>M29</f>
        <v>-120794</v>
      </c>
      <c r="N28" s="41"/>
      <c r="O28" s="41">
        <f>O30</f>
        <v>-504481</v>
      </c>
      <c r="P28" s="41"/>
      <c r="Q28" s="773"/>
    </row>
    <row r="29" spans="1:17" s="130" customFormat="1" ht="21.75" customHeight="1">
      <c r="A29" s="216"/>
      <c r="B29" s="217">
        <v>80110</v>
      </c>
      <c r="C29" s="129" t="s">
        <v>255</v>
      </c>
      <c r="D29" s="43">
        <f t="shared" si="2"/>
        <v>-170794</v>
      </c>
      <c r="E29" s="43"/>
      <c r="F29" s="43"/>
      <c r="G29" s="43"/>
      <c r="H29" s="43"/>
      <c r="I29" s="43"/>
      <c r="J29" s="43"/>
      <c r="K29" s="43">
        <f>-20700-29300</f>
        <v>-50000</v>
      </c>
      <c r="L29" s="43"/>
      <c r="M29" s="43">
        <f>-54575-66219</f>
        <v>-120794</v>
      </c>
      <c r="N29" s="43"/>
      <c r="O29" s="43"/>
      <c r="P29" s="43"/>
      <c r="Q29" s="776"/>
    </row>
    <row r="30" spans="1:17" s="130" customFormat="1" ht="21.75" customHeight="1">
      <c r="A30" s="44"/>
      <c r="B30" s="217">
        <v>80130</v>
      </c>
      <c r="C30" s="129" t="s">
        <v>144</v>
      </c>
      <c r="D30" s="43">
        <f>SUM(E30:P30)</f>
        <v>-504481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-504481</v>
      </c>
      <c r="P30" s="43"/>
      <c r="Q30" s="776"/>
    </row>
    <row r="31" spans="1:17" s="22" customFormat="1" ht="21.75" customHeight="1">
      <c r="A31" s="38">
        <v>854</v>
      </c>
      <c r="B31" s="39"/>
      <c r="C31" s="40" t="s">
        <v>99</v>
      </c>
      <c r="D31" s="41">
        <f t="shared" si="2"/>
        <v>-13500</v>
      </c>
      <c r="E31" s="41"/>
      <c r="F31" s="41">
        <f>SUM(F32:F33)</f>
        <v>-10500</v>
      </c>
      <c r="G31" s="41"/>
      <c r="H31" s="41"/>
      <c r="I31" s="41"/>
      <c r="J31" s="41"/>
      <c r="K31" s="41"/>
      <c r="L31" s="41">
        <f>SUM(L32:L33)</f>
        <v>-3000</v>
      </c>
      <c r="M31" s="41"/>
      <c r="N31" s="41"/>
      <c r="O31" s="41"/>
      <c r="P31" s="41"/>
      <c r="Q31" s="773"/>
    </row>
    <row r="32" spans="1:17" s="130" customFormat="1" ht="21.75" customHeight="1">
      <c r="A32" s="216"/>
      <c r="B32" s="217">
        <v>85410</v>
      </c>
      <c r="C32" s="129" t="s">
        <v>279</v>
      </c>
      <c r="D32" s="43">
        <f t="shared" si="2"/>
        <v>-3000</v>
      </c>
      <c r="E32" s="43"/>
      <c r="F32" s="43"/>
      <c r="G32" s="43"/>
      <c r="H32" s="43"/>
      <c r="I32" s="43"/>
      <c r="J32" s="43"/>
      <c r="K32" s="43"/>
      <c r="L32" s="43">
        <v>-3000</v>
      </c>
      <c r="M32" s="43"/>
      <c r="N32" s="43"/>
      <c r="O32" s="43"/>
      <c r="P32" s="43"/>
      <c r="Q32" s="776"/>
    </row>
    <row r="33" spans="1:17" s="130" customFormat="1" ht="21.75" customHeight="1">
      <c r="A33" s="42"/>
      <c r="B33" s="217">
        <v>85421</v>
      </c>
      <c r="C33" s="445" t="s">
        <v>338</v>
      </c>
      <c r="D33" s="43">
        <f>SUM(E33:P33)</f>
        <v>-10500</v>
      </c>
      <c r="E33" s="43"/>
      <c r="F33" s="43">
        <v>-10500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776"/>
    </row>
    <row r="34" spans="1:17" s="133" customFormat="1" ht="21.75" customHeight="1">
      <c r="A34" s="42"/>
      <c r="B34" s="42"/>
      <c r="C34" s="131" t="s">
        <v>532</v>
      </c>
      <c r="D34" s="132">
        <f t="shared" si="2"/>
        <v>-223241</v>
      </c>
      <c r="E34" s="132"/>
      <c r="F34" s="132"/>
      <c r="G34" s="132"/>
      <c r="H34" s="132"/>
      <c r="I34" s="132"/>
      <c r="J34" s="132"/>
      <c r="K34" s="132">
        <f aca="true" t="shared" si="3" ref="K34:P34">K35+K61</f>
        <v>-524371</v>
      </c>
      <c r="L34" s="132">
        <f t="shared" si="3"/>
        <v>-37809</v>
      </c>
      <c r="M34" s="132">
        <f t="shared" si="3"/>
        <v>542432</v>
      </c>
      <c r="N34" s="132">
        <f t="shared" si="3"/>
        <v>-95877</v>
      </c>
      <c r="O34" s="132">
        <f t="shared" si="3"/>
        <v>-57616</v>
      </c>
      <c r="P34" s="132">
        <f t="shared" si="3"/>
        <v>-50000</v>
      </c>
      <c r="Q34" s="777"/>
    </row>
    <row r="35" spans="1:17" s="130" customFormat="1" ht="21.75" customHeight="1" thickBot="1">
      <c r="A35" s="44"/>
      <c r="B35" s="44"/>
      <c r="C35" s="134" t="s">
        <v>91</v>
      </c>
      <c r="D35" s="135">
        <f t="shared" si="2"/>
        <v>-223241</v>
      </c>
      <c r="E35" s="135"/>
      <c r="F35" s="135"/>
      <c r="G35" s="135"/>
      <c r="H35" s="135"/>
      <c r="I35" s="135"/>
      <c r="J35" s="135"/>
      <c r="K35" s="135">
        <f aca="true" t="shared" si="4" ref="K35:P35">K36+K52+K54</f>
        <v>-470958</v>
      </c>
      <c r="L35" s="135">
        <f t="shared" si="4"/>
        <v>-90388</v>
      </c>
      <c r="M35" s="135">
        <f t="shared" si="4"/>
        <v>541598</v>
      </c>
      <c r="N35" s="135">
        <f t="shared" si="4"/>
        <v>-95877</v>
      </c>
      <c r="O35" s="135">
        <f t="shared" si="4"/>
        <v>-57616</v>
      </c>
      <c r="P35" s="135">
        <f t="shared" si="4"/>
        <v>-50000</v>
      </c>
      <c r="Q35" s="776"/>
    </row>
    <row r="36" spans="1:17" s="22" customFormat="1" ht="21.75" customHeight="1" thickTop="1">
      <c r="A36" s="38">
        <v>801</v>
      </c>
      <c r="B36" s="39"/>
      <c r="C36" s="40" t="s">
        <v>97</v>
      </c>
      <c r="D36" s="41">
        <f t="shared" si="2"/>
        <v>-211117</v>
      </c>
      <c r="E36" s="41"/>
      <c r="F36" s="41"/>
      <c r="G36" s="41"/>
      <c r="H36" s="41"/>
      <c r="I36" s="41"/>
      <c r="J36" s="41"/>
      <c r="K36" s="41">
        <f aca="true" t="shared" si="5" ref="K36:P36">SUM(K37:K51)</f>
        <v>-147913</v>
      </c>
      <c r="L36" s="41">
        <f t="shared" si="5"/>
        <v>-219167</v>
      </c>
      <c r="M36" s="41">
        <f t="shared" si="5"/>
        <v>359456</v>
      </c>
      <c r="N36" s="41">
        <f t="shared" si="5"/>
        <v>-95877</v>
      </c>
      <c r="O36" s="41">
        <f t="shared" si="5"/>
        <v>-57616</v>
      </c>
      <c r="P36" s="41">
        <f t="shared" si="5"/>
        <v>-50000</v>
      </c>
      <c r="Q36" s="773"/>
    </row>
    <row r="37" spans="1:17" s="130" customFormat="1" ht="21.75" customHeight="1">
      <c r="A37" s="216"/>
      <c r="B37" s="217">
        <v>80101</v>
      </c>
      <c r="C37" s="129" t="s">
        <v>254</v>
      </c>
      <c r="D37" s="43">
        <f t="shared" si="2"/>
        <v>-93030</v>
      </c>
      <c r="E37" s="43"/>
      <c r="F37" s="43"/>
      <c r="G37" s="43"/>
      <c r="H37" s="43"/>
      <c r="I37" s="43"/>
      <c r="J37" s="43"/>
      <c r="K37" s="43"/>
      <c r="L37" s="43">
        <v>-129111</v>
      </c>
      <c r="M37" s="43">
        <v>36081</v>
      </c>
      <c r="N37" s="43"/>
      <c r="O37" s="43"/>
      <c r="P37" s="43"/>
      <c r="Q37" s="776"/>
    </row>
    <row r="38" spans="1:17" s="130" customFormat="1" ht="33.75" customHeight="1">
      <c r="A38" s="42"/>
      <c r="B38" s="217">
        <v>80103</v>
      </c>
      <c r="C38" s="129" t="s">
        <v>323</v>
      </c>
      <c r="D38" s="43">
        <f t="shared" si="2"/>
        <v>-13260</v>
      </c>
      <c r="E38" s="43"/>
      <c r="F38" s="43"/>
      <c r="G38" s="43"/>
      <c r="H38" s="43"/>
      <c r="I38" s="43"/>
      <c r="J38" s="43"/>
      <c r="K38" s="43"/>
      <c r="L38" s="43">
        <v>-22080</v>
      </c>
      <c r="M38" s="43">
        <v>8820</v>
      </c>
      <c r="N38" s="43"/>
      <c r="O38" s="43"/>
      <c r="P38" s="43"/>
      <c r="Q38" s="776"/>
    </row>
    <row r="39" spans="1:17" s="130" customFormat="1" ht="21.75" customHeight="1">
      <c r="A39" s="42"/>
      <c r="B39" s="217">
        <v>80104</v>
      </c>
      <c r="C39" s="129" t="s">
        <v>252</v>
      </c>
      <c r="D39" s="43">
        <f t="shared" si="2"/>
        <v>-64274</v>
      </c>
      <c r="E39" s="43"/>
      <c r="F39" s="43"/>
      <c r="G39" s="43"/>
      <c r="H39" s="43"/>
      <c r="I39" s="43"/>
      <c r="J39" s="43"/>
      <c r="K39" s="43">
        <f>-1666-64274</f>
        <v>-65940</v>
      </c>
      <c r="L39" s="43">
        <f>1666-10012</f>
        <v>-8346</v>
      </c>
      <c r="M39" s="43">
        <v>160012</v>
      </c>
      <c r="N39" s="43">
        <v>-50000</v>
      </c>
      <c r="O39" s="43">
        <v>-50000</v>
      </c>
      <c r="P39" s="43">
        <v>-50000</v>
      </c>
      <c r="Q39" s="776"/>
    </row>
    <row r="40" spans="1:17" s="130" customFormat="1" ht="21.75" customHeight="1">
      <c r="A40" s="42"/>
      <c r="B40" s="217">
        <v>80110</v>
      </c>
      <c r="C40" s="129" t="s">
        <v>255</v>
      </c>
      <c r="D40" s="43">
        <f t="shared" si="2"/>
        <v>0</v>
      </c>
      <c r="E40" s="43"/>
      <c r="F40" s="43"/>
      <c r="G40" s="43"/>
      <c r="H40" s="43"/>
      <c r="I40" s="43"/>
      <c r="J40" s="43"/>
      <c r="K40" s="43"/>
      <c r="L40" s="43">
        <v>45877</v>
      </c>
      <c r="M40" s="43"/>
      <c r="N40" s="43">
        <v>-45877</v>
      </c>
      <c r="O40" s="43"/>
      <c r="P40" s="43"/>
      <c r="Q40" s="776"/>
    </row>
    <row r="41" spans="1:17" s="130" customFormat="1" ht="21.75" customHeight="1">
      <c r="A41" s="42"/>
      <c r="B41" s="217">
        <v>80111</v>
      </c>
      <c r="C41" s="129" t="s">
        <v>326</v>
      </c>
      <c r="D41" s="43">
        <f t="shared" si="2"/>
        <v>0</v>
      </c>
      <c r="E41" s="43"/>
      <c r="F41" s="43"/>
      <c r="G41" s="43"/>
      <c r="H41" s="43"/>
      <c r="I41" s="43"/>
      <c r="J41" s="43"/>
      <c r="K41" s="43"/>
      <c r="L41" s="43">
        <v>-34000</v>
      </c>
      <c r="M41" s="43">
        <v>34000</v>
      </c>
      <c r="N41" s="43"/>
      <c r="O41" s="43"/>
      <c r="P41" s="43"/>
      <c r="Q41" s="776"/>
    </row>
    <row r="42" spans="1:17" s="130" customFormat="1" ht="21.75" customHeight="1">
      <c r="A42" s="44"/>
      <c r="B42" s="217">
        <v>80113</v>
      </c>
      <c r="C42" s="129" t="s">
        <v>327</v>
      </c>
      <c r="D42" s="43">
        <f t="shared" si="2"/>
        <v>0</v>
      </c>
      <c r="E42" s="43"/>
      <c r="F42" s="43"/>
      <c r="G42" s="43"/>
      <c r="H42" s="43"/>
      <c r="I42" s="43"/>
      <c r="J42" s="43"/>
      <c r="K42" s="43"/>
      <c r="L42" s="43">
        <v>-8000</v>
      </c>
      <c r="M42" s="43">
        <v>8000</v>
      </c>
      <c r="N42" s="43"/>
      <c r="O42" s="43"/>
      <c r="P42" s="43"/>
      <c r="Q42" s="776"/>
    </row>
    <row r="43" spans="1:17" s="130" customFormat="1" ht="21.75" customHeight="1">
      <c r="A43" s="42"/>
      <c r="B43" s="44">
        <v>80120</v>
      </c>
      <c r="C43" s="430" t="s">
        <v>256</v>
      </c>
      <c r="D43" s="431">
        <f t="shared" si="2"/>
        <v>0</v>
      </c>
      <c r="E43" s="431"/>
      <c r="F43" s="431"/>
      <c r="G43" s="431"/>
      <c r="H43" s="431"/>
      <c r="I43" s="431"/>
      <c r="J43" s="431"/>
      <c r="K43" s="431"/>
      <c r="L43" s="431">
        <v>-1020</v>
      </c>
      <c r="M43" s="431">
        <v>1020</v>
      </c>
      <c r="N43" s="431"/>
      <c r="O43" s="431"/>
      <c r="P43" s="431"/>
      <c r="Q43" s="776"/>
    </row>
    <row r="44" spans="1:17" s="130" customFormat="1" ht="21.75" customHeight="1">
      <c r="A44" s="42"/>
      <c r="B44" s="217">
        <v>80121</v>
      </c>
      <c r="C44" s="129" t="s">
        <v>328</v>
      </c>
      <c r="D44" s="43">
        <f t="shared" si="2"/>
        <v>0</v>
      </c>
      <c r="E44" s="43"/>
      <c r="F44" s="43"/>
      <c r="G44" s="43"/>
      <c r="H44" s="43"/>
      <c r="I44" s="43"/>
      <c r="J44" s="43"/>
      <c r="K44" s="43"/>
      <c r="L44" s="43">
        <v>-3000</v>
      </c>
      <c r="M44" s="43">
        <v>3000</v>
      </c>
      <c r="N44" s="43"/>
      <c r="O44" s="43"/>
      <c r="P44" s="43"/>
      <c r="Q44" s="776"/>
    </row>
    <row r="45" spans="1:17" s="130" customFormat="1" ht="21.75" customHeight="1">
      <c r="A45" s="42"/>
      <c r="B45" s="217">
        <v>80123</v>
      </c>
      <c r="C45" s="129" t="s">
        <v>329</v>
      </c>
      <c r="D45" s="43">
        <f t="shared" si="2"/>
        <v>0</v>
      </c>
      <c r="E45" s="43"/>
      <c r="F45" s="43"/>
      <c r="G45" s="43"/>
      <c r="H45" s="43"/>
      <c r="I45" s="43"/>
      <c r="J45" s="43"/>
      <c r="K45" s="43"/>
      <c r="L45" s="43">
        <v>5616</v>
      </c>
      <c r="M45" s="43"/>
      <c r="N45" s="43"/>
      <c r="O45" s="43">
        <v>-5616</v>
      </c>
      <c r="P45" s="43"/>
      <c r="Q45" s="776"/>
    </row>
    <row r="46" spans="1:17" s="130" customFormat="1" ht="21.75" customHeight="1">
      <c r="A46" s="42"/>
      <c r="B46" s="217">
        <v>80130</v>
      </c>
      <c r="C46" s="129" t="s">
        <v>144</v>
      </c>
      <c r="D46" s="43">
        <f t="shared" si="2"/>
        <v>-60500</v>
      </c>
      <c r="E46" s="43"/>
      <c r="F46" s="43"/>
      <c r="G46" s="43"/>
      <c r="H46" s="43"/>
      <c r="I46" s="43"/>
      <c r="J46" s="43"/>
      <c r="K46" s="43"/>
      <c r="L46" s="43">
        <v>-63073</v>
      </c>
      <c r="M46" s="43">
        <v>2573</v>
      </c>
      <c r="N46" s="43"/>
      <c r="O46" s="43"/>
      <c r="P46" s="43"/>
      <c r="Q46" s="776"/>
    </row>
    <row r="47" spans="1:17" s="130" customFormat="1" ht="21.75" customHeight="1">
      <c r="A47" s="42"/>
      <c r="B47" s="217">
        <v>80132</v>
      </c>
      <c r="C47" s="129" t="s">
        <v>331</v>
      </c>
      <c r="D47" s="43">
        <f t="shared" si="2"/>
        <v>0</v>
      </c>
      <c r="E47" s="43"/>
      <c r="F47" s="43"/>
      <c r="G47" s="43"/>
      <c r="H47" s="43"/>
      <c r="I47" s="43"/>
      <c r="J47" s="43"/>
      <c r="K47" s="43"/>
      <c r="L47" s="43">
        <v>-52000</v>
      </c>
      <c r="M47" s="43">
        <v>52000</v>
      </c>
      <c r="N47" s="43"/>
      <c r="O47" s="43"/>
      <c r="P47" s="43"/>
      <c r="Q47" s="776"/>
    </row>
    <row r="48" spans="1:17" s="130" customFormat="1" ht="21.75" customHeight="1">
      <c r="A48" s="42"/>
      <c r="B48" s="217">
        <v>80134</v>
      </c>
      <c r="C48" s="129" t="s">
        <v>332</v>
      </c>
      <c r="D48" s="43">
        <f t="shared" si="2"/>
        <v>0</v>
      </c>
      <c r="E48" s="43"/>
      <c r="F48" s="43"/>
      <c r="G48" s="43"/>
      <c r="H48" s="43"/>
      <c r="I48" s="43"/>
      <c r="J48" s="43"/>
      <c r="K48" s="43"/>
      <c r="L48" s="43">
        <v>-24000</v>
      </c>
      <c r="M48" s="43">
        <v>24000</v>
      </c>
      <c r="N48" s="43"/>
      <c r="O48" s="43"/>
      <c r="P48" s="43"/>
      <c r="Q48" s="776"/>
    </row>
    <row r="49" spans="1:17" s="130" customFormat="1" ht="21.75" customHeight="1">
      <c r="A49" s="42"/>
      <c r="B49" s="217">
        <v>80146</v>
      </c>
      <c r="C49" s="129" t="s">
        <v>258</v>
      </c>
      <c r="D49" s="43">
        <f t="shared" si="2"/>
        <v>0</v>
      </c>
      <c r="E49" s="43"/>
      <c r="F49" s="43"/>
      <c r="G49" s="43"/>
      <c r="H49" s="43"/>
      <c r="I49" s="43"/>
      <c r="J49" s="43"/>
      <c r="K49" s="43"/>
      <c r="L49" s="43">
        <v>-15703</v>
      </c>
      <c r="M49" s="43">
        <v>15703</v>
      </c>
      <c r="N49" s="43"/>
      <c r="O49" s="43"/>
      <c r="P49" s="43"/>
      <c r="Q49" s="776"/>
    </row>
    <row r="50" spans="1:17" s="130" customFormat="1" ht="21.75" customHeight="1">
      <c r="A50" s="42"/>
      <c r="B50" s="217">
        <v>80195</v>
      </c>
      <c r="C50" s="129" t="s">
        <v>96</v>
      </c>
      <c r="D50" s="43">
        <f t="shared" si="2"/>
        <v>19947</v>
      </c>
      <c r="E50" s="43"/>
      <c r="F50" s="43"/>
      <c r="G50" s="43"/>
      <c r="H50" s="43"/>
      <c r="I50" s="43"/>
      <c r="J50" s="43"/>
      <c r="K50" s="43">
        <v>-81973</v>
      </c>
      <c r="L50" s="43">
        <v>81973</v>
      </c>
      <c r="M50" s="43">
        <v>19947</v>
      </c>
      <c r="N50" s="43"/>
      <c r="O50" s="43"/>
      <c r="P50" s="43"/>
      <c r="Q50" s="776"/>
    </row>
    <row r="51" spans="1:17" s="130" customFormat="1" ht="21.75" customHeight="1">
      <c r="A51" s="42"/>
      <c r="B51" s="44">
        <v>80197</v>
      </c>
      <c r="C51" s="430" t="s">
        <v>55</v>
      </c>
      <c r="D51" s="43">
        <f t="shared" si="2"/>
        <v>0</v>
      </c>
      <c r="E51" s="431"/>
      <c r="F51" s="431"/>
      <c r="G51" s="431"/>
      <c r="H51" s="431"/>
      <c r="I51" s="431"/>
      <c r="J51" s="431"/>
      <c r="K51" s="431"/>
      <c r="L51" s="431">
        <v>7700</v>
      </c>
      <c r="M51" s="431">
        <v>-5700</v>
      </c>
      <c r="N51" s="431"/>
      <c r="O51" s="431">
        <v>-2000</v>
      </c>
      <c r="P51" s="431"/>
      <c r="Q51" s="776"/>
    </row>
    <row r="52" spans="1:17" s="22" customFormat="1" ht="21.75" customHeight="1">
      <c r="A52" s="38">
        <v>851</v>
      </c>
      <c r="B52" s="39"/>
      <c r="C52" s="40" t="s">
        <v>100</v>
      </c>
      <c r="D52" s="41">
        <f t="shared" si="2"/>
        <v>0</v>
      </c>
      <c r="E52" s="41"/>
      <c r="F52" s="41"/>
      <c r="G52" s="41"/>
      <c r="H52" s="41"/>
      <c r="I52" s="41"/>
      <c r="J52" s="41"/>
      <c r="K52" s="41">
        <f>K53</f>
        <v>-50000</v>
      </c>
      <c r="L52" s="41">
        <f>L53</f>
        <v>50000</v>
      </c>
      <c r="M52" s="41"/>
      <c r="N52" s="41"/>
      <c r="O52" s="41"/>
      <c r="P52" s="41"/>
      <c r="Q52" s="773"/>
    </row>
    <row r="53" spans="1:17" s="130" customFormat="1" ht="21.75" customHeight="1">
      <c r="A53" s="216"/>
      <c r="B53" s="217">
        <v>85154</v>
      </c>
      <c r="C53" s="129" t="s">
        <v>123</v>
      </c>
      <c r="D53" s="43">
        <f t="shared" si="2"/>
        <v>0</v>
      </c>
      <c r="E53" s="43"/>
      <c r="F53" s="43"/>
      <c r="G53" s="43"/>
      <c r="H53" s="43"/>
      <c r="I53" s="43"/>
      <c r="J53" s="43"/>
      <c r="K53" s="43">
        <v>-50000</v>
      </c>
      <c r="L53" s="43">
        <v>50000</v>
      </c>
      <c r="M53" s="43"/>
      <c r="N53" s="43"/>
      <c r="O53" s="43"/>
      <c r="P53" s="43"/>
      <c r="Q53" s="776"/>
    </row>
    <row r="54" spans="1:17" s="22" customFormat="1" ht="21.75" customHeight="1">
      <c r="A54" s="38">
        <v>854</v>
      </c>
      <c r="B54" s="39"/>
      <c r="C54" s="40" t="s">
        <v>99</v>
      </c>
      <c r="D54" s="41">
        <f t="shared" si="2"/>
        <v>-12124</v>
      </c>
      <c r="E54" s="41"/>
      <c r="F54" s="41"/>
      <c r="G54" s="41"/>
      <c r="H54" s="41"/>
      <c r="I54" s="41"/>
      <c r="J54" s="41"/>
      <c r="K54" s="41">
        <f>SUM(K55:K60)</f>
        <v>-273045</v>
      </c>
      <c r="L54" s="41">
        <f>SUM(L55:L60)</f>
        <v>78779</v>
      </c>
      <c r="M54" s="41">
        <f>SUM(M55:M60)</f>
        <v>182142</v>
      </c>
      <c r="N54" s="41"/>
      <c r="O54" s="41"/>
      <c r="P54" s="41"/>
      <c r="Q54" s="773"/>
    </row>
    <row r="55" spans="1:17" s="130" customFormat="1" ht="21.75" customHeight="1">
      <c r="A55" s="216"/>
      <c r="B55" s="217">
        <v>85401</v>
      </c>
      <c r="C55" s="129" t="s">
        <v>334</v>
      </c>
      <c r="D55" s="43">
        <f t="shared" si="2"/>
        <v>-1400</v>
      </c>
      <c r="E55" s="43"/>
      <c r="F55" s="43"/>
      <c r="G55" s="43"/>
      <c r="H55" s="43"/>
      <c r="I55" s="43"/>
      <c r="J55" s="43"/>
      <c r="K55" s="43"/>
      <c r="L55" s="43">
        <v>-115000</v>
      </c>
      <c r="M55" s="43">
        <v>113600</v>
      </c>
      <c r="N55" s="43"/>
      <c r="O55" s="43"/>
      <c r="P55" s="43"/>
      <c r="Q55" s="776"/>
    </row>
    <row r="56" spans="1:17" s="130" customFormat="1" ht="30.75" customHeight="1">
      <c r="A56" s="42"/>
      <c r="B56" s="217">
        <v>85406</v>
      </c>
      <c r="C56" s="129" t="s">
        <v>336</v>
      </c>
      <c r="D56" s="43">
        <f t="shared" si="2"/>
        <v>0</v>
      </c>
      <c r="E56" s="43"/>
      <c r="F56" s="43"/>
      <c r="G56" s="43"/>
      <c r="H56" s="43"/>
      <c r="I56" s="43"/>
      <c r="J56" s="43"/>
      <c r="K56" s="43"/>
      <c r="L56" s="43">
        <v>-27542</v>
      </c>
      <c r="M56" s="43">
        <v>27542</v>
      </c>
      <c r="N56" s="43"/>
      <c r="O56" s="43"/>
      <c r="P56" s="43"/>
      <c r="Q56" s="776"/>
    </row>
    <row r="57" spans="1:17" s="130" customFormat="1" ht="21.75" customHeight="1">
      <c r="A57" s="42"/>
      <c r="B57" s="44">
        <v>85407</v>
      </c>
      <c r="C57" s="430" t="s">
        <v>257</v>
      </c>
      <c r="D57" s="431">
        <f t="shared" si="2"/>
        <v>0</v>
      </c>
      <c r="E57" s="431"/>
      <c r="F57" s="431"/>
      <c r="G57" s="431"/>
      <c r="H57" s="431"/>
      <c r="I57" s="431"/>
      <c r="J57" s="431"/>
      <c r="K57" s="431"/>
      <c r="L57" s="431">
        <v>-41000</v>
      </c>
      <c r="M57" s="431">
        <v>41000</v>
      </c>
      <c r="N57" s="431"/>
      <c r="O57" s="431"/>
      <c r="P57" s="431"/>
      <c r="Q57" s="776"/>
    </row>
    <row r="58" spans="1:17" s="130" customFormat="1" ht="21.75" customHeight="1">
      <c r="A58" s="42"/>
      <c r="B58" s="217">
        <v>85410</v>
      </c>
      <c r="C58" s="129" t="s">
        <v>279</v>
      </c>
      <c r="D58" s="43">
        <f t="shared" si="2"/>
        <v>-4000</v>
      </c>
      <c r="E58" s="43"/>
      <c r="F58" s="43"/>
      <c r="G58" s="43"/>
      <c r="H58" s="43"/>
      <c r="I58" s="43"/>
      <c r="J58" s="43"/>
      <c r="K58" s="43"/>
      <c r="L58" s="43">
        <v>-4000</v>
      </c>
      <c r="M58" s="43"/>
      <c r="N58" s="43"/>
      <c r="O58" s="43"/>
      <c r="P58" s="43"/>
      <c r="Q58" s="776"/>
    </row>
    <row r="59" spans="1:17" s="130" customFormat="1" ht="21.75" customHeight="1">
      <c r="A59" s="42"/>
      <c r="B59" s="217">
        <v>85415</v>
      </c>
      <c r="C59" s="129" t="s">
        <v>253</v>
      </c>
      <c r="D59" s="43">
        <f t="shared" si="2"/>
        <v>-224</v>
      </c>
      <c r="E59" s="43"/>
      <c r="F59" s="43"/>
      <c r="G59" s="43"/>
      <c r="H59" s="43"/>
      <c r="I59" s="43"/>
      <c r="J59" s="43"/>
      <c r="K59" s="43">
        <f>-180145</f>
        <v>-180145</v>
      </c>
      <c r="L59" s="43">
        <f>180145-224</f>
        <v>179921</v>
      </c>
      <c r="M59" s="43"/>
      <c r="N59" s="43"/>
      <c r="O59" s="43"/>
      <c r="P59" s="43"/>
      <c r="Q59" s="776"/>
    </row>
    <row r="60" spans="1:17" s="130" customFormat="1" ht="21.75" customHeight="1">
      <c r="A60" s="42"/>
      <c r="B60" s="217">
        <v>85495</v>
      </c>
      <c r="C60" s="129" t="s">
        <v>96</v>
      </c>
      <c r="D60" s="43">
        <f t="shared" si="2"/>
        <v>-6500</v>
      </c>
      <c r="E60" s="43"/>
      <c r="F60" s="43"/>
      <c r="G60" s="43"/>
      <c r="H60" s="43"/>
      <c r="I60" s="43"/>
      <c r="J60" s="43"/>
      <c r="K60" s="43">
        <v>-92900</v>
      </c>
      <c r="L60" s="43">
        <v>86400</v>
      </c>
      <c r="M60" s="43"/>
      <c r="N60" s="43"/>
      <c r="O60" s="43"/>
      <c r="P60" s="43"/>
      <c r="Q60" s="776"/>
    </row>
    <row r="61" spans="1:17" s="130" customFormat="1" ht="33" customHeight="1" thickBot="1">
      <c r="A61" s="44"/>
      <c r="B61" s="44"/>
      <c r="C61" s="134" t="s">
        <v>340</v>
      </c>
      <c r="D61" s="135">
        <f t="shared" si="2"/>
        <v>0</v>
      </c>
      <c r="E61" s="135"/>
      <c r="F61" s="135"/>
      <c r="G61" s="135"/>
      <c r="H61" s="135"/>
      <c r="I61" s="135"/>
      <c r="J61" s="135"/>
      <c r="K61" s="135">
        <f>K62+K64</f>
        <v>-53413</v>
      </c>
      <c r="L61" s="135">
        <f>L62+L64</f>
        <v>52579</v>
      </c>
      <c r="M61" s="135">
        <f>M62+M64</f>
        <v>834</v>
      </c>
      <c r="N61" s="135"/>
      <c r="O61" s="135"/>
      <c r="P61" s="135"/>
      <c r="Q61" s="776"/>
    </row>
    <row r="62" spans="1:17" s="22" customFormat="1" ht="21.75" customHeight="1" thickTop="1">
      <c r="A62" s="38">
        <v>801</v>
      </c>
      <c r="B62" s="39"/>
      <c r="C62" s="40" t="s">
        <v>97</v>
      </c>
      <c r="D62" s="41">
        <f t="shared" si="2"/>
        <v>0</v>
      </c>
      <c r="E62" s="41"/>
      <c r="F62" s="41"/>
      <c r="G62" s="41"/>
      <c r="H62" s="41"/>
      <c r="I62" s="41"/>
      <c r="J62" s="41"/>
      <c r="K62" s="41"/>
      <c r="L62" s="41">
        <f>L63</f>
        <v>-834</v>
      </c>
      <c r="M62" s="41">
        <f>M63</f>
        <v>834</v>
      </c>
      <c r="N62" s="41"/>
      <c r="O62" s="41"/>
      <c r="P62" s="41"/>
      <c r="Q62" s="773"/>
    </row>
    <row r="63" spans="1:17" s="130" customFormat="1" ht="21.75" customHeight="1">
      <c r="A63" s="216"/>
      <c r="B63" s="217">
        <v>80104</v>
      </c>
      <c r="C63" s="129" t="s">
        <v>252</v>
      </c>
      <c r="D63" s="43">
        <f t="shared" si="2"/>
        <v>0</v>
      </c>
      <c r="E63" s="43"/>
      <c r="F63" s="43"/>
      <c r="G63" s="43"/>
      <c r="H63" s="43"/>
      <c r="I63" s="43"/>
      <c r="J63" s="43"/>
      <c r="K63" s="43"/>
      <c r="L63" s="43">
        <v>-834</v>
      </c>
      <c r="M63" s="43">
        <v>834</v>
      </c>
      <c r="N63" s="43"/>
      <c r="O63" s="43"/>
      <c r="P63" s="43"/>
      <c r="Q63" s="776"/>
    </row>
    <row r="64" spans="1:17" s="22" customFormat="1" ht="21.75" customHeight="1">
      <c r="A64" s="38">
        <v>854</v>
      </c>
      <c r="B64" s="39"/>
      <c r="C64" s="40" t="s">
        <v>99</v>
      </c>
      <c r="D64" s="41">
        <f>SUM(E64:P64)</f>
        <v>0</v>
      </c>
      <c r="E64" s="41"/>
      <c r="F64" s="41"/>
      <c r="G64" s="41"/>
      <c r="H64" s="41"/>
      <c r="I64" s="41"/>
      <c r="J64" s="41"/>
      <c r="K64" s="41">
        <f>K65</f>
        <v>-53413</v>
      </c>
      <c r="L64" s="41">
        <f>L65</f>
        <v>53413</v>
      </c>
      <c r="M64" s="41"/>
      <c r="N64" s="41"/>
      <c r="O64" s="41"/>
      <c r="P64" s="41"/>
      <c r="Q64" s="773"/>
    </row>
    <row r="65" spans="1:17" s="130" customFormat="1" ht="21.75" customHeight="1">
      <c r="A65" s="216"/>
      <c r="B65" s="217">
        <v>85415</v>
      </c>
      <c r="C65" s="129" t="s">
        <v>253</v>
      </c>
      <c r="D65" s="43">
        <f>SUM(E65:P65)</f>
        <v>0</v>
      </c>
      <c r="E65" s="43"/>
      <c r="F65" s="43"/>
      <c r="G65" s="43"/>
      <c r="H65" s="43"/>
      <c r="I65" s="43"/>
      <c r="J65" s="43"/>
      <c r="K65" s="43">
        <v>-53413</v>
      </c>
      <c r="L65" s="43">
        <v>53413</v>
      </c>
      <c r="M65" s="43"/>
      <c r="N65" s="43"/>
      <c r="O65" s="43"/>
      <c r="P65" s="43"/>
      <c r="Q65" s="776"/>
    </row>
    <row r="66" spans="1:17" s="33" customFormat="1" ht="21.75" customHeight="1">
      <c r="A66" s="30"/>
      <c r="B66" s="30"/>
      <c r="C66" s="31" t="s">
        <v>534</v>
      </c>
      <c r="D66" s="32">
        <f t="shared" si="2"/>
        <v>-21750</v>
      </c>
      <c r="E66" s="32"/>
      <c r="F66" s="32"/>
      <c r="G66" s="32"/>
      <c r="H66" s="32"/>
      <c r="I66" s="32"/>
      <c r="J66" s="32"/>
      <c r="K66" s="32"/>
      <c r="L66" s="32">
        <f>L67</f>
        <v>-11750</v>
      </c>
      <c r="M66" s="32">
        <f>M67</f>
        <v>-10000</v>
      </c>
      <c r="N66" s="32"/>
      <c r="O66" s="32"/>
      <c r="P66" s="32"/>
      <c r="Q66" s="775"/>
    </row>
    <row r="67" spans="1:17" s="22" customFormat="1" ht="21.75" customHeight="1" thickBot="1">
      <c r="A67" s="35"/>
      <c r="B67" s="35"/>
      <c r="C67" s="36" t="s">
        <v>91</v>
      </c>
      <c r="D67" s="37">
        <f t="shared" si="2"/>
        <v>-21750</v>
      </c>
      <c r="E67" s="37"/>
      <c r="F67" s="37"/>
      <c r="G67" s="37"/>
      <c r="H67" s="37"/>
      <c r="I67" s="37"/>
      <c r="J67" s="37"/>
      <c r="K67" s="37"/>
      <c r="L67" s="37">
        <f>L68+L70</f>
        <v>-11750</v>
      </c>
      <c r="M67" s="37">
        <f>M68+M70</f>
        <v>-10000</v>
      </c>
      <c r="N67" s="37"/>
      <c r="O67" s="37"/>
      <c r="P67" s="37"/>
      <c r="Q67" s="773"/>
    </row>
    <row r="68" spans="1:17" s="22" customFormat="1" ht="21.75" customHeight="1" thickTop="1">
      <c r="A68" s="38">
        <v>851</v>
      </c>
      <c r="B68" s="39"/>
      <c r="C68" s="40" t="s">
        <v>100</v>
      </c>
      <c r="D68" s="41">
        <f t="shared" si="2"/>
        <v>-21750</v>
      </c>
      <c r="E68" s="41"/>
      <c r="F68" s="41"/>
      <c r="G68" s="41"/>
      <c r="H68" s="41"/>
      <c r="I68" s="41"/>
      <c r="J68" s="41"/>
      <c r="K68" s="41"/>
      <c r="L68" s="41">
        <f>L69</f>
        <v>-21750</v>
      </c>
      <c r="M68" s="41"/>
      <c r="N68" s="41"/>
      <c r="O68" s="41"/>
      <c r="P68" s="41"/>
      <c r="Q68" s="773"/>
    </row>
    <row r="69" spans="1:17" s="130" customFormat="1" ht="21.75" customHeight="1">
      <c r="A69" s="42"/>
      <c r="B69" s="217">
        <v>85154</v>
      </c>
      <c r="C69" s="129" t="s">
        <v>123</v>
      </c>
      <c r="D69" s="43">
        <f t="shared" si="2"/>
        <v>-21750</v>
      </c>
      <c r="E69" s="43"/>
      <c r="F69" s="43"/>
      <c r="G69" s="43"/>
      <c r="H69" s="43"/>
      <c r="I69" s="43"/>
      <c r="J69" s="43"/>
      <c r="K69" s="43"/>
      <c r="L69" s="43">
        <v>-21750</v>
      </c>
      <c r="M69" s="43"/>
      <c r="N69" s="43"/>
      <c r="O69" s="43"/>
      <c r="P69" s="43"/>
      <c r="Q69" s="776"/>
    </row>
    <row r="70" spans="1:17" s="22" customFormat="1" ht="31.5">
      <c r="A70" s="38">
        <v>921</v>
      </c>
      <c r="B70" s="39"/>
      <c r="C70" s="40" t="s">
        <v>317</v>
      </c>
      <c r="D70" s="41">
        <f t="shared" si="2"/>
        <v>0</v>
      </c>
      <c r="E70" s="41"/>
      <c r="F70" s="41"/>
      <c r="G70" s="41"/>
      <c r="H70" s="41"/>
      <c r="I70" s="41"/>
      <c r="J70" s="41"/>
      <c r="K70" s="41"/>
      <c r="L70" s="41">
        <f>L71</f>
        <v>10000</v>
      </c>
      <c r="M70" s="41">
        <f>M71</f>
        <v>-10000</v>
      </c>
      <c r="N70" s="41"/>
      <c r="O70" s="41"/>
      <c r="P70" s="41"/>
      <c r="Q70" s="773"/>
    </row>
    <row r="71" spans="1:17" s="130" customFormat="1" ht="21.75" customHeight="1">
      <c r="A71" s="42"/>
      <c r="B71" s="217">
        <v>92109</v>
      </c>
      <c r="C71" s="129" t="s">
        <v>533</v>
      </c>
      <c r="D71" s="43">
        <f t="shared" si="2"/>
        <v>0</v>
      </c>
      <c r="E71" s="43"/>
      <c r="F71" s="43"/>
      <c r="G71" s="43"/>
      <c r="H71" s="43"/>
      <c r="I71" s="43"/>
      <c r="J71" s="43"/>
      <c r="K71" s="43"/>
      <c r="L71" s="43">
        <v>10000</v>
      </c>
      <c r="M71" s="43">
        <v>-10000</v>
      </c>
      <c r="N71" s="43"/>
      <c r="O71" s="43"/>
      <c r="P71" s="43"/>
      <c r="Q71" s="776"/>
    </row>
    <row r="72" spans="1:17" s="33" customFormat="1" ht="21.75" customHeight="1">
      <c r="A72" s="30"/>
      <c r="B72" s="30"/>
      <c r="C72" s="31" t="s">
        <v>535</v>
      </c>
      <c r="D72" s="32">
        <f t="shared" si="2"/>
        <v>203010</v>
      </c>
      <c r="E72" s="32"/>
      <c r="F72" s="32"/>
      <c r="G72" s="32"/>
      <c r="H72" s="32"/>
      <c r="I72" s="32"/>
      <c r="J72" s="32"/>
      <c r="K72" s="32">
        <f>K73+K104</f>
        <v>-38443861</v>
      </c>
      <c r="L72" s="32">
        <f>L73+L104</f>
        <v>38120698</v>
      </c>
      <c r="M72" s="32">
        <f>M73+M104</f>
        <v>526173</v>
      </c>
      <c r="N72" s="32"/>
      <c r="O72" s="32"/>
      <c r="P72" s="32"/>
      <c r="Q72" s="775"/>
    </row>
    <row r="73" spans="1:17" s="22" customFormat="1" ht="21.75" customHeight="1" thickBot="1">
      <c r="A73" s="35"/>
      <c r="B73" s="35"/>
      <c r="C73" s="36" t="s">
        <v>91</v>
      </c>
      <c r="D73" s="37">
        <f t="shared" si="2"/>
        <v>203010</v>
      </c>
      <c r="E73" s="37"/>
      <c r="F73" s="37"/>
      <c r="G73" s="37"/>
      <c r="H73" s="37"/>
      <c r="I73" s="37"/>
      <c r="J73" s="37"/>
      <c r="K73" s="37">
        <f>K74+K78+K81+K84+K86+K91+K93+K98+K101</f>
        <v>-38386099</v>
      </c>
      <c r="L73" s="37">
        <f>L74+L78+L81+L84+L86+L91+L93+L98+L101</f>
        <v>38062936</v>
      </c>
      <c r="M73" s="37">
        <f>M74+M78+M81+M84+M86+M91+M93+M98+M101</f>
        <v>526173</v>
      </c>
      <c r="N73" s="37"/>
      <c r="O73" s="37"/>
      <c r="P73" s="37"/>
      <c r="Q73" s="773"/>
    </row>
    <row r="74" spans="1:17" s="22" customFormat="1" ht="21.75" customHeight="1" thickTop="1">
      <c r="A74" s="38">
        <v>600</v>
      </c>
      <c r="B74" s="39"/>
      <c r="C74" s="40" t="s">
        <v>95</v>
      </c>
      <c r="D74" s="41">
        <f t="shared" si="2"/>
        <v>0</v>
      </c>
      <c r="E74" s="41"/>
      <c r="F74" s="41"/>
      <c r="G74" s="41"/>
      <c r="H74" s="41"/>
      <c r="I74" s="41"/>
      <c r="J74" s="41"/>
      <c r="K74" s="41">
        <f>SUM(K75:K77)</f>
        <v>-10163561</v>
      </c>
      <c r="L74" s="41">
        <f>SUM(L75:L77)</f>
        <v>10163561</v>
      </c>
      <c r="M74" s="41"/>
      <c r="N74" s="41"/>
      <c r="O74" s="41"/>
      <c r="P74" s="41"/>
      <c r="Q74" s="773"/>
    </row>
    <row r="75" spans="1:17" s="130" customFormat="1" ht="29.25" customHeight="1">
      <c r="A75" s="42"/>
      <c r="B75" s="217">
        <v>60015</v>
      </c>
      <c r="C75" s="129" t="s">
        <v>259</v>
      </c>
      <c r="D75" s="43">
        <f t="shared" si="2"/>
        <v>0</v>
      </c>
      <c r="E75" s="43"/>
      <c r="F75" s="43"/>
      <c r="G75" s="43"/>
      <c r="H75" s="43"/>
      <c r="I75" s="43"/>
      <c r="J75" s="43"/>
      <c r="K75" s="43">
        <v>-9297040</v>
      </c>
      <c r="L75" s="43">
        <v>9297040</v>
      </c>
      <c r="M75" s="43"/>
      <c r="N75" s="43"/>
      <c r="O75" s="43"/>
      <c r="P75" s="43"/>
      <c r="Q75" s="776"/>
    </row>
    <row r="76" spans="1:17" s="130" customFormat="1" ht="19.5" customHeight="1">
      <c r="A76" s="42"/>
      <c r="B76" s="44">
        <v>60016</v>
      </c>
      <c r="C76" s="430" t="s">
        <v>311</v>
      </c>
      <c r="D76" s="43">
        <f t="shared" si="2"/>
        <v>0</v>
      </c>
      <c r="E76" s="431"/>
      <c r="F76" s="431"/>
      <c r="G76" s="431"/>
      <c r="H76" s="431"/>
      <c r="I76" s="431"/>
      <c r="J76" s="431"/>
      <c r="K76" s="431">
        <v>-837952</v>
      </c>
      <c r="L76" s="431">
        <v>837952</v>
      </c>
      <c r="M76" s="431"/>
      <c r="N76" s="431"/>
      <c r="O76" s="431"/>
      <c r="P76" s="431"/>
      <c r="Q76" s="776"/>
    </row>
    <row r="77" spans="1:17" s="130" customFormat="1" ht="19.5" customHeight="1">
      <c r="A77" s="44"/>
      <c r="B77" s="44">
        <v>60017</v>
      </c>
      <c r="C77" s="430" t="s">
        <v>61</v>
      </c>
      <c r="D77" s="43">
        <f t="shared" si="2"/>
        <v>0</v>
      </c>
      <c r="E77" s="431"/>
      <c r="F77" s="431"/>
      <c r="G77" s="431"/>
      <c r="H77" s="431"/>
      <c r="I77" s="431"/>
      <c r="J77" s="431"/>
      <c r="K77" s="431">
        <v>-28569</v>
      </c>
      <c r="L77" s="431">
        <v>28569</v>
      </c>
      <c r="M77" s="431"/>
      <c r="N77" s="431"/>
      <c r="O77" s="431"/>
      <c r="P77" s="431"/>
      <c r="Q77" s="776"/>
    </row>
    <row r="78" spans="1:17" s="22" customFormat="1" ht="21.75" customHeight="1">
      <c r="A78" s="38">
        <v>700</v>
      </c>
      <c r="B78" s="39"/>
      <c r="C78" s="40" t="s">
        <v>129</v>
      </c>
      <c r="D78" s="41">
        <f t="shared" si="2"/>
        <v>0</v>
      </c>
      <c r="E78" s="41"/>
      <c r="F78" s="41"/>
      <c r="G78" s="41"/>
      <c r="H78" s="41"/>
      <c r="I78" s="41"/>
      <c r="J78" s="41"/>
      <c r="K78" s="41">
        <f>K79</f>
        <v>-1214818</v>
      </c>
      <c r="L78" s="41">
        <f>L79</f>
        <v>1214818</v>
      </c>
      <c r="M78" s="41"/>
      <c r="N78" s="41"/>
      <c r="O78" s="41"/>
      <c r="P78" s="41"/>
      <c r="Q78" s="773"/>
    </row>
    <row r="79" spans="1:17" s="130" customFormat="1" ht="21.75" customHeight="1">
      <c r="A79" s="217"/>
      <c r="B79" s="217">
        <v>70095</v>
      </c>
      <c r="C79" s="129" t="s">
        <v>96</v>
      </c>
      <c r="D79" s="43">
        <f t="shared" si="2"/>
        <v>0</v>
      </c>
      <c r="E79" s="43"/>
      <c r="F79" s="43"/>
      <c r="G79" s="43"/>
      <c r="H79" s="43"/>
      <c r="I79" s="43"/>
      <c r="J79" s="43"/>
      <c r="K79" s="43">
        <v>-1214818</v>
      </c>
      <c r="L79" s="43">
        <v>1214818</v>
      </c>
      <c r="M79" s="43"/>
      <c r="N79" s="43"/>
      <c r="O79" s="43"/>
      <c r="P79" s="43"/>
      <c r="Q79" s="776"/>
    </row>
    <row r="80" spans="1:17" s="130" customFormat="1" ht="21.75" customHeight="1">
      <c r="A80" s="1160"/>
      <c r="B80" s="1160"/>
      <c r="C80" s="1161"/>
      <c r="D80" s="1162"/>
      <c r="E80" s="1162"/>
      <c r="F80" s="1162"/>
      <c r="G80" s="1162"/>
      <c r="H80" s="1162"/>
      <c r="I80" s="1162"/>
      <c r="J80" s="1162"/>
      <c r="K80" s="1162"/>
      <c r="L80" s="1162"/>
      <c r="M80" s="1162"/>
      <c r="N80" s="1162"/>
      <c r="O80" s="1162"/>
      <c r="P80" s="1162"/>
      <c r="Q80" s="776"/>
    </row>
    <row r="81" spans="1:17" s="22" customFormat="1" ht="21.75" customHeight="1">
      <c r="A81" s="39">
        <v>710</v>
      </c>
      <c r="B81" s="39"/>
      <c r="C81" s="40" t="s">
        <v>312</v>
      </c>
      <c r="D81" s="41">
        <f t="shared" si="2"/>
        <v>0</v>
      </c>
      <c r="E81" s="41"/>
      <c r="F81" s="41"/>
      <c r="G81" s="41"/>
      <c r="H81" s="41"/>
      <c r="I81" s="41"/>
      <c r="J81" s="41"/>
      <c r="K81" s="41">
        <f>SUM(K82:K83)</f>
        <v>-347350</v>
      </c>
      <c r="L81" s="41">
        <f>SUM(L82:L83)</f>
        <v>347350</v>
      </c>
      <c r="M81" s="41"/>
      <c r="N81" s="41"/>
      <c r="O81" s="41"/>
      <c r="P81" s="41"/>
      <c r="Q81" s="773"/>
    </row>
    <row r="82" spans="1:17" s="130" customFormat="1" ht="21.75" customHeight="1">
      <c r="A82" s="216"/>
      <c r="B82" s="217">
        <v>71004</v>
      </c>
      <c r="C82" s="129" t="s">
        <v>313</v>
      </c>
      <c r="D82" s="43">
        <f t="shared" si="2"/>
        <v>0</v>
      </c>
      <c r="E82" s="43"/>
      <c r="F82" s="43"/>
      <c r="G82" s="43"/>
      <c r="H82" s="43"/>
      <c r="I82" s="43"/>
      <c r="J82" s="43"/>
      <c r="K82" s="43">
        <v>-24190</v>
      </c>
      <c r="L82" s="43">
        <v>24190</v>
      </c>
      <c r="M82" s="43"/>
      <c r="N82" s="43"/>
      <c r="O82" s="43"/>
      <c r="P82" s="43"/>
      <c r="Q82" s="776"/>
    </row>
    <row r="83" spans="1:17" s="130" customFormat="1" ht="21.75" customHeight="1">
      <c r="A83" s="44"/>
      <c r="B83" s="217">
        <v>71035</v>
      </c>
      <c r="C83" s="129" t="s">
        <v>62</v>
      </c>
      <c r="D83" s="43">
        <f t="shared" si="2"/>
        <v>0</v>
      </c>
      <c r="E83" s="43"/>
      <c r="F83" s="43"/>
      <c r="G83" s="43"/>
      <c r="H83" s="43"/>
      <c r="I83" s="43"/>
      <c r="J83" s="43"/>
      <c r="K83" s="43">
        <v>-323160</v>
      </c>
      <c r="L83" s="43">
        <v>323160</v>
      </c>
      <c r="M83" s="43"/>
      <c r="N83" s="43"/>
      <c r="O83" s="43"/>
      <c r="P83" s="43"/>
      <c r="Q83" s="776"/>
    </row>
    <row r="84" spans="1:17" s="22" customFormat="1" ht="21.75" customHeight="1">
      <c r="A84" s="38">
        <v>750</v>
      </c>
      <c r="B84" s="39"/>
      <c r="C84" s="40" t="s">
        <v>101</v>
      </c>
      <c r="D84" s="41">
        <f t="shared" si="2"/>
        <v>9837</v>
      </c>
      <c r="E84" s="41"/>
      <c r="F84" s="41"/>
      <c r="G84" s="41"/>
      <c r="H84" s="41"/>
      <c r="I84" s="41"/>
      <c r="J84" s="41"/>
      <c r="K84" s="41"/>
      <c r="L84" s="41">
        <f>L85</f>
        <v>9837</v>
      </c>
      <c r="M84" s="41"/>
      <c r="N84" s="41"/>
      <c r="O84" s="41"/>
      <c r="P84" s="41"/>
      <c r="Q84" s="773"/>
    </row>
    <row r="85" spans="1:17" s="130" customFormat="1" ht="21.75" customHeight="1">
      <c r="A85" s="217"/>
      <c r="B85" s="217">
        <v>75095</v>
      </c>
      <c r="C85" s="129" t="s">
        <v>96</v>
      </c>
      <c r="D85" s="43">
        <f t="shared" si="2"/>
        <v>9837</v>
      </c>
      <c r="E85" s="43"/>
      <c r="F85" s="43"/>
      <c r="G85" s="43"/>
      <c r="H85" s="43"/>
      <c r="I85" s="43"/>
      <c r="J85" s="43"/>
      <c r="K85" s="43"/>
      <c r="L85" s="43">
        <v>9837</v>
      </c>
      <c r="M85" s="43"/>
      <c r="N85" s="43"/>
      <c r="O85" s="43"/>
      <c r="P85" s="43"/>
      <c r="Q85" s="776"/>
    </row>
    <row r="86" spans="1:17" s="22" customFormat="1" ht="21.75" customHeight="1">
      <c r="A86" s="39">
        <v>801</v>
      </c>
      <c r="B86" s="39"/>
      <c r="C86" s="40" t="s">
        <v>97</v>
      </c>
      <c r="D86" s="41">
        <f t="shared" si="2"/>
        <v>0</v>
      </c>
      <c r="E86" s="41"/>
      <c r="F86" s="41"/>
      <c r="G86" s="41"/>
      <c r="H86" s="41"/>
      <c r="I86" s="41"/>
      <c r="J86" s="41"/>
      <c r="K86" s="41">
        <f>SUM(K87:K90)</f>
        <v>-9838734</v>
      </c>
      <c r="L86" s="41">
        <f>SUM(L87:L90)</f>
        <v>9805734</v>
      </c>
      <c r="M86" s="41">
        <f>SUM(M87:M90)</f>
        <v>33000</v>
      </c>
      <c r="N86" s="41"/>
      <c r="O86" s="41"/>
      <c r="P86" s="41"/>
      <c r="Q86" s="773"/>
    </row>
    <row r="87" spans="1:17" s="130" customFormat="1" ht="21.75" customHeight="1">
      <c r="A87" s="216"/>
      <c r="B87" s="217">
        <v>80101</v>
      </c>
      <c r="C87" s="129" t="s">
        <v>254</v>
      </c>
      <c r="D87" s="43">
        <f t="shared" si="2"/>
        <v>-33000</v>
      </c>
      <c r="E87" s="43"/>
      <c r="F87" s="43"/>
      <c r="G87" s="43"/>
      <c r="H87" s="43"/>
      <c r="I87" s="43"/>
      <c r="J87" s="43"/>
      <c r="K87" s="43">
        <v>-5891275</v>
      </c>
      <c r="L87" s="43">
        <f>5891275-33000</f>
        <v>5858275</v>
      </c>
      <c r="M87" s="43"/>
      <c r="N87" s="43"/>
      <c r="O87" s="43"/>
      <c r="P87" s="43"/>
      <c r="Q87" s="776"/>
    </row>
    <row r="88" spans="1:17" s="130" customFormat="1" ht="21.75" customHeight="1">
      <c r="A88" s="42"/>
      <c r="B88" s="44">
        <v>80110</v>
      </c>
      <c r="C88" s="430" t="s">
        <v>255</v>
      </c>
      <c r="D88" s="43">
        <f aca="true" t="shared" si="6" ref="D88:D126">SUM(E88:P88)</f>
        <v>0</v>
      </c>
      <c r="E88" s="431"/>
      <c r="F88" s="431"/>
      <c r="G88" s="431"/>
      <c r="H88" s="431"/>
      <c r="I88" s="431"/>
      <c r="J88" s="431"/>
      <c r="K88" s="431">
        <v>-1330356</v>
      </c>
      <c r="L88" s="431">
        <v>1330356</v>
      </c>
      <c r="M88" s="431"/>
      <c r="N88" s="431"/>
      <c r="O88" s="431"/>
      <c r="P88" s="431"/>
      <c r="Q88" s="776"/>
    </row>
    <row r="89" spans="1:17" s="130" customFormat="1" ht="21.75" customHeight="1">
      <c r="A89" s="42"/>
      <c r="B89" s="44">
        <v>80120</v>
      </c>
      <c r="C89" s="430" t="s">
        <v>256</v>
      </c>
      <c r="D89" s="431">
        <f t="shared" si="6"/>
        <v>33000</v>
      </c>
      <c r="E89" s="431"/>
      <c r="F89" s="431"/>
      <c r="G89" s="431"/>
      <c r="H89" s="431"/>
      <c r="I89" s="431"/>
      <c r="J89" s="431"/>
      <c r="K89" s="431">
        <v>-317000</v>
      </c>
      <c r="L89" s="431">
        <v>317000</v>
      </c>
      <c r="M89" s="431">
        <v>33000</v>
      </c>
      <c r="N89" s="431"/>
      <c r="O89" s="431"/>
      <c r="P89" s="431"/>
      <c r="Q89" s="776"/>
    </row>
    <row r="90" spans="1:17" s="130" customFormat="1" ht="21.75" customHeight="1">
      <c r="A90" s="42"/>
      <c r="B90" s="44">
        <v>80130</v>
      </c>
      <c r="C90" s="430" t="s">
        <v>144</v>
      </c>
      <c r="D90" s="43">
        <f t="shared" si="6"/>
        <v>0</v>
      </c>
      <c r="E90" s="431"/>
      <c r="F90" s="431"/>
      <c r="G90" s="431"/>
      <c r="H90" s="431"/>
      <c r="I90" s="431"/>
      <c r="J90" s="431"/>
      <c r="K90" s="431">
        <v>-2300103</v>
      </c>
      <c r="L90" s="431">
        <v>2300103</v>
      </c>
      <c r="M90" s="431"/>
      <c r="N90" s="431"/>
      <c r="O90" s="431"/>
      <c r="P90" s="431"/>
      <c r="Q90" s="776"/>
    </row>
    <row r="91" spans="1:17" s="22" customFormat="1" ht="21.75" customHeight="1">
      <c r="A91" s="38">
        <v>852</v>
      </c>
      <c r="B91" s="39"/>
      <c r="C91" s="40" t="s">
        <v>98</v>
      </c>
      <c r="D91" s="41">
        <f t="shared" si="6"/>
        <v>0</v>
      </c>
      <c r="E91" s="41"/>
      <c r="F91" s="41"/>
      <c r="G91" s="41"/>
      <c r="H91" s="41"/>
      <c r="I91" s="41"/>
      <c r="J91" s="41"/>
      <c r="K91" s="41">
        <f>K92</f>
        <v>-149846</v>
      </c>
      <c r="L91" s="41">
        <f>L92</f>
        <v>149846</v>
      </c>
      <c r="M91" s="41"/>
      <c r="N91" s="41"/>
      <c r="O91" s="41"/>
      <c r="P91" s="41"/>
      <c r="Q91" s="773"/>
    </row>
    <row r="92" spans="1:17" s="130" customFormat="1" ht="21.75" customHeight="1">
      <c r="A92" s="216"/>
      <c r="B92" s="217">
        <v>85202</v>
      </c>
      <c r="C92" s="129" t="s">
        <v>270</v>
      </c>
      <c r="D92" s="43">
        <f t="shared" si="6"/>
        <v>0</v>
      </c>
      <c r="E92" s="43"/>
      <c r="F92" s="43"/>
      <c r="G92" s="43"/>
      <c r="H92" s="43"/>
      <c r="I92" s="43"/>
      <c r="J92" s="43"/>
      <c r="K92" s="43">
        <v>-149846</v>
      </c>
      <c r="L92" s="43">
        <v>149846</v>
      </c>
      <c r="M92" s="43"/>
      <c r="N92" s="43"/>
      <c r="O92" s="43"/>
      <c r="P92" s="43"/>
      <c r="Q92" s="776"/>
    </row>
    <row r="93" spans="1:17" s="22" customFormat="1" ht="34.5" customHeight="1">
      <c r="A93" s="38">
        <v>900</v>
      </c>
      <c r="B93" s="39"/>
      <c r="C93" s="40" t="s">
        <v>199</v>
      </c>
      <c r="D93" s="41">
        <f t="shared" si="6"/>
        <v>193173</v>
      </c>
      <c r="E93" s="41"/>
      <c r="F93" s="41"/>
      <c r="G93" s="41"/>
      <c r="H93" s="41"/>
      <c r="I93" s="41"/>
      <c r="J93" s="41"/>
      <c r="K93" s="41">
        <f>SUM(K94:K97)</f>
        <v>-12106136</v>
      </c>
      <c r="L93" s="41">
        <f>SUM(L94:L97)</f>
        <v>11806136</v>
      </c>
      <c r="M93" s="41">
        <f>SUM(M94:M97)</f>
        <v>493173</v>
      </c>
      <c r="N93" s="41"/>
      <c r="O93" s="41"/>
      <c r="P93" s="41"/>
      <c r="Q93" s="773"/>
    </row>
    <row r="94" spans="1:17" s="130" customFormat="1" ht="21.75" customHeight="1">
      <c r="A94" s="216"/>
      <c r="B94" s="217">
        <v>90001</v>
      </c>
      <c r="C94" s="129" t="s">
        <v>314</v>
      </c>
      <c r="D94" s="43">
        <f t="shared" si="6"/>
        <v>-400000</v>
      </c>
      <c r="E94" s="43"/>
      <c r="F94" s="43"/>
      <c r="G94" s="43"/>
      <c r="H94" s="43"/>
      <c r="I94" s="43"/>
      <c r="J94" s="43"/>
      <c r="K94" s="43">
        <v>-2559469</v>
      </c>
      <c r="L94" s="43">
        <f>2559469-300000</f>
        <v>2259469</v>
      </c>
      <c r="M94" s="43">
        <v>-100000</v>
      </c>
      <c r="N94" s="43"/>
      <c r="O94" s="43"/>
      <c r="P94" s="43"/>
      <c r="Q94" s="776"/>
    </row>
    <row r="95" spans="1:17" s="130" customFormat="1" ht="21.75" customHeight="1">
      <c r="A95" s="42"/>
      <c r="B95" s="44">
        <v>90002</v>
      </c>
      <c r="C95" s="430" t="s">
        <v>315</v>
      </c>
      <c r="D95" s="43">
        <f t="shared" si="6"/>
        <v>193173</v>
      </c>
      <c r="E95" s="431"/>
      <c r="F95" s="431"/>
      <c r="G95" s="431"/>
      <c r="H95" s="431"/>
      <c r="I95" s="431"/>
      <c r="J95" s="431"/>
      <c r="K95" s="431">
        <v>-6929897</v>
      </c>
      <c r="L95" s="431">
        <v>6929897</v>
      </c>
      <c r="M95" s="431">
        <v>193173</v>
      </c>
      <c r="N95" s="431"/>
      <c r="O95" s="431"/>
      <c r="P95" s="431"/>
      <c r="Q95" s="776"/>
    </row>
    <row r="96" spans="1:17" s="130" customFormat="1" ht="21.75" customHeight="1">
      <c r="A96" s="42"/>
      <c r="B96" s="44">
        <v>90003</v>
      </c>
      <c r="C96" s="430" t="s">
        <v>316</v>
      </c>
      <c r="D96" s="43">
        <f t="shared" si="6"/>
        <v>0</v>
      </c>
      <c r="E96" s="431"/>
      <c r="F96" s="431"/>
      <c r="G96" s="431"/>
      <c r="H96" s="431"/>
      <c r="I96" s="431"/>
      <c r="J96" s="431"/>
      <c r="K96" s="431">
        <v>-100000</v>
      </c>
      <c r="L96" s="431">
        <v>100000</v>
      </c>
      <c r="M96" s="431"/>
      <c r="N96" s="431"/>
      <c r="O96" s="431"/>
      <c r="P96" s="431"/>
      <c r="Q96" s="776"/>
    </row>
    <row r="97" spans="1:17" s="130" customFormat="1" ht="21.75" customHeight="1">
      <c r="A97" s="42"/>
      <c r="B97" s="44">
        <v>90095</v>
      </c>
      <c r="C97" s="430" t="s">
        <v>96</v>
      </c>
      <c r="D97" s="43">
        <f t="shared" si="6"/>
        <v>400000</v>
      </c>
      <c r="E97" s="431"/>
      <c r="F97" s="431"/>
      <c r="G97" s="431"/>
      <c r="H97" s="431"/>
      <c r="I97" s="431"/>
      <c r="J97" s="431"/>
      <c r="K97" s="431">
        <v>-2516770</v>
      </c>
      <c r="L97" s="431">
        <v>2516770</v>
      </c>
      <c r="M97" s="431">
        <v>400000</v>
      </c>
      <c r="N97" s="431"/>
      <c r="O97" s="431"/>
      <c r="P97" s="431"/>
      <c r="Q97" s="776"/>
    </row>
    <row r="98" spans="1:17" s="22" customFormat="1" ht="34.5" customHeight="1">
      <c r="A98" s="38">
        <v>921</v>
      </c>
      <c r="B98" s="39"/>
      <c r="C98" s="40" t="s">
        <v>317</v>
      </c>
      <c r="D98" s="41">
        <f t="shared" si="6"/>
        <v>0</v>
      </c>
      <c r="E98" s="41"/>
      <c r="F98" s="41"/>
      <c r="G98" s="41"/>
      <c r="H98" s="41"/>
      <c r="I98" s="41"/>
      <c r="J98" s="41"/>
      <c r="K98" s="41">
        <f>SUM(K99:K100)</f>
        <v>-510000</v>
      </c>
      <c r="L98" s="41">
        <f>SUM(L99:L100)</f>
        <v>510000</v>
      </c>
      <c r="M98" s="41"/>
      <c r="N98" s="41"/>
      <c r="O98" s="41"/>
      <c r="P98" s="41"/>
      <c r="Q98" s="773"/>
    </row>
    <row r="99" spans="1:17" s="130" customFormat="1" ht="21.75" customHeight="1">
      <c r="A99" s="216"/>
      <c r="B99" s="217">
        <v>92113</v>
      </c>
      <c r="C99" s="129" t="s">
        <v>319</v>
      </c>
      <c r="D99" s="43">
        <f t="shared" si="6"/>
        <v>0</v>
      </c>
      <c r="E99" s="43"/>
      <c r="F99" s="43"/>
      <c r="G99" s="43"/>
      <c r="H99" s="43"/>
      <c r="I99" s="43"/>
      <c r="J99" s="43"/>
      <c r="K99" s="43">
        <v>-100000</v>
      </c>
      <c r="L99" s="43">
        <v>100000</v>
      </c>
      <c r="M99" s="43"/>
      <c r="N99" s="43"/>
      <c r="O99" s="43"/>
      <c r="P99" s="43"/>
      <c r="Q99" s="776"/>
    </row>
    <row r="100" spans="1:17" s="130" customFormat="1" ht="21.75" customHeight="1">
      <c r="A100" s="42"/>
      <c r="B100" s="44">
        <v>92120</v>
      </c>
      <c r="C100" s="430" t="s">
        <v>350</v>
      </c>
      <c r="D100" s="43">
        <f t="shared" si="6"/>
        <v>0</v>
      </c>
      <c r="E100" s="431"/>
      <c r="F100" s="431"/>
      <c r="G100" s="431"/>
      <c r="H100" s="431"/>
      <c r="I100" s="431"/>
      <c r="J100" s="431"/>
      <c r="K100" s="431">
        <v>-410000</v>
      </c>
      <c r="L100" s="431">
        <v>410000</v>
      </c>
      <c r="M100" s="431"/>
      <c r="N100" s="431"/>
      <c r="O100" s="431"/>
      <c r="P100" s="431"/>
      <c r="Q100" s="776"/>
    </row>
    <row r="101" spans="1:17" s="22" customFormat="1" ht="21.75" customHeight="1">
      <c r="A101" s="38">
        <v>926</v>
      </c>
      <c r="B101" s="39"/>
      <c r="C101" s="40" t="s">
        <v>318</v>
      </c>
      <c r="D101" s="41">
        <f t="shared" si="6"/>
        <v>0</v>
      </c>
      <c r="E101" s="41"/>
      <c r="F101" s="41"/>
      <c r="G101" s="41"/>
      <c r="H101" s="41"/>
      <c r="I101" s="41"/>
      <c r="J101" s="41"/>
      <c r="K101" s="41">
        <f>SUM(K102:K103)</f>
        <v>-4055654</v>
      </c>
      <c r="L101" s="41">
        <f>SUM(L102:L103)</f>
        <v>4055654</v>
      </c>
      <c r="M101" s="41"/>
      <c r="N101" s="41"/>
      <c r="O101" s="41"/>
      <c r="P101" s="41"/>
      <c r="Q101" s="773"/>
    </row>
    <row r="102" spans="1:17" s="130" customFormat="1" ht="21.75" customHeight="1">
      <c r="A102" s="216"/>
      <c r="B102" s="217">
        <v>92604</v>
      </c>
      <c r="C102" s="129" t="s">
        <v>320</v>
      </c>
      <c r="D102" s="43">
        <f t="shared" si="6"/>
        <v>0</v>
      </c>
      <c r="E102" s="43"/>
      <c r="F102" s="43"/>
      <c r="G102" s="43"/>
      <c r="H102" s="43"/>
      <c r="I102" s="43"/>
      <c r="J102" s="43"/>
      <c r="K102" s="43">
        <v>-3827422</v>
      </c>
      <c r="L102" s="43">
        <v>3827422</v>
      </c>
      <c r="M102" s="43"/>
      <c r="N102" s="43"/>
      <c r="O102" s="43"/>
      <c r="P102" s="43"/>
      <c r="Q102" s="776"/>
    </row>
    <row r="103" spans="1:17" s="130" customFormat="1" ht="21.75" customHeight="1">
      <c r="A103" s="42"/>
      <c r="B103" s="217">
        <v>92605</v>
      </c>
      <c r="C103" s="129" t="s">
        <v>333</v>
      </c>
      <c r="D103" s="43">
        <f t="shared" si="6"/>
        <v>0</v>
      </c>
      <c r="E103" s="43"/>
      <c r="F103" s="43"/>
      <c r="G103" s="43"/>
      <c r="H103" s="43"/>
      <c r="I103" s="43"/>
      <c r="J103" s="43"/>
      <c r="K103" s="43">
        <v>-228232</v>
      </c>
      <c r="L103" s="43">
        <v>228232</v>
      </c>
      <c r="M103" s="43"/>
      <c r="N103" s="43"/>
      <c r="O103" s="43"/>
      <c r="P103" s="43"/>
      <c r="Q103" s="776"/>
    </row>
    <row r="104" spans="1:17" s="22" customFormat="1" ht="45" customHeight="1" thickBot="1">
      <c r="A104" s="35"/>
      <c r="B104" s="35"/>
      <c r="C104" s="36" t="s">
        <v>128</v>
      </c>
      <c r="D104" s="37">
        <f t="shared" si="6"/>
        <v>0</v>
      </c>
      <c r="E104" s="37"/>
      <c r="F104" s="37"/>
      <c r="G104" s="37"/>
      <c r="H104" s="37"/>
      <c r="I104" s="37"/>
      <c r="J104" s="37"/>
      <c r="K104" s="37">
        <f>K105</f>
        <v>-57762</v>
      </c>
      <c r="L104" s="37">
        <f>L105</f>
        <v>57762</v>
      </c>
      <c r="M104" s="37"/>
      <c r="N104" s="37"/>
      <c r="O104" s="37"/>
      <c r="P104" s="37"/>
      <c r="Q104" s="773"/>
    </row>
    <row r="105" spans="1:17" s="22" customFormat="1" ht="21.75" customHeight="1" thickTop="1">
      <c r="A105" s="38">
        <v>700</v>
      </c>
      <c r="B105" s="39"/>
      <c r="C105" s="40" t="s">
        <v>63</v>
      </c>
      <c r="D105" s="41">
        <f t="shared" si="6"/>
        <v>0</v>
      </c>
      <c r="E105" s="41"/>
      <c r="F105" s="41"/>
      <c r="G105" s="41"/>
      <c r="H105" s="41"/>
      <c r="I105" s="41"/>
      <c r="J105" s="41"/>
      <c r="K105" s="41">
        <f>K106</f>
        <v>-57762</v>
      </c>
      <c r="L105" s="41">
        <f>L106</f>
        <v>57762</v>
      </c>
      <c r="M105" s="41"/>
      <c r="N105" s="41"/>
      <c r="O105" s="41"/>
      <c r="P105" s="41"/>
      <c r="Q105" s="773"/>
    </row>
    <row r="106" spans="1:17" s="130" customFormat="1" ht="21.75" customHeight="1">
      <c r="A106" s="216"/>
      <c r="B106" s="217">
        <v>70005</v>
      </c>
      <c r="C106" s="129" t="s">
        <v>130</v>
      </c>
      <c r="D106" s="43">
        <f t="shared" si="6"/>
        <v>0</v>
      </c>
      <c r="E106" s="43"/>
      <c r="F106" s="43"/>
      <c r="G106" s="43"/>
      <c r="H106" s="43"/>
      <c r="I106" s="43"/>
      <c r="J106" s="43"/>
      <c r="K106" s="43">
        <v>-57762</v>
      </c>
      <c r="L106" s="43">
        <v>57762</v>
      </c>
      <c r="M106" s="43"/>
      <c r="N106" s="43"/>
      <c r="O106" s="43"/>
      <c r="P106" s="43"/>
      <c r="Q106" s="776"/>
    </row>
    <row r="107" spans="1:17" s="133" customFormat="1" ht="21.75" customHeight="1">
      <c r="A107" s="42"/>
      <c r="B107" s="42"/>
      <c r="C107" s="131" t="s">
        <v>536</v>
      </c>
      <c r="D107" s="132">
        <f t="shared" si="6"/>
        <v>428900</v>
      </c>
      <c r="E107" s="132"/>
      <c r="F107" s="132"/>
      <c r="G107" s="132"/>
      <c r="H107" s="132"/>
      <c r="I107" s="132"/>
      <c r="J107" s="132"/>
      <c r="K107" s="132"/>
      <c r="L107" s="132">
        <f>L108</f>
        <v>345322</v>
      </c>
      <c r="M107" s="132">
        <f>M108</f>
        <v>25107</v>
      </c>
      <c r="N107" s="132">
        <f>N108</f>
        <v>39107</v>
      </c>
      <c r="O107" s="132">
        <f>O108</f>
        <v>10107</v>
      </c>
      <c r="P107" s="132">
        <f>P108</f>
        <v>9257</v>
      </c>
      <c r="Q107" s="777"/>
    </row>
    <row r="108" spans="1:17" s="130" customFormat="1" ht="21.75" customHeight="1" thickBot="1">
      <c r="A108" s="44"/>
      <c r="B108" s="44"/>
      <c r="C108" s="134" t="s">
        <v>91</v>
      </c>
      <c r="D108" s="135">
        <f t="shared" si="6"/>
        <v>428900</v>
      </c>
      <c r="E108" s="135"/>
      <c r="F108" s="135"/>
      <c r="G108" s="135"/>
      <c r="H108" s="135"/>
      <c r="I108" s="135"/>
      <c r="J108" s="135"/>
      <c r="K108" s="135"/>
      <c r="L108" s="135">
        <f>L109+L111</f>
        <v>345322</v>
      </c>
      <c r="M108" s="135">
        <f>M109+M111</f>
        <v>25107</v>
      </c>
      <c r="N108" s="135">
        <f>N109+N111</f>
        <v>39107</v>
      </c>
      <c r="O108" s="135">
        <f>O109+O111</f>
        <v>10107</v>
      </c>
      <c r="P108" s="135">
        <f>P109+P111</f>
        <v>9257</v>
      </c>
      <c r="Q108" s="776"/>
    </row>
    <row r="109" spans="1:17" s="22" customFormat="1" ht="21.75" customHeight="1" thickTop="1">
      <c r="A109" s="38">
        <v>750</v>
      </c>
      <c r="B109" s="39"/>
      <c r="C109" s="40" t="s">
        <v>101</v>
      </c>
      <c r="D109" s="41">
        <f t="shared" si="6"/>
        <v>423900</v>
      </c>
      <c r="E109" s="41"/>
      <c r="F109" s="41"/>
      <c r="G109" s="41"/>
      <c r="H109" s="41"/>
      <c r="I109" s="41"/>
      <c r="J109" s="41"/>
      <c r="K109" s="41"/>
      <c r="L109" s="41">
        <f>L110</f>
        <v>340322</v>
      </c>
      <c r="M109" s="41">
        <f>M110</f>
        <v>25107</v>
      </c>
      <c r="N109" s="41">
        <f>N110</f>
        <v>39107</v>
      </c>
      <c r="O109" s="41">
        <f>O110</f>
        <v>10107</v>
      </c>
      <c r="P109" s="41">
        <f>P110</f>
        <v>9257</v>
      </c>
      <c r="Q109" s="773"/>
    </row>
    <row r="110" spans="1:17" s="130" customFormat="1" ht="21.75" customHeight="1">
      <c r="A110" s="216"/>
      <c r="B110" s="217">
        <v>75075</v>
      </c>
      <c r="C110" s="430" t="s">
        <v>448</v>
      </c>
      <c r="D110" s="43">
        <f t="shared" si="6"/>
        <v>423900</v>
      </c>
      <c r="E110" s="43"/>
      <c r="F110" s="43"/>
      <c r="G110" s="43"/>
      <c r="H110" s="43"/>
      <c r="I110" s="43"/>
      <c r="J110" s="43"/>
      <c r="K110" s="43"/>
      <c r="L110" s="43">
        <v>340322</v>
      </c>
      <c r="M110" s="43">
        <v>25107</v>
      </c>
      <c r="N110" s="43">
        <v>39107</v>
      </c>
      <c r="O110" s="43">
        <v>10107</v>
      </c>
      <c r="P110" s="43">
        <v>9257</v>
      </c>
      <c r="Q110" s="776"/>
    </row>
    <row r="111" spans="1:17" s="22" customFormat="1" ht="31.5">
      <c r="A111" s="38">
        <v>921</v>
      </c>
      <c r="B111" s="39"/>
      <c r="C111" s="40" t="s">
        <v>317</v>
      </c>
      <c r="D111" s="41">
        <f t="shared" si="6"/>
        <v>5000</v>
      </c>
      <c r="E111" s="41"/>
      <c r="F111" s="41"/>
      <c r="G111" s="41"/>
      <c r="H111" s="41"/>
      <c r="I111" s="41"/>
      <c r="J111" s="41"/>
      <c r="K111" s="41"/>
      <c r="L111" s="41">
        <f>L112</f>
        <v>5000</v>
      </c>
      <c r="M111" s="41"/>
      <c r="N111" s="41"/>
      <c r="O111" s="41"/>
      <c r="P111" s="41"/>
      <c r="Q111" s="773"/>
    </row>
    <row r="112" spans="1:17" s="130" customFormat="1" ht="21.75" customHeight="1">
      <c r="A112" s="216"/>
      <c r="B112" s="217">
        <v>92105</v>
      </c>
      <c r="C112" s="129" t="s">
        <v>450</v>
      </c>
      <c r="D112" s="43">
        <f t="shared" si="6"/>
        <v>5000</v>
      </c>
      <c r="E112" s="43"/>
      <c r="F112" s="43"/>
      <c r="G112" s="43"/>
      <c r="H112" s="43"/>
      <c r="I112" s="43"/>
      <c r="J112" s="43"/>
      <c r="K112" s="43"/>
      <c r="L112" s="43">
        <v>5000</v>
      </c>
      <c r="M112" s="43"/>
      <c r="N112" s="43"/>
      <c r="O112" s="43"/>
      <c r="P112" s="43"/>
      <c r="Q112" s="776"/>
    </row>
    <row r="113" spans="1:17" s="133" customFormat="1" ht="21.75" customHeight="1">
      <c r="A113" s="42"/>
      <c r="B113" s="42"/>
      <c r="C113" s="769" t="s">
        <v>537</v>
      </c>
      <c r="D113" s="132">
        <f t="shared" si="6"/>
        <v>0</v>
      </c>
      <c r="E113" s="132"/>
      <c r="F113" s="132"/>
      <c r="G113" s="132"/>
      <c r="H113" s="132"/>
      <c r="I113" s="132"/>
      <c r="J113" s="132"/>
      <c r="K113" s="132">
        <f aca="true" t="shared" si="7" ref="K113:L115">K114</f>
        <v>-106474</v>
      </c>
      <c r="L113" s="132">
        <f t="shared" si="7"/>
        <v>106474</v>
      </c>
      <c r="M113" s="132"/>
      <c r="N113" s="132"/>
      <c r="O113" s="132"/>
      <c r="P113" s="132"/>
      <c r="Q113" s="777"/>
    </row>
    <row r="114" spans="1:17" s="130" customFormat="1" ht="21.75" customHeight="1" thickBot="1">
      <c r="A114" s="44"/>
      <c r="B114" s="44"/>
      <c r="C114" s="134" t="s">
        <v>91</v>
      </c>
      <c r="D114" s="135">
        <f t="shared" si="6"/>
        <v>0</v>
      </c>
      <c r="E114" s="135"/>
      <c r="F114" s="135"/>
      <c r="G114" s="135"/>
      <c r="H114" s="135"/>
      <c r="I114" s="135"/>
      <c r="J114" s="135"/>
      <c r="K114" s="135">
        <f t="shared" si="7"/>
        <v>-106474</v>
      </c>
      <c r="L114" s="135">
        <f t="shared" si="7"/>
        <v>106474</v>
      </c>
      <c r="M114" s="135"/>
      <c r="N114" s="135"/>
      <c r="O114" s="135"/>
      <c r="P114" s="135"/>
      <c r="Q114" s="776"/>
    </row>
    <row r="115" spans="1:17" s="22" customFormat="1" ht="32.25" thickTop="1">
      <c r="A115" s="38">
        <v>754</v>
      </c>
      <c r="B115" s="39"/>
      <c r="C115" s="40" t="s">
        <v>92</v>
      </c>
      <c r="D115" s="41">
        <f t="shared" si="6"/>
        <v>0</v>
      </c>
      <c r="E115" s="41"/>
      <c r="F115" s="41"/>
      <c r="G115" s="41"/>
      <c r="H115" s="41"/>
      <c r="I115" s="41"/>
      <c r="J115" s="41"/>
      <c r="K115" s="41">
        <f t="shared" si="7"/>
        <v>-106474</v>
      </c>
      <c r="L115" s="41">
        <f t="shared" si="7"/>
        <v>106474</v>
      </c>
      <c r="M115" s="41"/>
      <c r="N115" s="41"/>
      <c r="O115" s="41"/>
      <c r="P115" s="41"/>
      <c r="Q115" s="773"/>
    </row>
    <row r="116" spans="1:17" s="130" customFormat="1" ht="21.75" customHeight="1">
      <c r="A116" s="471"/>
      <c r="B116" s="471">
        <v>75416</v>
      </c>
      <c r="C116" s="472" t="s">
        <v>201</v>
      </c>
      <c r="D116" s="43">
        <f t="shared" si="6"/>
        <v>0</v>
      </c>
      <c r="E116" s="43"/>
      <c r="F116" s="43"/>
      <c r="G116" s="43"/>
      <c r="H116" s="43"/>
      <c r="I116" s="43"/>
      <c r="J116" s="43"/>
      <c r="K116" s="43">
        <v>-106474</v>
      </c>
      <c r="L116" s="43">
        <v>106474</v>
      </c>
      <c r="M116" s="43"/>
      <c r="N116" s="43"/>
      <c r="O116" s="43"/>
      <c r="P116" s="43"/>
      <c r="Q116" s="776"/>
    </row>
    <row r="117" spans="1:17" s="133" customFormat="1" ht="35.25" customHeight="1">
      <c r="A117" s="42"/>
      <c r="B117" s="42"/>
      <c r="C117" s="131" t="s">
        <v>6</v>
      </c>
      <c r="D117" s="132">
        <f t="shared" si="6"/>
        <v>0</v>
      </c>
      <c r="E117" s="132"/>
      <c r="F117" s="132"/>
      <c r="G117" s="132"/>
      <c r="H117" s="132"/>
      <c r="I117" s="132"/>
      <c r="J117" s="132"/>
      <c r="K117" s="132"/>
      <c r="L117" s="132">
        <f>L118</f>
        <v>0</v>
      </c>
      <c r="M117" s="132"/>
      <c r="N117" s="132"/>
      <c r="O117" s="132"/>
      <c r="P117" s="132"/>
      <c r="Q117" s="777"/>
    </row>
    <row r="118" spans="1:17" s="130" customFormat="1" ht="21.75" customHeight="1" thickBot="1">
      <c r="A118" s="44"/>
      <c r="B118" s="44"/>
      <c r="C118" s="134" t="s">
        <v>91</v>
      </c>
      <c r="D118" s="135">
        <f t="shared" si="6"/>
        <v>0</v>
      </c>
      <c r="E118" s="135"/>
      <c r="F118" s="135"/>
      <c r="G118" s="135"/>
      <c r="H118" s="135"/>
      <c r="I118" s="135"/>
      <c r="J118" s="135"/>
      <c r="K118" s="135"/>
      <c r="L118" s="135">
        <f>L119</f>
        <v>0</v>
      </c>
      <c r="M118" s="135"/>
      <c r="N118" s="135"/>
      <c r="O118" s="135"/>
      <c r="P118" s="135"/>
      <c r="Q118" s="776"/>
    </row>
    <row r="119" spans="1:17" s="22" customFormat="1" ht="21.75" customHeight="1" thickTop="1">
      <c r="A119" s="38">
        <v>852</v>
      </c>
      <c r="B119" s="39"/>
      <c r="C119" s="40" t="s">
        <v>98</v>
      </c>
      <c r="D119" s="41">
        <f t="shared" si="6"/>
        <v>0</v>
      </c>
      <c r="E119" s="41"/>
      <c r="F119" s="41"/>
      <c r="G119" s="41"/>
      <c r="H119" s="41"/>
      <c r="I119" s="41"/>
      <c r="J119" s="41"/>
      <c r="K119" s="41"/>
      <c r="L119" s="41">
        <f>SUM(L120:L121)</f>
        <v>0</v>
      </c>
      <c r="M119" s="41"/>
      <c r="N119" s="41"/>
      <c r="O119" s="41"/>
      <c r="P119" s="41"/>
      <c r="Q119" s="773"/>
    </row>
    <row r="120" spans="1:17" s="130" customFormat="1" ht="21.75" customHeight="1">
      <c r="A120" s="767"/>
      <c r="B120" s="471">
        <v>85202</v>
      </c>
      <c r="C120" s="472" t="s">
        <v>270</v>
      </c>
      <c r="D120" s="43">
        <f t="shared" si="6"/>
        <v>-360</v>
      </c>
      <c r="E120" s="43"/>
      <c r="F120" s="43"/>
      <c r="G120" s="43"/>
      <c r="H120" s="43"/>
      <c r="I120" s="43"/>
      <c r="J120" s="43"/>
      <c r="K120" s="43"/>
      <c r="L120" s="43">
        <v>-360</v>
      </c>
      <c r="M120" s="43"/>
      <c r="N120" s="43"/>
      <c r="O120" s="43"/>
      <c r="P120" s="43"/>
      <c r="Q120" s="776"/>
    </row>
    <row r="121" spans="1:17" s="130" customFormat="1" ht="21.75" customHeight="1">
      <c r="A121" s="30"/>
      <c r="B121" s="471">
        <v>85295</v>
      </c>
      <c r="C121" s="472" t="s">
        <v>96</v>
      </c>
      <c r="D121" s="43">
        <f t="shared" si="6"/>
        <v>360</v>
      </c>
      <c r="E121" s="43"/>
      <c r="F121" s="43"/>
      <c r="G121" s="43"/>
      <c r="H121" s="43"/>
      <c r="I121" s="43"/>
      <c r="J121" s="43"/>
      <c r="K121" s="43"/>
      <c r="L121" s="43">
        <v>360</v>
      </c>
      <c r="M121" s="43"/>
      <c r="N121" s="43"/>
      <c r="O121" s="43"/>
      <c r="P121" s="43"/>
      <c r="Q121" s="776"/>
    </row>
    <row r="122" spans="1:17" s="33" customFormat="1" ht="21.75" customHeight="1">
      <c r="A122" s="30"/>
      <c r="B122" s="30"/>
      <c r="C122" s="31" t="s">
        <v>8</v>
      </c>
      <c r="D122" s="32">
        <f t="shared" si="6"/>
        <v>370274</v>
      </c>
      <c r="E122" s="32"/>
      <c r="F122" s="32"/>
      <c r="G122" s="32"/>
      <c r="H122" s="32"/>
      <c r="I122" s="32">
        <f>I123+I135+I138+I132</f>
        <v>-100000</v>
      </c>
      <c r="J122" s="32">
        <f aca="true" t="shared" si="8" ref="J122:P122">J123+J135+J138+J132</f>
        <v>-400</v>
      </c>
      <c r="K122" s="32">
        <f t="shared" si="8"/>
        <v>-106500</v>
      </c>
      <c r="L122" s="32">
        <f>L123+L135+L138+L132</f>
        <v>290102</v>
      </c>
      <c r="M122" s="32">
        <f t="shared" si="8"/>
        <v>80274</v>
      </c>
      <c r="N122" s="32">
        <f t="shared" si="8"/>
        <v>70000</v>
      </c>
      <c r="O122" s="32">
        <f t="shared" si="8"/>
        <v>93858</v>
      </c>
      <c r="P122" s="32">
        <f t="shared" si="8"/>
        <v>42940</v>
      </c>
      <c r="Q122" s="775"/>
    </row>
    <row r="123" spans="1:17" s="22" customFormat="1" ht="21.75" customHeight="1" thickBot="1">
      <c r="A123" s="35"/>
      <c r="B123" s="35"/>
      <c r="C123" s="36" t="s">
        <v>91</v>
      </c>
      <c r="D123" s="37">
        <f t="shared" si="6"/>
        <v>364083</v>
      </c>
      <c r="E123" s="37"/>
      <c r="F123" s="37"/>
      <c r="G123" s="37"/>
      <c r="H123" s="37"/>
      <c r="I123" s="37">
        <f>I124+I127</f>
        <v>-100000</v>
      </c>
      <c r="J123" s="37">
        <f aca="true" t="shared" si="9" ref="J123:P123">J124+J127</f>
        <v>-400</v>
      </c>
      <c r="K123" s="37">
        <f t="shared" si="9"/>
        <v>-106500</v>
      </c>
      <c r="L123" s="37">
        <f t="shared" si="9"/>
        <v>278960</v>
      </c>
      <c r="M123" s="37">
        <f t="shared" si="9"/>
        <v>74083</v>
      </c>
      <c r="N123" s="37">
        <f t="shared" si="9"/>
        <v>70000</v>
      </c>
      <c r="O123" s="37">
        <f t="shared" si="9"/>
        <v>95000</v>
      </c>
      <c r="P123" s="37">
        <f t="shared" si="9"/>
        <v>52940</v>
      </c>
      <c r="Q123" s="773"/>
    </row>
    <row r="124" spans="1:17" s="422" customFormat="1" ht="21.75" customHeight="1" thickTop="1">
      <c r="A124" s="418">
        <v>851</v>
      </c>
      <c r="B124" s="418"/>
      <c r="C124" s="849" t="s">
        <v>100</v>
      </c>
      <c r="D124" s="850">
        <f t="shared" si="6"/>
        <v>0</v>
      </c>
      <c r="E124" s="850"/>
      <c r="F124" s="850"/>
      <c r="G124" s="850"/>
      <c r="H124" s="850"/>
      <c r="I124" s="850"/>
      <c r="J124" s="850">
        <f>SUM(J125:J126)</f>
        <v>-400</v>
      </c>
      <c r="K124" s="850">
        <f>SUM(K125:K126)</f>
        <v>-6500</v>
      </c>
      <c r="L124" s="850">
        <f>SUM(L125:L126)</f>
        <v>6900</v>
      </c>
      <c r="M124" s="850"/>
      <c r="N124" s="850"/>
      <c r="O124" s="850"/>
      <c r="P124" s="850"/>
      <c r="Q124" s="778"/>
    </row>
    <row r="125" spans="1:17" s="130" customFormat="1" ht="24.75" customHeight="1">
      <c r="A125" s="432"/>
      <c r="B125" s="697">
        <v>85153</v>
      </c>
      <c r="C125" s="617" t="s">
        <v>178</v>
      </c>
      <c r="D125" s="698">
        <f t="shared" si="6"/>
        <v>0</v>
      </c>
      <c r="E125" s="698"/>
      <c r="F125" s="698"/>
      <c r="G125" s="698"/>
      <c r="H125" s="698"/>
      <c r="I125" s="698"/>
      <c r="J125" s="698"/>
      <c r="K125" s="698">
        <v>-6500</v>
      </c>
      <c r="L125" s="698">
        <v>6500</v>
      </c>
      <c r="M125" s="698"/>
      <c r="N125" s="698"/>
      <c r="O125" s="698"/>
      <c r="P125" s="698"/>
      <c r="Q125" s="776"/>
    </row>
    <row r="126" spans="1:17" s="130" customFormat="1" ht="21.75" customHeight="1">
      <c r="A126" s="432"/>
      <c r="B126" s="618">
        <v>85154</v>
      </c>
      <c r="C126" s="616" t="s">
        <v>123</v>
      </c>
      <c r="D126" s="433">
        <f t="shared" si="6"/>
        <v>0</v>
      </c>
      <c r="E126" s="433"/>
      <c r="F126" s="433"/>
      <c r="G126" s="433"/>
      <c r="H126" s="433"/>
      <c r="I126" s="433"/>
      <c r="J126" s="433">
        <v>-400</v>
      </c>
      <c r="K126" s="433"/>
      <c r="L126" s="433">
        <v>400</v>
      </c>
      <c r="M126" s="433"/>
      <c r="N126" s="433"/>
      <c r="O126" s="433"/>
      <c r="P126" s="433"/>
      <c r="Q126" s="776"/>
    </row>
    <row r="127" spans="1:17" s="422" customFormat="1" ht="21.75" customHeight="1">
      <c r="A127" s="418">
        <v>852</v>
      </c>
      <c r="B127" s="418"/>
      <c r="C127" s="849" t="s">
        <v>98</v>
      </c>
      <c r="D127" s="850">
        <f aca="true" t="shared" si="10" ref="D127:D186">SUM(E127:P127)</f>
        <v>364083</v>
      </c>
      <c r="E127" s="850"/>
      <c r="F127" s="850"/>
      <c r="G127" s="850"/>
      <c r="H127" s="850"/>
      <c r="I127" s="850">
        <f>SUM(I128:I131)</f>
        <v>-100000</v>
      </c>
      <c r="J127" s="850"/>
      <c r="K127" s="850">
        <f aca="true" t="shared" si="11" ref="K127:P127">SUM(K128:K131)</f>
        <v>-100000</v>
      </c>
      <c r="L127" s="850">
        <f t="shared" si="11"/>
        <v>272060</v>
      </c>
      <c r="M127" s="850">
        <f t="shared" si="11"/>
        <v>74083</v>
      </c>
      <c r="N127" s="850">
        <f t="shared" si="11"/>
        <v>70000</v>
      </c>
      <c r="O127" s="850">
        <f t="shared" si="11"/>
        <v>95000</v>
      </c>
      <c r="P127" s="850">
        <f t="shared" si="11"/>
        <v>52940</v>
      </c>
      <c r="Q127" s="778"/>
    </row>
    <row r="128" spans="1:17" s="130" customFormat="1" ht="24.75" customHeight="1">
      <c r="A128" s="432"/>
      <c r="B128" s="989">
        <v>85202</v>
      </c>
      <c r="C128" s="617" t="s">
        <v>270</v>
      </c>
      <c r="D128" s="433">
        <f t="shared" si="10"/>
        <v>120000</v>
      </c>
      <c r="E128" s="698"/>
      <c r="F128" s="698"/>
      <c r="G128" s="698"/>
      <c r="H128" s="698"/>
      <c r="I128" s="698"/>
      <c r="J128" s="698"/>
      <c r="K128" s="698"/>
      <c r="L128" s="698"/>
      <c r="M128" s="698">
        <v>30000</v>
      </c>
      <c r="N128" s="698">
        <v>30000</v>
      </c>
      <c r="O128" s="698">
        <v>30000</v>
      </c>
      <c r="P128" s="698">
        <v>30000</v>
      </c>
      <c r="Q128" s="776"/>
    </row>
    <row r="129" spans="1:17" s="130" customFormat="1" ht="36" customHeight="1">
      <c r="A129" s="432"/>
      <c r="B129" s="618">
        <v>85214</v>
      </c>
      <c r="C129" s="616" t="s">
        <v>359</v>
      </c>
      <c r="D129" s="433">
        <f t="shared" si="10"/>
        <v>0</v>
      </c>
      <c r="E129" s="433"/>
      <c r="F129" s="433"/>
      <c r="G129" s="433"/>
      <c r="H129" s="433"/>
      <c r="I129" s="433"/>
      <c r="J129" s="433"/>
      <c r="K129" s="433">
        <v>-100000</v>
      </c>
      <c r="L129" s="433">
        <v>100000</v>
      </c>
      <c r="M129" s="433"/>
      <c r="N129" s="433"/>
      <c r="O129" s="433"/>
      <c r="P129" s="433"/>
      <c r="Q129" s="776"/>
    </row>
    <row r="130" spans="1:17" s="130" customFormat="1" ht="32.25" customHeight="1">
      <c r="A130" s="432"/>
      <c r="B130" s="217">
        <v>85228</v>
      </c>
      <c r="C130" s="445" t="s">
        <v>322</v>
      </c>
      <c r="D130" s="433">
        <f t="shared" si="10"/>
        <v>0</v>
      </c>
      <c r="E130" s="433"/>
      <c r="F130" s="433"/>
      <c r="G130" s="433"/>
      <c r="H130" s="433"/>
      <c r="I130" s="433">
        <v>-100000</v>
      </c>
      <c r="J130" s="433"/>
      <c r="K130" s="433"/>
      <c r="L130" s="433">
        <v>100000</v>
      </c>
      <c r="M130" s="433"/>
      <c r="N130" s="433"/>
      <c r="O130" s="433"/>
      <c r="P130" s="433"/>
      <c r="Q130" s="776"/>
    </row>
    <row r="131" spans="1:17" s="130" customFormat="1" ht="24.75" customHeight="1">
      <c r="A131" s="432"/>
      <c r="B131" s="30">
        <v>85295</v>
      </c>
      <c r="C131" s="472" t="s">
        <v>96</v>
      </c>
      <c r="D131" s="433">
        <f t="shared" si="10"/>
        <v>244083</v>
      </c>
      <c r="E131" s="433"/>
      <c r="F131" s="433"/>
      <c r="G131" s="433"/>
      <c r="H131" s="433"/>
      <c r="I131" s="433"/>
      <c r="J131" s="433"/>
      <c r="K131" s="433"/>
      <c r="L131" s="433">
        <v>72060</v>
      </c>
      <c r="M131" s="433">
        <f>44083</f>
        <v>44083</v>
      </c>
      <c r="N131" s="433">
        <v>40000</v>
      </c>
      <c r="O131" s="433">
        <v>65000</v>
      </c>
      <c r="P131" s="433">
        <f>95000+-72060</f>
        <v>22940</v>
      </c>
      <c r="Q131" s="776"/>
    </row>
    <row r="132" spans="1:17" s="438" customFormat="1" ht="36" customHeight="1" thickBot="1">
      <c r="A132" s="434"/>
      <c r="B132" s="435"/>
      <c r="C132" s="36" t="s">
        <v>340</v>
      </c>
      <c r="D132" s="437">
        <f t="shared" si="10"/>
        <v>0</v>
      </c>
      <c r="E132" s="437"/>
      <c r="F132" s="437"/>
      <c r="G132" s="437"/>
      <c r="H132" s="437"/>
      <c r="I132" s="437"/>
      <c r="J132" s="437"/>
      <c r="K132" s="437"/>
      <c r="L132" s="437">
        <f>L133</f>
        <v>1142</v>
      </c>
      <c r="M132" s="437"/>
      <c r="N132" s="437"/>
      <c r="O132" s="437">
        <f>O133</f>
        <v>-1142</v>
      </c>
      <c r="P132" s="437"/>
      <c r="Q132" s="779"/>
    </row>
    <row r="133" spans="1:17" s="422" customFormat="1" ht="21.75" customHeight="1" thickTop="1">
      <c r="A133" s="418">
        <v>852</v>
      </c>
      <c r="B133" s="418"/>
      <c r="C133" s="849" t="s">
        <v>98</v>
      </c>
      <c r="D133" s="421">
        <f>SUM(E133:P133)</f>
        <v>0</v>
      </c>
      <c r="E133" s="421"/>
      <c r="F133" s="421"/>
      <c r="G133" s="421"/>
      <c r="H133" s="421"/>
      <c r="I133" s="421"/>
      <c r="J133" s="421"/>
      <c r="K133" s="421"/>
      <c r="L133" s="421">
        <f>L134</f>
        <v>1142</v>
      </c>
      <c r="M133" s="421"/>
      <c r="N133" s="421"/>
      <c r="O133" s="421">
        <f>O134</f>
        <v>-1142</v>
      </c>
      <c r="P133" s="421"/>
      <c r="Q133" s="778"/>
    </row>
    <row r="134" spans="1:17" s="130" customFormat="1" ht="24.75" customHeight="1">
      <c r="A134" s="432"/>
      <c r="B134" s="697">
        <v>85201</v>
      </c>
      <c r="C134" s="472" t="s">
        <v>342</v>
      </c>
      <c r="D134" s="43">
        <f>SUM(E134:P134)</f>
        <v>0</v>
      </c>
      <c r="E134" s="43"/>
      <c r="F134" s="43"/>
      <c r="G134" s="43"/>
      <c r="H134" s="43"/>
      <c r="I134" s="43"/>
      <c r="J134" s="43"/>
      <c r="K134" s="43"/>
      <c r="L134" s="43">
        <v>1142</v>
      </c>
      <c r="M134" s="43"/>
      <c r="N134" s="43"/>
      <c r="O134" s="43">
        <v>-1142</v>
      </c>
      <c r="P134" s="43"/>
      <c r="Q134" s="776"/>
    </row>
    <row r="135" spans="1:17" s="438" customFormat="1" ht="36" customHeight="1" thickBot="1">
      <c r="A135" s="434"/>
      <c r="B135" s="435"/>
      <c r="C135" s="436" t="s">
        <v>127</v>
      </c>
      <c r="D135" s="437">
        <f t="shared" si="10"/>
        <v>0</v>
      </c>
      <c r="E135" s="437"/>
      <c r="F135" s="437"/>
      <c r="G135" s="437"/>
      <c r="H135" s="437"/>
      <c r="I135" s="437"/>
      <c r="J135" s="437"/>
      <c r="K135" s="437"/>
      <c r="L135" s="437">
        <f>L136</f>
        <v>10000</v>
      </c>
      <c r="M135" s="437"/>
      <c r="N135" s="437"/>
      <c r="O135" s="437"/>
      <c r="P135" s="437">
        <f>P136</f>
        <v>-10000</v>
      </c>
      <c r="Q135" s="779"/>
    </row>
    <row r="136" spans="1:17" s="422" customFormat="1" ht="21.75" customHeight="1" thickTop="1">
      <c r="A136" s="418">
        <v>852</v>
      </c>
      <c r="B136" s="419"/>
      <c r="C136" s="420" t="s">
        <v>98</v>
      </c>
      <c r="D136" s="421">
        <f>SUM(E136:P136)</f>
        <v>0</v>
      </c>
      <c r="E136" s="421"/>
      <c r="F136" s="421"/>
      <c r="G136" s="421"/>
      <c r="H136" s="421"/>
      <c r="I136" s="421"/>
      <c r="J136" s="421"/>
      <c r="K136" s="421"/>
      <c r="L136" s="421">
        <f>L137</f>
        <v>10000</v>
      </c>
      <c r="M136" s="421"/>
      <c r="N136" s="421"/>
      <c r="O136" s="421"/>
      <c r="P136" s="421">
        <f>P137</f>
        <v>-10000</v>
      </c>
      <c r="Q136" s="778"/>
    </row>
    <row r="137" spans="1:17" s="130" customFormat="1" ht="32.25" customHeight="1">
      <c r="A137" s="432"/>
      <c r="B137" s="217">
        <v>85228</v>
      </c>
      <c r="C137" s="445" t="s">
        <v>322</v>
      </c>
      <c r="D137" s="43">
        <f>SUM(E137:P137)</f>
        <v>0</v>
      </c>
      <c r="E137" s="43"/>
      <c r="F137" s="43"/>
      <c r="G137" s="43"/>
      <c r="H137" s="43"/>
      <c r="I137" s="43"/>
      <c r="J137" s="43"/>
      <c r="K137" s="43"/>
      <c r="L137" s="43">
        <v>10000</v>
      </c>
      <c r="M137" s="43"/>
      <c r="N137" s="43"/>
      <c r="O137" s="43"/>
      <c r="P137" s="43">
        <v>-10000</v>
      </c>
      <c r="Q137" s="776"/>
    </row>
    <row r="138" spans="1:17" s="438" customFormat="1" ht="47.25" thickBot="1">
      <c r="A138" s="434"/>
      <c r="B138" s="984"/>
      <c r="C138" s="134" t="s">
        <v>128</v>
      </c>
      <c r="D138" s="135">
        <f t="shared" si="10"/>
        <v>6191</v>
      </c>
      <c r="E138" s="437"/>
      <c r="F138" s="437"/>
      <c r="G138" s="437"/>
      <c r="H138" s="437"/>
      <c r="I138" s="437"/>
      <c r="J138" s="437"/>
      <c r="K138" s="437"/>
      <c r="L138" s="437"/>
      <c r="M138" s="437">
        <f>M139</f>
        <v>6191</v>
      </c>
      <c r="N138" s="437"/>
      <c r="O138" s="437"/>
      <c r="P138" s="437"/>
      <c r="Q138" s="779"/>
    </row>
    <row r="139" spans="1:17" s="422" customFormat="1" ht="32.25" thickTop="1">
      <c r="A139" s="38">
        <v>853</v>
      </c>
      <c r="B139" s="39"/>
      <c r="C139" s="40" t="s">
        <v>141</v>
      </c>
      <c r="D139" s="41">
        <f t="shared" si="10"/>
        <v>6191</v>
      </c>
      <c r="E139" s="421"/>
      <c r="F139" s="421"/>
      <c r="G139" s="421"/>
      <c r="H139" s="421"/>
      <c r="I139" s="421"/>
      <c r="J139" s="421"/>
      <c r="K139" s="421"/>
      <c r="L139" s="421"/>
      <c r="M139" s="421">
        <f>M140</f>
        <v>6191</v>
      </c>
      <c r="N139" s="421"/>
      <c r="O139" s="421"/>
      <c r="P139" s="421"/>
      <c r="Q139" s="778"/>
    </row>
    <row r="140" spans="1:17" s="130" customFormat="1" ht="21.75" customHeight="1">
      <c r="A140" s="432"/>
      <c r="B140" s="217">
        <v>85334</v>
      </c>
      <c r="C140" s="445" t="s">
        <v>372</v>
      </c>
      <c r="D140" s="43">
        <f t="shared" si="10"/>
        <v>6191</v>
      </c>
      <c r="E140" s="43"/>
      <c r="F140" s="43"/>
      <c r="G140" s="43"/>
      <c r="H140" s="43"/>
      <c r="I140" s="43"/>
      <c r="J140" s="43"/>
      <c r="K140" s="43"/>
      <c r="L140" s="43"/>
      <c r="M140" s="43">
        <v>6191</v>
      </c>
      <c r="N140" s="43"/>
      <c r="O140" s="43"/>
      <c r="P140" s="43"/>
      <c r="Q140" s="776"/>
    </row>
    <row r="141" spans="1:17" s="33" customFormat="1" ht="21.75" customHeight="1">
      <c r="A141" s="30"/>
      <c r="B141" s="30"/>
      <c r="C141" s="31" t="s">
        <v>9</v>
      </c>
      <c r="D141" s="32">
        <f t="shared" si="10"/>
        <v>0</v>
      </c>
      <c r="E141" s="32"/>
      <c r="F141" s="32"/>
      <c r="G141" s="32"/>
      <c r="H141" s="32"/>
      <c r="I141" s="32"/>
      <c r="J141" s="32"/>
      <c r="K141" s="32">
        <f>K142+K145</f>
        <v>-35844</v>
      </c>
      <c r="L141" s="32">
        <f>L142+L145</f>
        <v>24003</v>
      </c>
      <c r="M141" s="32"/>
      <c r="N141" s="32"/>
      <c r="O141" s="32"/>
      <c r="P141" s="32">
        <f>P142+P145</f>
        <v>11841</v>
      </c>
      <c r="Q141" s="775"/>
    </row>
    <row r="142" spans="1:17" s="130" customFormat="1" ht="21.75" customHeight="1" thickBot="1">
      <c r="A142" s="44"/>
      <c r="B142" s="44"/>
      <c r="C142" s="134" t="s">
        <v>91</v>
      </c>
      <c r="D142" s="135">
        <f t="shared" si="10"/>
        <v>0</v>
      </c>
      <c r="E142" s="135"/>
      <c r="F142" s="135"/>
      <c r="G142" s="135"/>
      <c r="H142" s="135"/>
      <c r="I142" s="135"/>
      <c r="J142" s="135"/>
      <c r="K142" s="135">
        <f>K143</f>
        <v>-35844</v>
      </c>
      <c r="L142" s="135">
        <f>L143</f>
        <v>35844</v>
      </c>
      <c r="M142" s="135"/>
      <c r="N142" s="135"/>
      <c r="O142" s="135"/>
      <c r="P142" s="135"/>
      <c r="Q142" s="776"/>
    </row>
    <row r="143" spans="1:17" s="22" customFormat="1" ht="33.75" customHeight="1" thickTop="1">
      <c r="A143" s="38">
        <v>853</v>
      </c>
      <c r="B143" s="39"/>
      <c r="C143" s="40" t="s">
        <v>141</v>
      </c>
      <c r="D143" s="41">
        <f t="shared" si="10"/>
        <v>0</v>
      </c>
      <c r="E143" s="41"/>
      <c r="F143" s="41"/>
      <c r="G143" s="41"/>
      <c r="H143" s="41"/>
      <c r="I143" s="41"/>
      <c r="J143" s="41"/>
      <c r="K143" s="41">
        <f>K144</f>
        <v>-35844</v>
      </c>
      <c r="L143" s="41">
        <f>L144</f>
        <v>35844</v>
      </c>
      <c r="M143" s="41"/>
      <c r="N143" s="41"/>
      <c r="O143" s="41"/>
      <c r="P143" s="41"/>
      <c r="Q143" s="773"/>
    </row>
    <row r="144" spans="1:17" s="130" customFormat="1" ht="21.75" customHeight="1">
      <c r="A144" s="216"/>
      <c r="B144" s="217">
        <v>85333</v>
      </c>
      <c r="C144" s="129" t="s">
        <v>60</v>
      </c>
      <c r="D144" s="43">
        <f t="shared" si="10"/>
        <v>0</v>
      </c>
      <c r="E144" s="43"/>
      <c r="F144" s="43"/>
      <c r="G144" s="43"/>
      <c r="H144" s="43"/>
      <c r="I144" s="43"/>
      <c r="J144" s="43"/>
      <c r="K144" s="43">
        <v>-35844</v>
      </c>
      <c r="L144" s="43">
        <v>35844</v>
      </c>
      <c r="M144" s="43"/>
      <c r="N144" s="43"/>
      <c r="O144" s="43"/>
      <c r="P144" s="43"/>
      <c r="Q144" s="776"/>
    </row>
    <row r="145" spans="1:17" s="130" customFormat="1" ht="45.75" customHeight="1" thickBot="1">
      <c r="A145" s="44"/>
      <c r="B145" s="44"/>
      <c r="C145" s="134" t="s">
        <v>128</v>
      </c>
      <c r="D145" s="135">
        <f t="shared" si="10"/>
        <v>0</v>
      </c>
      <c r="E145" s="135"/>
      <c r="F145" s="135"/>
      <c r="G145" s="135"/>
      <c r="H145" s="135"/>
      <c r="I145" s="135"/>
      <c r="J145" s="135"/>
      <c r="K145" s="135"/>
      <c r="L145" s="135">
        <f>L146</f>
        <v>-11841</v>
      </c>
      <c r="M145" s="135"/>
      <c r="N145" s="135"/>
      <c r="O145" s="135"/>
      <c r="P145" s="135">
        <f>P146</f>
        <v>11841</v>
      </c>
      <c r="Q145" s="776"/>
    </row>
    <row r="146" spans="1:17" s="22" customFormat="1" ht="22.5" customHeight="1" thickTop="1">
      <c r="A146" s="38">
        <v>851</v>
      </c>
      <c r="B146" s="39"/>
      <c r="C146" s="40" t="s">
        <v>100</v>
      </c>
      <c r="D146" s="41">
        <f t="shared" si="10"/>
        <v>0</v>
      </c>
      <c r="E146" s="41"/>
      <c r="F146" s="41"/>
      <c r="G146" s="41"/>
      <c r="H146" s="41"/>
      <c r="I146" s="41"/>
      <c r="J146" s="41"/>
      <c r="K146" s="41"/>
      <c r="L146" s="41">
        <f>L147</f>
        <v>-11841</v>
      </c>
      <c r="M146" s="41"/>
      <c r="N146" s="41"/>
      <c r="O146" s="41"/>
      <c r="P146" s="41">
        <f>P147</f>
        <v>11841</v>
      </c>
      <c r="Q146" s="773"/>
    </row>
    <row r="147" spans="1:17" s="130" customFormat="1" ht="45.75" customHeight="1">
      <c r="A147" s="217"/>
      <c r="B147" s="217">
        <v>85156</v>
      </c>
      <c r="C147" s="129" t="s">
        <v>339</v>
      </c>
      <c r="D147" s="43">
        <f t="shared" si="10"/>
        <v>0</v>
      </c>
      <c r="E147" s="43"/>
      <c r="F147" s="43"/>
      <c r="G147" s="43"/>
      <c r="H147" s="43"/>
      <c r="I147" s="43"/>
      <c r="J147" s="43"/>
      <c r="K147" s="43"/>
      <c r="L147" s="43">
        <v>-11841</v>
      </c>
      <c r="M147" s="43"/>
      <c r="N147" s="43"/>
      <c r="O147" s="43"/>
      <c r="P147" s="43">
        <v>11841</v>
      </c>
      <c r="Q147" s="776"/>
    </row>
    <row r="148" spans="1:17" s="33" customFormat="1" ht="31.5">
      <c r="A148" s="30"/>
      <c r="B148" s="30"/>
      <c r="C148" s="31" t="s">
        <v>10</v>
      </c>
      <c r="D148" s="32">
        <f t="shared" si="10"/>
        <v>51730</v>
      </c>
      <c r="E148" s="32"/>
      <c r="F148" s="32"/>
      <c r="G148" s="32"/>
      <c r="H148" s="32"/>
      <c r="I148" s="32"/>
      <c r="J148" s="32"/>
      <c r="K148" s="32"/>
      <c r="L148" s="32"/>
      <c r="M148" s="32">
        <f aca="true" t="shared" si="12" ref="M148:P150">M149</f>
        <v>30000</v>
      </c>
      <c r="N148" s="32">
        <f t="shared" si="12"/>
        <v>9730</v>
      </c>
      <c r="O148" s="32">
        <f t="shared" si="12"/>
        <v>7000</v>
      </c>
      <c r="P148" s="32">
        <f t="shared" si="12"/>
        <v>5000</v>
      </c>
      <c r="Q148" s="775"/>
    </row>
    <row r="149" spans="1:17" s="130" customFormat="1" ht="46.5" thickBot="1">
      <c r="A149" s="44"/>
      <c r="B149" s="44"/>
      <c r="C149" s="134" t="s">
        <v>128</v>
      </c>
      <c r="D149" s="135">
        <f t="shared" si="10"/>
        <v>51730</v>
      </c>
      <c r="E149" s="135"/>
      <c r="F149" s="135"/>
      <c r="G149" s="135"/>
      <c r="H149" s="135"/>
      <c r="I149" s="135"/>
      <c r="J149" s="135"/>
      <c r="K149" s="135"/>
      <c r="L149" s="135"/>
      <c r="M149" s="135">
        <f t="shared" si="12"/>
        <v>30000</v>
      </c>
      <c r="N149" s="135">
        <f t="shared" si="12"/>
        <v>9730</v>
      </c>
      <c r="O149" s="135">
        <f t="shared" si="12"/>
        <v>7000</v>
      </c>
      <c r="P149" s="135">
        <f t="shared" si="12"/>
        <v>5000</v>
      </c>
      <c r="Q149" s="776"/>
    </row>
    <row r="150" spans="1:17" s="22" customFormat="1" ht="33.75" customHeight="1" thickTop="1">
      <c r="A150" s="38">
        <v>710</v>
      </c>
      <c r="B150" s="39"/>
      <c r="C150" s="40" t="s">
        <v>312</v>
      </c>
      <c r="D150" s="41">
        <f t="shared" si="10"/>
        <v>51730</v>
      </c>
      <c r="E150" s="41"/>
      <c r="F150" s="41"/>
      <c r="G150" s="41"/>
      <c r="H150" s="41"/>
      <c r="I150" s="41"/>
      <c r="J150" s="41"/>
      <c r="K150" s="41"/>
      <c r="L150" s="41"/>
      <c r="M150" s="41">
        <f t="shared" si="12"/>
        <v>30000</v>
      </c>
      <c r="N150" s="41">
        <f t="shared" si="12"/>
        <v>9730</v>
      </c>
      <c r="O150" s="41">
        <f t="shared" si="12"/>
        <v>7000</v>
      </c>
      <c r="P150" s="41">
        <f t="shared" si="12"/>
        <v>5000</v>
      </c>
      <c r="Q150" s="773"/>
    </row>
    <row r="151" spans="1:17" s="130" customFormat="1" ht="21.75" customHeight="1">
      <c r="A151" s="216"/>
      <c r="B151" s="217">
        <v>71015</v>
      </c>
      <c r="C151" s="129" t="s">
        <v>446</v>
      </c>
      <c r="D151" s="43">
        <f t="shared" si="10"/>
        <v>51730</v>
      </c>
      <c r="E151" s="43"/>
      <c r="F151" s="43"/>
      <c r="G151" s="43"/>
      <c r="H151" s="43"/>
      <c r="I151" s="43"/>
      <c r="J151" s="43"/>
      <c r="K151" s="43"/>
      <c r="L151" s="43"/>
      <c r="M151" s="43">
        <v>30000</v>
      </c>
      <c r="N151" s="43">
        <v>9730</v>
      </c>
      <c r="O151" s="43">
        <v>7000</v>
      </c>
      <c r="P151" s="43">
        <v>5000</v>
      </c>
      <c r="Q151" s="776"/>
    </row>
    <row r="152" spans="1:17" s="171" customFormat="1" ht="21.75" customHeight="1">
      <c r="A152" s="194"/>
      <c r="B152" s="195"/>
      <c r="C152" s="196" t="s">
        <v>11</v>
      </c>
      <c r="D152" s="197">
        <f t="shared" si="10"/>
        <v>1201223</v>
      </c>
      <c r="E152" s="197"/>
      <c r="F152" s="197"/>
      <c r="G152" s="197"/>
      <c r="H152" s="197"/>
      <c r="I152" s="197"/>
      <c r="J152" s="197"/>
      <c r="K152" s="197">
        <f aca="true" t="shared" si="13" ref="K152:P152">K153+K190+K193+K196</f>
        <v>-11185667</v>
      </c>
      <c r="L152" s="197">
        <f t="shared" si="13"/>
        <v>9406061</v>
      </c>
      <c r="M152" s="197">
        <f t="shared" si="13"/>
        <v>1335616</v>
      </c>
      <c r="N152" s="197">
        <f t="shared" si="13"/>
        <v>1272719</v>
      </c>
      <c r="O152" s="197">
        <f t="shared" si="13"/>
        <v>876561</v>
      </c>
      <c r="P152" s="197">
        <f t="shared" si="13"/>
        <v>-504067</v>
      </c>
      <c r="Q152" s="773"/>
    </row>
    <row r="153" spans="1:17" s="45" customFormat="1" ht="21.75" customHeight="1" thickBot="1">
      <c r="A153" s="198"/>
      <c r="B153" s="199"/>
      <c r="C153" s="200" t="s">
        <v>91</v>
      </c>
      <c r="D153" s="201">
        <f t="shared" si="10"/>
        <v>1201223</v>
      </c>
      <c r="E153" s="201"/>
      <c r="F153" s="201"/>
      <c r="G153" s="201"/>
      <c r="H153" s="201"/>
      <c r="I153" s="201"/>
      <c r="J153" s="201"/>
      <c r="K153" s="201">
        <f aca="true" t="shared" si="14" ref="K153:P153">K154+K173+K177+K188</f>
        <v>-11126600</v>
      </c>
      <c r="L153" s="201">
        <f t="shared" si="14"/>
        <v>9346994</v>
      </c>
      <c r="M153" s="201">
        <f t="shared" si="14"/>
        <v>1335616</v>
      </c>
      <c r="N153" s="201">
        <f t="shared" si="14"/>
        <v>1272719</v>
      </c>
      <c r="O153" s="201">
        <f t="shared" si="14"/>
        <v>876561</v>
      </c>
      <c r="P153" s="201">
        <f t="shared" si="14"/>
        <v>-504067</v>
      </c>
      <c r="Q153" s="780"/>
    </row>
    <row r="154" spans="1:17" s="22" customFormat="1" ht="21.75" customHeight="1" thickTop="1">
      <c r="A154" s="41">
        <v>801</v>
      </c>
      <c r="B154" s="38"/>
      <c r="C154" s="40" t="s">
        <v>97</v>
      </c>
      <c r="D154" s="41">
        <f t="shared" si="10"/>
        <v>1102159</v>
      </c>
      <c r="E154" s="41"/>
      <c r="F154" s="41"/>
      <c r="G154" s="41"/>
      <c r="H154" s="41"/>
      <c r="I154" s="41"/>
      <c r="J154" s="41"/>
      <c r="K154" s="41">
        <f aca="true" t="shared" si="15" ref="K154:P154">SUM(K155:K172)</f>
        <v>-9394387</v>
      </c>
      <c r="L154" s="41">
        <f t="shared" si="15"/>
        <v>7447131</v>
      </c>
      <c r="M154" s="41">
        <f t="shared" si="15"/>
        <v>1327742</v>
      </c>
      <c r="N154" s="41">
        <f t="shared" si="15"/>
        <v>1265465</v>
      </c>
      <c r="O154" s="41">
        <f t="shared" si="15"/>
        <v>900875</v>
      </c>
      <c r="P154" s="41">
        <f t="shared" si="15"/>
        <v>-444667</v>
      </c>
      <c r="Q154" s="773"/>
    </row>
    <row r="155" spans="1:17" s="443" customFormat="1" ht="21.75" customHeight="1">
      <c r="A155" s="439"/>
      <c r="B155" s="440">
        <v>80101</v>
      </c>
      <c r="C155" s="441" t="s">
        <v>254</v>
      </c>
      <c r="D155" s="43">
        <f t="shared" si="10"/>
        <v>249280</v>
      </c>
      <c r="E155" s="442"/>
      <c r="F155" s="442"/>
      <c r="G155" s="442"/>
      <c r="H155" s="442"/>
      <c r="I155" s="442"/>
      <c r="J155" s="442"/>
      <c r="K155" s="442">
        <v>-1431296</v>
      </c>
      <c r="L155" s="442">
        <v>1865876</v>
      </c>
      <c r="M155" s="442">
        <v>9700</v>
      </c>
      <c r="N155" s="442"/>
      <c r="O155" s="442">
        <v>-3000</v>
      </c>
      <c r="P155" s="442">
        <v>-192000</v>
      </c>
      <c r="Q155" s="776"/>
    </row>
    <row r="156" spans="1:17" s="443" customFormat="1" ht="21.75" customHeight="1">
      <c r="A156" s="439"/>
      <c r="B156" s="440">
        <v>80102</v>
      </c>
      <c r="C156" s="441" t="s">
        <v>324</v>
      </c>
      <c r="D156" s="43">
        <f t="shared" si="10"/>
        <v>0</v>
      </c>
      <c r="E156" s="442"/>
      <c r="F156" s="442"/>
      <c r="G156" s="442"/>
      <c r="H156" s="442"/>
      <c r="I156" s="442"/>
      <c r="J156" s="442"/>
      <c r="K156" s="442"/>
      <c r="L156" s="442">
        <v>23000</v>
      </c>
      <c r="M156" s="442"/>
      <c r="N156" s="442"/>
      <c r="O156" s="442">
        <v>-23000</v>
      </c>
      <c r="P156" s="442"/>
      <c r="Q156" s="776"/>
    </row>
    <row r="157" spans="1:17" s="443" customFormat="1" ht="33.75" customHeight="1">
      <c r="A157" s="439"/>
      <c r="B157" s="440">
        <v>80103</v>
      </c>
      <c r="C157" s="441" t="s">
        <v>323</v>
      </c>
      <c r="D157" s="43">
        <f t="shared" si="10"/>
        <v>12530</v>
      </c>
      <c r="E157" s="442"/>
      <c r="F157" s="442"/>
      <c r="G157" s="442"/>
      <c r="H157" s="442"/>
      <c r="I157" s="442"/>
      <c r="J157" s="442"/>
      <c r="K157" s="442">
        <v>-76331</v>
      </c>
      <c r="L157" s="442">
        <v>90791</v>
      </c>
      <c r="M157" s="442"/>
      <c r="N157" s="442"/>
      <c r="O157" s="442"/>
      <c r="P157" s="442">
        <v>-1930</v>
      </c>
      <c r="Q157" s="776"/>
    </row>
    <row r="158" spans="1:17" s="443" customFormat="1" ht="21.75" customHeight="1">
      <c r="A158" s="439"/>
      <c r="B158" s="440">
        <v>80104</v>
      </c>
      <c r="C158" s="441" t="s">
        <v>252</v>
      </c>
      <c r="D158" s="43">
        <f t="shared" si="10"/>
        <v>68774</v>
      </c>
      <c r="E158" s="442"/>
      <c r="F158" s="442"/>
      <c r="G158" s="442"/>
      <c r="H158" s="442"/>
      <c r="I158" s="442"/>
      <c r="J158" s="442"/>
      <c r="K158" s="442">
        <v>-2662465</v>
      </c>
      <c r="L158" s="442">
        <v>564274</v>
      </c>
      <c r="M158" s="442">
        <f>1000000+4500</f>
        <v>1004500</v>
      </c>
      <c r="N158" s="442">
        <v>1162465</v>
      </c>
      <c r="O158" s="442"/>
      <c r="P158" s="442"/>
      <c r="Q158" s="776"/>
    </row>
    <row r="159" spans="1:17" s="443" customFormat="1" ht="21.75" customHeight="1">
      <c r="A159" s="439"/>
      <c r="B159" s="619">
        <v>80105</v>
      </c>
      <c r="C159" s="441" t="s">
        <v>325</v>
      </c>
      <c r="D159" s="431">
        <f t="shared" si="10"/>
        <v>0</v>
      </c>
      <c r="E159" s="442"/>
      <c r="F159" s="442"/>
      <c r="G159" s="442"/>
      <c r="H159" s="442"/>
      <c r="I159" s="442"/>
      <c r="J159" s="442"/>
      <c r="K159" s="442">
        <v>-28874</v>
      </c>
      <c r="L159" s="442">
        <v>50574</v>
      </c>
      <c r="M159" s="442"/>
      <c r="N159" s="442"/>
      <c r="O159" s="442">
        <v>-21700</v>
      </c>
      <c r="P159" s="442"/>
      <c r="Q159" s="776"/>
    </row>
    <row r="160" spans="1:17" s="443" customFormat="1" ht="21.75" customHeight="1">
      <c r="A160" s="439"/>
      <c r="B160" s="440">
        <v>80110</v>
      </c>
      <c r="C160" s="441" t="s">
        <v>255</v>
      </c>
      <c r="D160" s="43">
        <f t="shared" si="10"/>
        <v>226500</v>
      </c>
      <c r="E160" s="442"/>
      <c r="F160" s="442"/>
      <c r="G160" s="442"/>
      <c r="H160" s="442"/>
      <c r="I160" s="442"/>
      <c r="J160" s="442"/>
      <c r="K160" s="442">
        <v>-517682</v>
      </c>
      <c r="L160" s="442">
        <v>567682</v>
      </c>
      <c r="M160" s="442">
        <v>6500</v>
      </c>
      <c r="N160" s="442"/>
      <c r="O160" s="442">
        <v>170000</v>
      </c>
      <c r="P160" s="442"/>
      <c r="Q160" s="776"/>
    </row>
    <row r="161" spans="1:17" s="443" customFormat="1" ht="21.75" customHeight="1">
      <c r="A161" s="439"/>
      <c r="B161" s="440">
        <v>80111</v>
      </c>
      <c r="C161" s="441" t="s">
        <v>326</v>
      </c>
      <c r="D161" s="43">
        <f t="shared" si="10"/>
        <v>0</v>
      </c>
      <c r="E161" s="442"/>
      <c r="F161" s="442"/>
      <c r="G161" s="442"/>
      <c r="H161" s="442"/>
      <c r="I161" s="442"/>
      <c r="J161" s="442"/>
      <c r="K161" s="442">
        <v>-56626</v>
      </c>
      <c r="L161" s="442">
        <v>56626</v>
      </c>
      <c r="M161" s="442"/>
      <c r="N161" s="442"/>
      <c r="O161" s="442"/>
      <c r="P161" s="442"/>
      <c r="Q161" s="776"/>
    </row>
    <row r="162" spans="1:17" s="443" customFormat="1" ht="21.75" customHeight="1">
      <c r="A162" s="439"/>
      <c r="B162" s="440">
        <v>80113</v>
      </c>
      <c r="C162" s="441" t="s">
        <v>327</v>
      </c>
      <c r="D162" s="43">
        <f t="shared" si="10"/>
        <v>0</v>
      </c>
      <c r="E162" s="442"/>
      <c r="F162" s="442"/>
      <c r="G162" s="442"/>
      <c r="H162" s="442"/>
      <c r="I162" s="442"/>
      <c r="J162" s="442"/>
      <c r="K162" s="442">
        <v>-13208</v>
      </c>
      <c r="L162" s="442">
        <v>13208</v>
      </c>
      <c r="M162" s="442"/>
      <c r="N162" s="442"/>
      <c r="O162" s="442"/>
      <c r="P162" s="442"/>
      <c r="Q162" s="776"/>
    </row>
    <row r="163" spans="1:17" s="443" customFormat="1" ht="21.75" customHeight="1">
      <c r="A163" s="439"/>
      <c r="B163" s="619">
        <v>80120</v>
      </c>
      <c r="C163" s="441" t="s">
        <v>256</v>
      </c>
      <c r="D163" s="431">
        <f t="shared" si="10"/>
        <v>294000</v>
      </c>
      <c r="E163" s="442"/>
      <c r="F163" s="442"/>
      <c r="G163" s="442"/>
      <c r="H163" s="442"/>
      <c r="I163" s="442"/>
      <c r="J163" s="442"/>
      <c r="K163" s="442">
        <v>-842042</v>
      </c>
      <c r="L163" s="442">
        <v>267000</v>
      </c>
      <c r="M163" s="442">
        <v>307042</v>
      </c>
      <c r="N163" s="442">
        <v>109000</v>
      </c>
      <c r="O163" s="442">
        <f>300000+250000+29000</f>
        <v>579000</v>
      </c>
      <c r="P163" s="442">
        <v>-126000</v>
      </c>
      <c r="Q163" s="776"/>
    </row>
    <row r="164" spans="1:17" s="443" customFormat="1" ht="21.75" customHeight="1">
      <c r="A164" s="439"/>
      <c r="B164" s="440">
        <v>80121</v>
      </c>
      <c r="C164" s="441" t="s">
        <v>328</v>
      </c>
      <c r="D164" s="43">
        <f t="shared" si="10"/>
        <v>0</v>
      </c>
      <c r="E164" s="442"/>
      <c r="F164" s="442"/>
      <c r="G164" s="442"/>
      <c r="H164" s="442"/>
      <c r="I164" s="442"/>
      <c r="J164" s="442"/>
      <c r="K164" s="442">
        <v>-1583</v>
      </c>
      <c r="L164" s="442">
        <v>18000</v>
      </c>
      <c r="M164" s="442"/>
      <c r="N164" s="442">
        <v>-6000</v>
      </c>
      <c r="O164" s="442">
        <v>-6000</v>
      </c>
      <c r="P164" s="442">
        <v>-4417</v>
      </c>
      <c r="Q164" s="776"/>
    </row>
    <row r="165" spans="1:17" s="443" customFormat="1" ht="21.75" customHeight="1">
      <c r="A165" s="439"/>
      <c r="B165" s="619">
        <v>80123</v>
      </c>
      <c r="C165" s="441" t="s">
        <v>329</v>
      </c>
      <c r="D165" s="431">
        <f t="shared" si="10"/>
        <v>9500</v>
      </c>
      <c r="E165" s="442"/>
      <c r="F165" s="442"/>
      <c r="G165" s="442"/>
      <c r="H165" s="442"/>
      <c r="I165" s="442"/>
      <c r="J165" s="442"/>
      <c r="K165" s="442">
        <v>-427858</v>
      </c>
      <c r="L165" s="442">
        <v>437358</v>
      </c>
      <c r="M165" s="442"/>
      <c r="N165" s="442"/>
      <c r="O165" s="442"/>
      <c r="P165" s="442"/>
      <c r="Q165" s="776"/>
    </row>
    <row r="166" spans="1:17" s="443" customFormat="1" ht="21.75" customHeight="1">
      <c r="A166" s="439"/>
      <c r="B166" s="440">
        <v>80124</v>
      </c>
      <c r="C166" s="441" t="s">
        <v>330</v>
      </c>
      <c r="D166" s="43">
        <f t="shared" si="10"/>
        <v>0</v>
      </c>
      <c r="E166" s="442"/>
      <c r="F166" s="442"/>
      <c r="G166" s="442"/>
      <c r="H166" s="442"/>
      <c r="I166" s="442"/>
      <c r="J166" s="442"/>
      <c r="K166" s="442">
        <v>-34770</v>
      </c>
      <c r="L166" s="442">
        <v>34770</v>
      </c>
      <c r="M166" s="442"/>
      <c r="N166" s="442"/>
      <c r="O166" s="442"/>
      <c r="P166" s="442"/>
      <c r="Q166" s="776"/>
    </row>
    <row r="167" spans="1:17" s="130" customFormat="1" ht="21.75" customHeight="1">
      <c r="A167" s="42"/>
      <c r="B167" s="217">
        <v>80130</v>
      </c>
      <c r="C167" s="129" t="s">
        <v>144</v>
      </c>
      <c r="D167" s="43">
        <f t="shared" si="10"/>
        <v>240575</v>
      </c>
      <c r="E167" s="43"/>
      <c r="F167" s="43"/>
      <c r="G167" s="43"/>
      <c r="H167" s="43"/>
      <c r="I167" s="43"/>
      <c r="J167" s="43"/>
      <c r="K167" s="43">
        <v>-1999702</v>
      </c>
      <c r="L167" s="43">
        <v>2094702</v>
      </c>
      <c r="M167" s="43"/>
      <c r="N167" s="43"/>
      <c r="O167" s="43">
        <f>180000+25575</f>
        <v>205575</v>
      </c>
      <c r="P167" s="43">
        <v>-60000</v>
      </c>
      <c r="Q167" s="776"/>
    </row>
    <row r="168" spans="1:17" s="130" customFormat="1" ht="21.75" customHeight="1">
      <c r="A168" s="42"/>
      <c r="B168" s="44">
        <v>80132</v>
      </c>
      <c r="C168" s="430" t="s">
        <v>331</v>
      </c>
      <c r="D168" s="43">
        <f t="shared" si="10"/>
        <v>0</v>
      </c>
      <c r="E168" s="431"/>
      <c r="F168" s="431"/>
      <c r="G168" s="431"/>
      <c r="H168" s="431"/>
      <c r="I168" s="431"/>
      <c r="J168" s="431"/>
      <c r="K168" s="431">
        <v>-89298</v>
      </c>
      <c r="L168" s="431">
        <v>89298</v>
      </c>
      <c r="M168" s="431"/>
      <c r="N168" s="431"/>
      <c r="O168" s="431"/>
      <c r="P168" s="431"/>
      <c r="Q168" s="776"/>
    </row>
    <row r="169" spans="1:17" s="130" customFormat="1" ht="21.75" customHeight="1">
      <c r="A169" s="42"/>
      <c r="B169" s="44">
        <v>80134</v>
      </c>
      <c r="C169" s="430" t="s">
        <v>332</v>
      </c>
      <c r="D169" s="43">
        <f t="shared" si="10"/>
        <v>0</v>
      </c>
      <c r="E169" s="431"/>
      <c r="F169" s="431"/>
      <c r="G169" s="431"/>
      <c r="H169" s="431"/>
      <c r="I169" s="431"/>
      <c r="J169" s="431"/>
      <c r="K169" s="431">
        <v>-63963</v>
      </c>
      <c r="L169" s="431">
        <v>63963</v>
      </c>
      <c r="M169" s="431"/>
      <c r="N169" s="431"/>
      <c r="O169" s="431"/>
      <c r="P169" s="431"/>
      <c r="Q169" s="776"/>
    </row>
    <row r="170" spans="1:17" s="130" customFormat="1" ht="47.25" customHeight="1">
      <c r="A170" s="42"/>
      <c r="B170" s="44">
        <v>80140</v>
      </c>
      <c r="C170" s="430" t="s">
        <v>280</v>
      </c>
      <c r="D170" s="43">
        <f t="shared" si="10"/>
        <v>1000</v>
      </c>
      <c r="E170" s="431"/>
      <c r="F170" s="431"/>
      <c r="G170" s="431"/>
      <c r="H170" s="431"/>
      <c r="I170" s="431"/>
      <c r="J170" s="431"/>
      <c r="K170" s="431">
        <v>-680418</v>
      </c>
      <c r="L170" s="431">
        <v>741738</v>
      </c>
      <c r="M170" s="431"/>
      <c r="N170" s="431"/>
      <c r="O170" s="431"/>
      <c r="P170" s="431">
        <v>-60320</v>
      </c>
      <c r="Q170" s="776"/>
    </row>
    <row r="171" spans="1:17" s="130" customFormat="1" ht="20.25" customHeight="1">
      <c r="A171" s="42"/>
      <c r="B171" s="44">
        <v>80146</v>
      </c>
      <c r="C171" s="430" t="s">
        <v>258</v>
      </c>
      <c r="D171" s="43">
        <f t="shared" si="10"/>
        <v>0</v>
      </c>
      <c r="E171" s="431"/>
      <c r="F171" s="431"/>
      <c r="G171" s="431"/>
      <c r="H171" s="431"/>
      <c r="I171" s="431"/>
      <c r="J171" s="431"/>
      <c r="K171" s="431">
        <v>-359448</v>
      </c>
      <c r="L171" s="431">
        <v>359448</v>
      </c>
      <c r="M171" s="431"/>
      <c r="N171" s="431"/>
      <c r="O171" s="431"/>
      <c r="P171" s="431"/>
      <c r="Q171" s="776"/>
    </row>
    <row r="172" spans="1:17" s="130" customFormat="1" ht="20.25" customHeight="1">
      <c r="A172" s="42"/>
      <c r="B172" s="44">
        <v>80195</v>
      </c>
      <c r="C172" s="430" t="s">
        <v>96</v>
      </c>
      <c r="D172" s="43">
        <f t="shared" si="10"/>
        <v>0</v>
      </c>
      <c r="E172" s="431"/>
      <c r="F172" s="431"/>
      <c r="G172" s="431"/>
      <c r="H172" s="431"/>
      <c r="I172" s="431"/>
      <c r="J172" s="431"/>
      <c r="K172" s="431">
        <v>-108823</v>
      </c>
      <c r="L172" s="431">
        <v>108823</v>
      </c>
      <c r="M172" s="431"/>
      <c r="N172" s="431"/>
      <c r="O172" s="431"/>
      <c r="P172" s="431"/>
      <c r="Q172" s="776"/>
    </row>
    <row r="173" spans="1:17" s="22" customFormat="1" ht="21.75" customHeight="1">
      <c r="A173" s="38">
        <v>851</v>
      </c>
      <c r="B173" s="39"/>
      <c r="C173" s="40" t="s">
        <v>100</v>
      </c>
      <c r="D173" s="41">
        <f t="shared" si="10"/>
        <v>15750</v>
      </c>
      <c r="E173" s="41"/>
      <c r="F173" s="41"/>
      <c r="G173" s="41"/>
      <c r="H173" s="41"/>
      <c r="I173" s="41"/>
      <c r="J173" s="41"/>
      <c r="K173" s="41">
        <f>SUM(K174:K176)</f>
        <v>-98988</v>
      </c>
      <c r="L173" s="41">
        <f>SUM(L174:L176)</f>
        <v>98988</v>
      </c>
      <c r="M173" s="41">
        <f>SUM(M174:M176)</f>
        <v>9250</v>
      </c>
      <c r="N173" s="41">
        <f>SUM(N174:N176)</f>
        <v>6254</v>
      </c>
      <c r="O173" s="41">
        <f>SUM(O174:O176)</f>
        <v>246</v>
      </c>
      <c r="P173" s="41"/>
      <c r="Q173" s="773"/>
    </row>
    <row r="174" spans="1:17" s="443" customFormat="1" ht="21.75" customHeight="1">
      <c r="A174" s="439"/>
      <c r="B174" s="440">
        <v>85149</v>
      </c>
      <c r="C174" s="441" t="s">
        <v>177</v>
      </c>
      <c r="D174" s="43">
        <f t="shared" si="10"/>
        <v>0</v>
      </c>
      <c r="E174" s="442"/>
      <c r="F174" s="442"/>
      <c r="G174" s="442"/>
      <c r="H174" s="442"/>
      <c r="I174" s="442"/>
      <c r="J174" s="442"/>
      <c r="K174" s="442">
        <v>-2755</v>
      </c>
      <c r="L174" s="442">
        <v>2755</v>
      </c>
      <c r="M174" s="442"/>
      <c r="N174" s="442"/>
      <c r="O174" s="442"/>
      <c r="P174" s="442"/>
      <c r="Q174" s="776"/>
    </row>
    <row r="175" spans="1:17" s="130" customFormat="1" ht="21.75" customHeight="1">
      <c r="A175" s="42"/>
      <c r="B175" s="217">
        <v>85154</v>
      </c>
      <c r="C175" s="129" t="s">
        <v>123</v>
      </c>
      <c r="D175" s="43">
        <f t="shared" si="10"/>
        <v>15750</v>
      </c>
      <c r="E175" s="43"/>
      <c r="F175" s="43"/>
      <c r="G175" s="43"/>
      <c r="H175" s="43"/>
      <c r="I175" s="43"/>
      <c r="J175" s="43"/>
      <c r="K175" s="43">
        <v>-70529</v>
      </c>
      <c r="L175" s="43">
        <v>70529</v>
      </c>
      <c r="M175" s="43">
        <v>9250</v>
      </c>
      <c r="N175" s="43">
        <v>6254</v>
      </c>
      <c r="O175" s="43">
        <v>246</v>
      </c>
      <c r="P175" s="43"/>
      <c r="Q175" s="776"/>
    </row>
    <row r="176" spans="1:17" s="130" customFormat="1" ht="21.75" customHeight="1">
      <c r="A176" s="42"/>
      <c r="B176" s="44">
        <v>85195</v>
      </c>
      <c r="C176" s="430" t="s">
        <v>96</v>
      </c>
      <c r="D176" s="43">
        <f t="shared" si="10"/>
        <v>0</v>
      </c>
      <c r="E176" s="431"/>
      <c r="F176" s="431"/>
      <c r="G176" s="431"/>
      <c r="H176" s="431"/>
      <c r="I176" s="431"/>
      <c r="J176" s="431"/>
      <c r="K176" s="431">
        <v>-25704</v>
      </c>
      <c r="L176" s="431">
        <v>25704</v>
      </c>
      <c r="M176" s="431"/>
      <c r="N176" s="431"/>
      <c r="O176" s="431"/>
      <c r="P176" s="431"/>
      <c r="Q176" s="776"/>
    </row>
    <row r="177" spans="1:17" s="22" customFormat="1" ht="21.75" customHeight="1">
      <c r="A177" s="38">
        <v>854</v>
      </c>
      <c r="B177" s="39"/>
      <c r="C177" s="40" t="s">
        <v>99</v>
      </c>
      <c r="D177" s="41">
        <f t="shared" si="10"/>
        <v>83314</v>
      </c>
      <c r="E177" s="41"/>
      <c r="F177" s="41"/>
      <c r="G177" s="41"/>
      <c r="H177" s="41"/>
      <c r="I177" s="41"/>
      <c r="J177" s="41"/>
      <c r="K177" s="41">
        <f aca="true" t="shared" si="16" ref="K177:P177">SUM(K178:K187)</f>
        <v>-1622808</v>
      </c>
      <c r="L177" s="41">
        <f t="shared" si="16"/>
        <v>1790458</v>
      </c>
      <c r="M177" s="41">
        <f t="shared" si="16"/>
        <v>-1376</v>
      </c>
      <c r="N177" s="41">
        <f t="shared" si="16"/>
        <v>1000</v>
      </c>
      <c r="O177" s="41">
        <f t="shared" si="16"/>
        <v>-24560</v>
      </c>
      <c r="P177" s="41">
        <f t="shared" si="16"/>
        <v>-59400</v>
      </c>
      <c r="Q177" s="773"/>
    </row>
    <row r="178" spans="1:17" s="130" customFormat="1" ht="21.75" customHeight="1">
      <c r="A178" s="216"/>
      <c r="B178" s="217">
        <v>85401</v>
      </c>
      <c r="C178" s="129" t="s">
        <v>334</v>
      </c>
      <c r="D178" s="43">
        <f t="shared" si="10"/>
        <v>1400</v>
      </c>
      <c r="E178" s="43"/>
      <c r="F178" s="43"/>
      <c r="G178" s="43"/>
      <c r="H178" s="43"/>
      <c r="I178" s="43"/>
      <c r="J178" s="43"/>
      <c r="K178" s="43">
        <v>-208349</v>
      </c>
      <c r="L178" s="43">
        <v>253149</v>
      </c>
      <c r="M178" s="43"/>
      <c r="N178" s="43">
        <v>-2000</v>
      </c>
      <c r="O178" s="43">
        <v>-2000</v>
      </c>
      <c r="P178" s="43">
        <v>-39400</v>
      </c>
      <c r="Q178" s="776"/>
    </row>
    <row r="179" spans="1:17" s="130" customFormat="1" ht="21.75" customHeight="1">
      <c r="A179" s="42"/>
      <c r="B179" s="217">
        <v>85403</v>
      </c>
      <c r="C179" s="129" t="s">
        <v>335</v>
      </c>
      <c r="D179" s="43">
        <f t="shared" si="10"/>
        <v>10500</v>
      </c>
      <c r="E179" s="43"/>
      <c r="F179" s="43"/>
      <c r="G179" s="43"/>
      <c r="H179" s="43"/>
      <c r="I179" s="43"/>
      <c r="J179" s="43"/>
      <c r="K179" s="43">
        <v>-685779</v>
      </c>
      <c r="L179" s="43">
        <v>726779</v>
      </c>
      <c r="M179" s="43">
        <v>10500</v>
      </c>
      <c r="N179" s="43"/>
      <c r="O179" s="43">
        <v>-18000</v>
      </c>
      <c r="P179" s="43">
        <v>-23000</v>
      </c>
      <c r="Q179" s="776"/>
    </row>
    <row r="180" spans="1:17" s="130" customFormat="1" ht="34.5" customHeight="1">
      <c r="A180" s="42"/>
      <c r="B180" s="217">
        <v>85406</v>
      </c>
      <c r="C180" s="129" t="s">
        <v>336</v>
      </c>
      <c r="D180" s="43">
        <f t="shared" si="10"/>
        <v>0</v>
      </c>
      <c r="E180" s="43"/>
      <c r="F180" s="43"/>
      <c r="G180" s="43"/>
      <c r="H180" s="43"/>
      <c r="I180" s="43"/>
      <c r="J180" s="43"/>
      <c r="K180" s="43">
        <v>-223726</v>
      </c>
      <c r="L180" s="43">
        <v>223726</v>
      </c>
      <c r="M180" s="43"/>
      <c r="N180" s="43"/>
      <c r="O180" s="43"/>
      <c r="P180" s="43"/>
      <c r="Q180" s="776"/>
    </row>
    <row r="181" spans="1:17" s="130" customFormat="1" ht="21.75" customHeight="1">
      <c r="A181" s="42"/>
      <c r="B181" s="217">
        <v>85407</v>
      </c>
      <c r="C181" s="129" t="s">
        <v>257</v>
      </c>
      <c r="D181" s="43">
        <f t="shared" si="10"/>
        <v>0</v>
      </c>
      <c r="E181" s="43"/>
      <c r="F181" s="43"/>
      <c r="G181" s="43"/>
      <c r="H181" s="43"/>
      <c r="I181" s="43"/>
      <c r="J181" s="43"/>
      <c r="K181" s="43">
        <v>-66601</v>
      </c>
      <c r="L181" s="43">
        <v>66601</v>
      </c>
      <c r="M181" s="43"/>
      <c r="N181" s="43"/>
      <c r="O181" s="43"/>
      <c r="P181" s="43"/>
      <c r="Q181" s="776"/>
    </row>
    <row r="182" spans="1:17" s="130" customFormat="1" ht="21.75" customHeight="1">
      <c r="A182" s="42"/>
      <c r="B182" s="217">
        <v>85410</v>
      </c>
      <c r="C182" s="129" t="s">
        <v>279</v>
      </c>
      <c r="D182" s="43">
        <f t="shared" si="10"/>
        <v>7000</v>
      </c>
      <c r="E182" s="43"/>
      <c r="F182" s="43"/>
      <c r="G182" s="43"/>
      <c r="H182" s="43"/>
      <c r="I182" s="43"/>
      <c r="J182" s="43"/>
      <c r="K182" s="43">
        <v>-83713</v>
      </c>
      <c r="L182" s="43">
        <v>117373</v>
      </c>
      <c r="M182" s="43">
        <f>-22100+3000</f>
        <v>-19100</v>
      </c>
      <c r="N182" s="43"/>
      <c r="O182" s="43">
        <v>-7560</v>
      </c>
      <c r="P182" s="43"/>
      <c r="Q182" s="776"/>
    </row>
    <row r="183" spans="1:17" s="130" customFormat="1" ht="21.75" customHeight="1">
      <c r="A183" s="44"/>
      <c r="B183" s="217">
        <v>85415</v>
      </c>
      <c r="C183" s="129" t="s">
        <v>253</v>
      </c>
      <c r="D183" s="43">
        <f t="shared" si="10"/>
        <v>224</v>
      </c>
      <c r="E183" s="43"/>
      <c r="F183" s="43"/>
      <c r="G183" s="43"/>
      <c r="H183" s="43"/>
      <c r="I183" s="43"/>
      <c r="J183" s="43"/>
      <c r="K183" s="43">
        <v>-175626</v>
      </c>
      <c r="L183" s="43">
        <v>175626</v>
      </c>
      <c r="M183" s="43">
        <v>224</v>
      </c>
      <c r="N183" s="43"/>
      <c r="O183" s="43"/>
      <c r="P183" s="43"/>
      <c r="Q183" s="776"/>
    </row>
    <row r="184" spans="1:17" s="130" customFormat="1" ht="21.75" customHeight="1">
      <c r="A184" s="42"/>
      <c r="B184" s="44">
        <v>85417</v>
      </c>
      <c r="C184" s="430" t="s">
        <v>337</v>
      </c>
      <c r="D184" s="431">
        <f t="shared" si="10"/>
        <v>0</v>
      </c>
      <c r="E184" s="431"/>
      <c r="F184" s="431"/>
      <c r="G184" s="431"/>
      <c r="H184" s="431"/>
      <c r="I184" s="431"/>
      <c r="J184" s="431"/>
      <c r="K184" s="431">
        <v>-9299</v>
      </c>
      <c r="L184" s="431">
        <v>9299</v>
      </c>
      <c r="M184" s="431"/>
      <c r="N184" s="431"/>
      <c r="O184" s="431"/>
      <c r="P184" s="431"/>
      <c r="Q184" s="776"/>
    </row>
    <row r="185" spans="1:17" s="130" customFormat="1" ht="21.75" customHeight="1">
      <c r="A185" s="42"/>
      <c r="B185" s="44">
        <v>85421</v>
      </c>
      <c r="C185" s="430" t="s">
        <v>338</v>
      </c>
      <c r="D185" s="431">
        <f t="shared" si="10"/>
        <v>0</v>
      </c>
      <c r="E185" s="431"/>
      <c r="F185" s="431"/>
      <c r="G185" s="431"/>
      <c r="H185" s="431"/>
      <c r="I185" s="431"/>
      <c r="J185" s="431"/>
      <c r="K185" s="431">
        <v>-16729</v>
      </c>
      <c r="L185" s="431">
        <v>16729</v>
      </c>
      <c r="M185" s="431"/>
      <c r="N185" s="431"/>
      <c r="O185" s="431"/>
      <c r="P185" s="431"/>
      <c r="Q185" s="776"/>
    </row>
    <row r="186" spans="1:17" s="130" customFormat="1" ht="21.75" customHeight="1">
      <c r="A186" s="42"/>
      <c r="B186" s="217">
        <v>85446</v>
      </c>
      <c r="C186" s="129" t="s">
        <v>258</v>
      </c>
      <c r="D186" s="43">
        <f t="shared" si="10"/>
        <v>0</v>
      </c>
      <c r="E186" s="43"/>
      <c r="F186" s="43"/>
      <c r="G186" s="43"/>
      <c r="H186" s="43"/>
      <c r="I186" s="43"/>
      <c r="J186" s="43"/>
      <c r="K186" s="43">
        <v>-43242</v>
      </c>
      <c r="L186" s="43">
        <v>43242</v>
      </c>
      <c r="M186" s="43"/>
      <c r="N186" s="43"/>
      <c r="O186" s="43"/>
      <c r="P186" s="43"/>
      <c r="Q186" s="776"/>
    </row>
    <row r="187" spans="1:17" s="130" customFormat="1" ht="21.75" customHeight="1">
      <c r="A187" s="44"/>
      <c r="B187" s="44">
        <v>85495</v>
      </c>
      <c r="C187" s="430" t="s">
        <v>96</v>
      </c>
      <c r="D187" s="43">
        <f aca="true" t="shared" si="17" ref="D187:D198">SUM(E187:P187)</f>
        <v>64190</v>
      </c>
      <c r="E187" s="431"/>
      <c r="F187" s="431"/>
      <c r="G187" s="431"/>
      <c r="H187" s="431"/>
      <c r="I187" s="431"/>
      <c r="J187" s="431"/>
      <c r="K187" s="431">
        <v>-109744</v>
      </c>
      <c r="L187" s="431">
        <v>157934</v>
      </c>
      <c r="M187" s="431">
        <v>7000</v>
      </c>
      <c r="N187" s="431">
        <v>3000</v>
      </c>
      <c r="O187" s="431">
        <v>3000</v>
      </c>
      <c r="P187" s="431">
        <v>3000</v>
      </c>
      <c r="Q187" s="776"/>
    </row>
    <row r="188" spans="1:17" s="22" customFormat="1" ht="21.75" customHeight="1">
      <c r="A188" s="38">
        <v>926</v>
      </c>
      <c r="B188" s="39"/>
      <c r="C188" s="40" t="s">
        <v>318</v>
      </c>
      <c r="D188" s="41">
        <f t="shared" si="17"/>
        <v>0</v>
      </c>
      <c r="E188" s="41"/>
      <c r="F188" s="41"/>
      <c r="G188" s="41"/>
      <c r="H188" s="41"/>
      <c r="I188" s="41"/>
      <c r="J188" s="41"/>
      <c r="K188" s="41">
        <f>K189</f>
        <v>-10417</v>
      </c>
      <c r="L188" s="41">
        <f>L189</f>
        <v>10417</v>
      </c>
      <c r="M188" s="41"/>
      <c r="N188" s="41"/>
      <c r="O188" s="41"/>
      <c r="P188" s="41"/>
      <c r="Q188" s="773"/>
    </row>
    <row r="189" spans="1:17" s="130" customFormat="1" ht="21.75" customHeight="1">
      <c r="A189" s="216"/>
      <c r="B189" s="217">
        <v>92605</v>
      </c>
      <c r="C189" s="129" t="s">
        <v>333</v>
      </c>
      <c r="D189" s="43">
        <f t="shared" si="17"/>
        <v>0</v>
      </c>
      <c r="E189" s="43"/>
      <c r="F189" s="43"/>
      <c r="G189" s="43"/>
      <c r="H189" s="43"/>
      <c r="I189" s="43"/>
      <c r="J189" s="43"/>
      <c r="K189" s="43">
        <v>-10417</v>
      </c>
      <c r="L189" s="43">
        <v>10417</v>
      </c>
      <c r="M189" s="43"/>
      <c r="N189" s="43"/>
      <c r="O189" s="43"/>
      <c r="P189" s="43"/>
      <c r="Q189" s="776"/>
    </row>
    <row r="190" spans="1:17" s="45" customFormat="1" ht="33.75" customHeight="1" thickBot="1">
      <c r="A190" s="198"/>
      <c r="B190" s="199"/>
      <c r="C190" s="36" t="s">
        <v>340</v>
      </c>
      <c r="D190" s="201">
        <f t="shared" si="17"/>
        <v>0</v>
      </c>
      <c r="E190" s="201"/>
      <c r="F190" s="201"/>
      <c r="G190" s="201"/>
      <c r="H190" s="201"/>
      <c r="I190" s="201"/>
      <c r="J190" s="201"/>
      <c r="K190" s="201">
        <f>K191</f>
        <v>-54435</v>
      </c>
      <c r="L190" s="201">
        <f>L191</f>
        <v>54435</v>
      </c>
      <c r="M190" s="201"/>
      <c r="N190" s="201"/>
      <c r="O190" s="201"/>
      <c r="P190" s="201"/>
      <c r="Q190" s="780"/>
    </row>
    <row r="191" spans="1:17" s="22" customFormat="1" ht="21.75" customHeight="1" thickTop="1">
      <c r="A191" s="41">
        <v>854</v>
      </c>
      <c r="B191" s="38"/>
      <c r="C191" s="40" t="s">
        <v>99</v>
      </c>
      <c r="D191" s="41">
        <f t="shared" si="17"/>
        <v>0</v>
      </c>
      <c r="E191" s="41"/>
      <c r="F191" s="41"/>
      <c r="G191" s="41"/>
      <c r="H191" s="41"/>
      <c r="I191" s="41"/>
      <c r="J191" s="41"/>
      <c r="K191" s="41">
        <f>K192</f>
        <v>-54435</v>
      </c>
      <c r="L191" s="41">
        <f>L192</f>
        <v>54435</v>
      </c>
      <c r="M191" s="41"/>
      <c r="N191" s="41"/>
      <c r="O191" s="41"/>
      <c r="P191" s="41"/>
      <c r="Q191" s="773"/>
    </row>
    <row r="192" spans="1:17" s="443" customFormat="1" ht="21.75" customHeight="1">
      <c r="A192" s="439"/>
      <c r="B192" s="440">
        <v>85415</v>
      </c>
      <c r="C192" s="129" t="s">
        <v>253</v>
      </c>
      <c r="D192" s="43">
        <f t="shared" si="17"/>
        <v>0</v>
      </c>
      <c r="E192" s="442"/>
      <c r="F192" s="442"/>
      <c r="G192" s="442"/>
      <c r="H192" s="442"/>
      <c r="I192" s="442"/>
      <c r="J192" s="431"/>
      <c r="K192" s="442">
        <v>-54435</v>
      </c>
      <c r="L192" s="442">
        <v>54435</v>
      </c>
      <c r="M192" s="442"/>
      <c r="N192" s="442"/>
      <c r="O192" s="442"/>
      <c r="P192" s="442"/>
      <c r="Q192" s="776"/>
    </row>
    <row r="193" spans="1:17" s="45" customFormat="1" ht="33.75" customHeight="1" thickBot="1">
      <c r="A193" s="198"/>
      <c r="B193" s="199"/>
      <c r="C193" s="36" t="s">
        <v>127</v>
      </c>
      <c r="D193" s="201">
        <f t="shared" si="17"/>
        <v>0</v>
      </c>
      <c r="E193" s="201"/>
      <c r="F193" s="201"/>
      <c r="G193" s="201"/>
      <c r="H193" s="201"/>
      <c r="I193" s="201"/>
      <c r="J193" s="201"/>
      <c r="K193" s="201">
        <f>K194</f>
        <v>-4500</v>
      </c>
      <c r="L193" s="201">
        <f>L194</f>
        <v>4500</v>
      </c>
      <c r="M193" s="201"/>
      <c r="N193" s="201"/>
      <c r="O193" s="201"/>
      <c r="P193" s="201"/>
      <c r="Q193" s="780"/>
    </row>
    <row r="194" spans="1:17" s="22" customFormat="1" ht="21.75" customHeight="1" thickTop="1">
      <c r="A194" s="41">
        <v>854</v>
      </c>
      <c r="B194" s="38"/>
      <c r="C194" s="40" t="s">
        <v>99</v>
      </c>
      <c r="D194" s="41">
        <f t="shared" si="17"/>
        <v>0</v>
      </c>
      <c r="E194" s="41"/>
      <c r="F194" s="41"/>
      <c r="G194" s="41"/>
      <c r="H194" s="41"/>
      <c r="I194" s="41"/>
      <c r="J194" s="41"/>
      <c r="K194" s="41">
        <f>K195</f>
        <v>-4500</v>
      </c>
      <c r="L194" s="41">
        <f>L195</f>
        <v>4500</v>
      </c>
      <c r="M194" s="41"/>
      <c r="N194" s="41"/>
      <c r="O194" s="41"/>
      <c r="P194" s="41"/>
      <c r="Q194" s="773"/>
    </row>
    <row r="195" spans="1:17" s="443" customFormat="1" ht="21.75" customHeight="1">
      <c r="A195" s="439"/>
      <c r="B195" s="217">
        <v>85401</v>
      </c>
      <c r="C195" s="129" t="s">
        <v>334</v>
      </c>
      <c r="D195" s="43">
        <f t="shared" si="17"/>
        <v>0</v>
      </c>
      <c r="E195" s="442"/>
      <c r="F195" s="442"/>
      <c r="G195" s="442"/>
      <c r="H195" s="442"/>
      <c r="I195" s="442"/>
      <c r="J195" s="431"/>
      <c r="K195" s="442">
        <v>-4500</v>
      </c>
      <c r="L195" s="442">
        <v>4500</v>
      </c>
      <c r="M195" s="442"/>
      <c r="N195" s="442"/>
      <c r="O195" s="442"/>
      <c r="P195" s="442"/>
      <c r="Q195" s="776"/>
    </row>
    <row r="196" spans="1:17" s="45" customFormat="1" ht="49.5" customHeight="1" thickBot="1">
      <c r="A196" s="198"/>
      <c r="B196" s="199"/>
      <c r="C196" s="645" t="s">
        <v>128</v>
      </c>
      <c r="D196" s="201">
        <f t="shared" si="17"/>
        <v>0</v>
      </c>
      <c r="E196" s="201"/>
      <c r="F196" s="201"/>
      <c r="G196" s="201"/>
      <c r="H196" s="201"/>
      <c r="I196" s="201"/>
      <c r="J196" s="201"/>
      <c r="K196" s="201">
        <f>K197</f>
        <v>-132</v>
      </c>
      <c r="L196" s="201">
        <f>L197</f>
        <v>132</v>
      </c>
      <c r="M196" s="201"/>
      <c r="N196" s="201"/>
      <c r="O196" s="201"/>
      <c r="P196" s="201"/>
      <c r="Q196" s="780"/>
    </row>
    <row r="197" spans="1:17" s="22" customFormat="1" ht="21.75" customHeight="1" thickTop="1">
      <c r="A197" s="41">
        <v>851</v>
      </c>
      <c r="B197" s="38"/>
      <c r="C197" s="423" t="s">
        <v>100</v>
      </c>
      <c r="D197" s="41">
        <f t="shared" si="17"/>
        <v>0</v>
      </c>
      <c r="E197" s="41"/>
      <c r="F197" s="41"/>
      <c r="G197" s="41"/>
      <c r="H197" s="41"/>
      <c r="I197" s="41"/>
      <c r="J197" s="41"/>
      <c r="K197" s="41">
        <f>K198</f>
        <v>-132</v>
      </c>
      <c r="L197" s="41">
        <f>L198</f>
        <v>132</v>
      </c>
      <c r="M197" s="41"/>
      <c r="N197" s="41"/>
      <c r="O197" s="41"/>
      <c r="P197" s="41"/>
      <c r="Q197" s="773"/>
    </row>
    <row r="198" spans="1:17" s="443" customFormat="1" ht="47.25" customHeight="1">
      <c r="A198" s="444"/>
      <c r="B198" s="440">
        <v>85156</v>
      </c>
      <c r="C198" s="129" t="s">
        <v>339</v>
      </c>
      <c r="D198" s="43">
        <f t="shared" si="17"/>
        <v>0</v>
      </c>
      <c r="E198" s="442"/>
      <c r="F198" s="442"/>
      <c r="G198" s="442"/>
      <c r="H198" s="442"/>
      <c r="I198" s="442"/>
      <c r="J198" s="442"/>
      <c r="K198" s="442">
        <v>-132</v>
      </c>
      <c r="L198" s="442">
        <v>132</v>
      </c>
      <c r="M198" s="442"/>
      <c r="N198" s="442"/>
      <c r="O198" s="442"/>
      <c r="P198" s="442"/>
      <c r="Q198" s="776"/>
    </row>
    <row r="199" spans="3:16" ht="30" customHeight="1">
      <c r="C199" s="46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3:16" ht="33.75" customHeight="1"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3:16" ht="30" customHeight="1">
      <c r="C201" s="1201" t="s">
        <v>562</v>
      </c>
      <c r="D201" s="1201" t="s">
        <v>559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3:16" ht="24" customHeight="1">
      <c r="C202" s="1201" t="s">
        <v>563</v>
      </c>
      <c r="D202" s="1201" t="s">
        <v>560</v>
      </c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3:16" ht="29.25" customHeight="1">
      <c r="C203" s="1201" t="s">
        <v>558</v>
      </c>
      <c r="D203" s="1201" t="s">
        <v>561</v>
      </c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3:16" ht="35.25" customHeight="1">
      <c r="C204" s="46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3:16" ht="35.25" customHeight="1">
      <c r="C205" s="46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3:16" ht="30" customHeight="1">
      <c r="C206" s="46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3:16" ht="30" customHeight="1">
      <c r="C207" s="46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3:16" ht="30" customHeight="1">
      <c r="C208" s="46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3:16" ht="30" customHeight="1">
      <c r="C209" s="46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3:16" ht="30" customHeight="1">
      <c r="C210" s="46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3:16" ht="30" customHeight="1">
      <c r="C211" s="46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3:16" ht="30" customHeight="1">
      <c r="C212" s="46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3:16" ht="30" customHeight="1">
      <c r="C213" s="46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3:16" ht="30" customHeight="1">
      <c r="C214" s="46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3:16" ht="30" customHeight="1"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3:16" ht="30" customHeight="1"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3:16" ht="30" customHeight="1"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3:16" ht="30" customHeight="1"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3:16" ht="30" customHeight="1"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3:16" ht="30" customHeight="1">
      <c r="C220" s="46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3:16" ht="30" customHeight="1">
      <c r="C221" s="46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3:16" ht="48.75" customHeight="1"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3:16" ht="48.75" customHeight="1">
      <c r="C223" s="46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3:16" ht="48.75" customHeight="1"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3:16" ht="30" customHeight="1">
      <c r="C225" s="46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3:16" ht="30" customHeight="1"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3:16" ht="30" customHeight="1">
      <c r="C227" s="46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3:16" ht="30" customHeight="1"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3:16" ht="30" customHeight="1"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3:16" ht="30" customHeight="1">
      <c r="C230" s="46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ht="30" customHeight="1">
      <c r="C231" s="46"/>
    </row>
    <row r="232" ht="30" customHeight="1">
      <c r="C232" s="46"/>
    </row>
    <row r="233" ht="30" customHeight="1">
      <c r="C233" s="46"/>
    </row>
    <row r="234" ht="30" customHeight="1">
      <c r="C234" s="46"/>
    </row>
    <row r="235" ht="30" customHeight="1">
      <c r="C235" s="46"/>
    </row>
    <row r="236" ht="30" customHeight="1">
      <c r="C236" s="46"/>
    </row>
    <row r="237" ht="30" customHeight="1">
      <c r="C237" s="46"/>
    </row>
    <row r="238" ht="30" customHeight="1">
      <c r="C238" s="46"/>
    </row>
    <row r="239" ht="30" customHeight="1">
      <c r="C239" s="46"/>
    </row>
    <row r="240" ht="30" customHeight="1">
      <c r="C240" s="46"/>
    </row>
    <row r="241" ht="106.5" customHeight="1">
      <c r="C241" s="46"/>
    </row>
    <row r="242" ht="77.25" customHeight="1">
      <c r="C242" s="46"/>
    </row>
    <row r="243" ht="30" customHeight="1">
      <c r="C243" s="46"/>
    </row>
    <row r="244" ht="28.5" customHeight="1">
      <c r="C244" s="46"/>
    </row>
    <row r="245" ht="30" customHeight="1">
      <c r="C245" s="46"/>
    </row>
    <row r="246" ht="21.75" customHeight="1">
      <c r="C246" s="46"/>
    </row>
    <row r="247" ht="30" customHeight="1">
      <c r="C247" s="46"/>
    </row>
    <row r="248" ht="30" customHeight="1">
      <c r="C248" s="46"/>
    </row>
    <row r="249" ht="27.75" customHeight="1">
      <c r="C249" s="46"/>
    </row>
    <row r="250" ht="33" customHeight="1">
      <c r="C250" s="46"/>
    </row>
    <row r="251" ht="32.25" customHeight="1">
      <c r="C251" s="46"/>
    </row>
    <row r="252" ht="21" customHeight="1">
      <c r="C252" s="46"/>
    </row>
    <row r="253" ht="30" customHeight="1">
      <c r="C253" s="46"/>
    </row>
    <row r="254" ht="24" customHeight="1">
      <c r="C254" s="46"/>
    </row>
    <row r="255" ht="24.75" customHeight="1">
      <c r="C255" s="46"/>
    </row>
    <row r="256" ht="24.75" customHeight="1">
      <c r="C256" s="46"/>
    </row>
    <row r="257" ht="26.25" customHeight="1">
      <c r="C257" s="46"/>
    </row>
    <row r="258" ht="24" customHeight="1">
      <c r="C258" s="46"/>
    </row>
    <row r="259" ht="24" customHeight="1">
      <c r="C259" s="46"/>
    </row>
    <row r="260" ht="24.75" customHeight="1">
      <c r="C260" s="46"/>
    </row>
    <row r="261" ht="33.75" customHeight="1">
      <c r="C261" s="46"/>
    </row>
    <row r="262" ht="33.75" customHeight="1">
      <c r="C262" s="46"/>
    </row>
    <row r="263" ht="39.75" customHeight="1">
      <c r="C263" s="46"/>
    </row>
    <row r="264" spans="1:17" s="48" customFormat="1" ht="21.75" customHeight="1">
      <c r="A264" s="1"/>
      <c r="B264" s="1"/>
      <c r="C264" s="4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780"/>
    </row>
    <row r="265" ht="24.75" customHeight="1">
      <c r="C265" s="46"/>
    </row>
    <row r="266" ht="49.5" customHeight="1">
      <c r="C266" s="46"/>
    </row>
    <row r="267" ht="30.75" customHeight="1">
      <c r="C267" s="46"/>
    </row>
    <row r="268" ht="27.75" customHeight="1">
      <c r="C268" s="46"/>
    </row>
    <row r="269" ht="18">
      <c r="C269" s="46"/>
    </row>
    <row r="270" ht="18">
      <c r="C270" s="46"/>
    </row>
    <row r="271" ht="18">
      <c r="C271" s="46"/>
    </row>
    <row r="272" ht="18">
      <c r="C272" s="46"/>
    </row>
    <row r="273" ht="18">
      <c r="C273" s="46"/>
    </row>
    <row r="274" ht="18">
      <c r="C274" s="46"/>
    </row>
    <row r="275" ht="18">
      <c r="C275" s="46"/>
    </row>
    <row r="276" ht="18">
      <c r="C276" s="46"/>
    </row>
    <row r="277" ht="18">
      <c r="C277" s="46"/>
    </row>
    <row r="278" ht="18">
      <c r="C278" s="46"/>
    </row>
    <row r="279" ht="18">
      <c r="C279" s="46"/>
    </row>
    <row r="280" ht="18">
      <c r="C280" s="46"/>
    </row>
    <row r="281" ht="18">
      <c r="C281" s="46"/>
    </row>
    <row r="282" ht="18">
      <c r="C282" s="46"/>
    </row>
    <row r="283" ht="18">
      <c r="C283" s="46"/>
    </row>
    <row r="284" ht="18">
      <c r="C284" s="46"/>
    </row>
    <row r="285" ht="18">
      <c r="C285" s="46"/>
    </row>
    <row r="286" ht="18">
      <c r="C286" s="46"/>
    </row>
    <row r="287" ht="18">
      <c r="C287" s="46"/>
    </row>
    <row r="288" ht="18">
      <c r="C288" s="46"/>
    </row>
    <row r="289" ht="18">
      <c r="C289" s="46"/>
    </row>
    <row r="290" ht="18">
      <c r="C290" s="46"/>
    </row>
    <row r="291" ht="18">
      <c r="C291" s="46"/>
    </row>
    <row r="292" ht="18">
      <c r="C292" s="46"/>
    </row>
    <row r="293" ht="18">
      <c r="C293" s="46"/>
    </row>
    <row r="294" ht="18">
      <c r="C294" s="46"/>
    </row>
    <row r="295" ht="18">
      <c r="C295" s="46"/>
    </row>
    <row r="296" ht="18">
      <c r="C296" s="46"/>
    </row>
    <row r="297" ht="18">
      <c r="C297" s="46"/>
    </row>
    <row r="298" ht="18">
      <c r="C298" s="46"/>
    </row>
    <row r="299" ht="18">
      <c r="C299" s="46"/>
    </row>
    <row r="300" ht="18">
      <c r="C300" s="46"/>
    </row>
    <row r="301" ht="18">
      <c r="C301" s="46"/>
    </row>
    <row r="302" ht="18">
      <c r="C302" s="46"/>
    </row>
    <row r="303" ht="18">
      <c r="C303" s="46"/>
    </row>
    <row r="304" ht="18">
      <c r="C304" s="46"/>
    </row>
    <row r="305" ht="18">
      <c r="C305" s="46"/>
    </row>
    <row r="306" ht="18">
      <c r="C306" s="46"/>
    </row>
    <row r="307" ht="18">
      <c r="C307" s="46"/>
    </row>
    <row r="308" ht="18">
      <c r="C308" s="46"/>
    </row>
    <row r="309" ht="18">
      <c r="C309" s="46"/>
    </row>
    <row r="310" ht="18">
      <c r="C310" s="46"/>
    </row>
    <row r="311" ht="18">
      <c r="C311" s="46"/>
    </row>
    <row r="312" ht="18">
      <c r="C312" s="46"/>
    </row>
    <row r="313" ht="18">
      <c r="C313" s="46"/>
    </row>
    <row r="314" ht="18">
      <c r="C314" s="46"/>
    </row>
    <row r="315" ht="18">
      <c r="C315" s="46"/>
    </row>
    <row r="316" ht="18">
      <c r="C316" s="46"/>
    </row>
    <row r="317" ht="18">
      <c r="C317" s="46"/>
    </row>
    <row r="318" ht="18">
      <c r="C318" s="46"/>
    </row>
    <row r="319" ht="18">
      <c r="C319" s="46"/>
    </row>
    <row r="320" ht="18">
      <c r="C320" s="46"/>
    </row>
    <row r="321" ht="18">
      <c r="C321" s="46"/>
    </row>
    <row r="322" ht="18">
      <c r="C322" s="46"/>
    </row>
    <row r="323" ht="18">
      <c r="C323" s="46"/>
    </row>
    <row r="324" ht="18">
      <c r="C324" s="46"/>
    </row>
    <row r="325" ht="18">
      <c r="C325" s="46"/>
    </row>
    <row r="326" ht="18">
      <c r="C326" s="46"/>
    </row>
    <row r="327" ht="18">
      <c r="C327" s="46"/>
    </row>
    <row r="328" ht="18">
      <c r="C328" s="46"/>
    </row>
    <row r="329" ht="18">
      <c r="C329" s="46"/>
    </row>
    <row r="330" ht="18">
      <c r="C330" s="46"/>
    </row>
    <row r="331" ht="18">
      <c r="C331" s="46"/>
    </row>
    <row r="332" ht="18">
      <c r="C332" s="46"/>
    </row>
    <row r="333" ht="18">
      <c r="C333" s="46"/>
    </row>
    <row r="334" ht="18">
      <c r="C334" s="46"/>
    </row>
    <row r="335" ht="18">
      <c r="C335" s="46"/>
    </row>
    <row r="336" ht="18">
      <c r="C336" s="46"/>
    </row>
    <row r="337" ht="18">
      <c r="C337" s="46"/>
    </row>
    <row r="338" ht="18">
      <c r="C338" s="46"/>
    </row>
    <row r="339" ht="18">
      <c r="C339" s="46"/>
    </row>
    <row r="340" ht="18">
      <c r="C340" s="46"/>
    </row>
    <row r="341" ht="18">
      <c r="C341" s="46"/>
    </row>
    <row r="342" ht="18">
      <c r="C342" s="46"/>
    </row>
    <row r="343" ht="18">
      <c r="C343" s="46"/>
    </row>
    <row r="344" ht="18">
      <c r="C344" s="46"/>
    </row>
    <row r="345" ht="18">
      <c r="C345" s="46"/>
    </row>
    <row r="346" ht="18">
      <c r="C346" s="46"/>
    </row>
    <row r="347" ht="18">
      <c r="C347" s="46"/>
    </row>
    <row r="348" ht="18">
      <c r="C348" s="46"/>
    </row>
    <row r="349" ht="18">
      <c r="C349" s="46"/>
    </row>
    <row r="350" ht="18">
      <c r="C350" s="46"/>
    </row>
    <row r="351" ht="18">
      <c r="C351" s="46"/>
    </row>
    <row r="352" ht="18">
      <c r="C352" s="46"/>
    </row>
    <row r="353" ht="18">
      <c r="C353" s="46"/>
    </row>
    <row r="354" ht="18">
      <c r="C354" s="46"/>
    </row>
    <row r="355" ht="18">
      <c r="C355" s="46"/>
    </row>
    <row r="356" ht="18">
      <c r="C356" s="46"/>
    </row>
    <row r="357" ht="18">
      <c r="C357" s="46"/>
    </row>
    <row r="358" ht="18">
      <c r="C358" s="46"/>
    </row>
    <row r="359" ht="18">
      <c r="C359" s="46"/>
    </row>
    <row r="360" ht="18">
      <c r="C360" s="46"/>
    </row>
    <row r="361" ht="18">
      <c r="C361" s="46"/>
    </row>
    <row r="362" ht="18">
      <c r="C362" s="46"/>
    </row>
    <row r="363" ht="18">
      <c r="C363" s="46"/>
    </row>
    <row r="364" ht="18">
      <c r="C364" s="46"/>
    </row>
    <row r="365" ht="18">
      <c r="C365" s="46"/>
    </row>
    <row r="366" ht="18">
      <c r="C366" s="46"/>
    </row>
    <row r="367" ht="18">
      <c r="C367" s="46"/>
    </row>
    <row r="368" ht="18">
      <c r="C368" s="46"/>
    </row>
    <row r="369" ht="18">
      <c r="C369" s="46"/>
    </row>
    <row r="370" ht="18">
      <c r="C370" s="46"/>
    </row>
    <row r="371" ht="18">
      <c r="C371" s="46"/>
    </row>
    <row r="372" ht="18">
      <c r="C372" s="46"/>
    </row>
    <row r="373" ht="18">
      <c r="C373" s="46"/>
    </row>
    <row r="374" ht="18">
      <c r="C374" s="46"/>
    </row>
    <row r="375" ht="18">
      <c r="C375" s="46"/>
    </row>
    <row r="376" ht="18">
      <c r="C376" s="46"/>
    </row>
    <row r="377" ht="18">
      <c r="C377" s="46"/>
    </row>
    <row r="378" ht="18">
      <c r="C378" s="46"/>
    </row>
    <row r="379" ht="18">
      <c r="C379" s="46"/>
    </row>
    <row r="380" ht="18">
      <c r="C380" s="46"/>
    </row>
    <row r="381" ht="18">
      <c r="C381" s="46"/>
    </row>
    <row r="382" ht="18">
      <c r="C382" s="46"/>
    </row>
    <row r="383" ht="18">
      <c r="C383" s="46"/>
    </row>
    <row r="384" ht="18">
      <c r="C384" s="46"/>
    </row>
    <row r="385" ht="18">
      <c r="C385" s="46"/>
    </row>
    <row r="386" ht="18">
      <c r="C386" s="46"/>
    </row>
    <row r="387" ht="18">
      <c r="C387" s="46"/>
    </row>
    <row r="388" ht="18">
      <c r="C388" s="46"/>
    </row>
    <row r="389" ht="18">
      <c r="C389" s="46"/>
    </row>
    <row r="390" ht="18">
      <c r="C390" s="46"/>
    </row>
    <row r="391" ht="18">
      <c r="C391" s="46"/>
    </row>
    <row r="392" ht="18">
      <c r="C392" s="46"/>
    </row>
    <row r="393" ht="18">
      <c r="C393" s="46"/>
    </row>
    <row r="394" ht="18">
      <c r="C394" s="46"/>
    </row>
    <row r="395" ht="18">
      <c r="C395" s="46"/>
    </row>
    <row r="396" ht="18">
      <c r="C396" s="46"/>
    </row>
    <row r="397" ht="18">
      <c r="C397" s="46"/>
    </row>
    <row r="398" ht="18">
      <c r="C398" s="46"/>
    </row>
    <row r="399" ht="18">
      <c r="C399" s="46"/>
    </row>
    <row r="400" ht="18">
      <c r="C400" s="46"/>
    </row>
    <row r="401" ht="18">
      <c r="C401" s="46"/>
    </row>
    <row r="402" ht="18">
      <c r="C402" s="46"/>
    </row>
    <row r="403" ht="18">
      <c r="C403" s="46"/>
    </row>
    <row r="404" ht="18">
      <c r="C404" s="46"/>
    </row>
    <row r="405" ht="18">
      <c r="C405" s="46"/>
    </row>
    <row r="406" ht="18">
      <c r="C406" s="46"/>
    </row>
    <row r="407" ht="18">
      <c r="C407" s="46"/>
    </row>
    <row r="408" ht="18">
      <c r="C408" s="46"/>
    </row>
    <row r="409" ht="18">
      <c r="C409" s="46"/>
    </row>
    <row r="410" ht="18">
      <c r="C410" s="46"/>
    </row>
    <row r="411" ht="18">
      <c r="C411" s="46"/>
    </row>
    <row r="412" ht="18">
      <c r="C412" s="46"/>
    </row>
    <row r="413" ht="18">
      <c r="C413" s="46"/>
    </row>
    <row r="414" ht="18">
      <c r="C414" s="46"/>
    </row>
    <row r="415" ht="18">
      <c r="C415" s="46"/>
    </row>
    <row r="416" ht="18">
      <c r="C416" s="46"/>
    </row>
    <row r="417" ht="18">
      <c r="C417" s="46"/>
    </row>
    <row r="418" ht="18">
      <c r="C418" s="46"/>
    </row>
    <row r="419" ht="18">
      <c r="C419" s="46"/>
    </row>
    <row r="420" ht="18">
      <c r="C420" s="46"/>
    </row>
    <row r="421" ht="18">
      <c r="C421" s="46"/>
    </row>
    <row r="422" ht="18">
      <c r="C422" s="46"/>
    </row>
    <row r="423" ht="18">
      <c r="C423" s="46"/>
    </row>
    <row r="424" ht="18">
      <c r="C424" s="46"/>
    </row>
    <row r="425" ht="18">
      <c r="C425" s="46"/>
    </row>
    <row r="426" ht="18">
      <c r="C426" s="46"/>
    </row>
    <row r="427" ht="18">
      <c r="C427" s="46"/>
    </row>
    <row r="428" ht="18">
      <c r="C428" s="46"/>
    </row>
    <row r="429" ht="18">
      <c r="C429" s="46"/>
    </row>
    <row r="430" ht="18">
      <c r="C430" s="46"/>
    </row>
    <row r="431" ht="18">
      <c r="C431" s="46"/>
    </row>
    <row r="432" ht="18">
      <c r="C432" s="46"/>
    </row>
    <row r="433" ht="18">
      <c r="C433" s="46"/>
    </row>
    <row r="434" ht="18">
      <c r="C434" s="46"/>
    </row>
    <row r="435" ht="18">
      <c r="C435" s="46"/>
    </row>
    <row r="436" ht="18">
      <c r="C436" s="46"/>
    </row>
    <row r="437" ht="18">
      <c r="C437" s="46"/>
    </row>
    <row r="438" ht="18">
      <c r="C438" s="46"/>
    </row>
    <row r="439" ht="18">
      <c r="C439" s="46"/>
    </row>
    <row r="440" ht="18">
      <c r="C440" s="46"/>
    </row>
    <row r="441" ht="18">
      <c r="C441" s="46"/>
    </row>
    <row r="442" ht="18">
      <c r="C442" s="46"/>
    </row>
    <row r="443" ht="18">
      <c r="C443" s="46"/>
    </row>
    <row r="444" ht="18">
      <c r="C444" s="46"/>
    </row>
    <row r="445" ht="18">
      <c r="C445" s="46"/>
    </row>
    <row r="446" ht="18">
      <c r="C446" s="46"/>
    </row>
    <row r="447" ht="18">
      <c r="C447" s="46"/>
    </row>
    <row r="448" ht="18">
      <c r="C448" s="46"/>
    </row>
    <row r="449" ht="18">
      <c r="C449" s="46"/>
    </row>
    <row r="450" ht="18">
      <c r="C450" s="46"/>
    </row>
    <row r="451" ht="18">
      <c r="C451" s="46"/>
    </row>
  </sheetData>
  <printOptions horizontalCentered="1"/>
  <pageMargins left="0.3937007874015748" right="0.3937007874015748" top="0.6692913385826772" bottom="0.4724409448818898" header="0.3937007874015748" footer="0.35433070866141736"/>
  <pageSetup firstPageNumber="48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4" sqref="G4"/>
    </sheetView>
  </sheetViews>
  <sheetFormatPr defaultColWidth="9.00390625" defaultRowHeight="12.75"/>
  <cols>
    <col min="1" max="1" width="5.25390625" style="22" customWidth="1"/>
    <col min="2" max="2" width="8.125" style="22" customWidth="1"/>
    <col min="3" max="3" width="58.875" style="22" customWidth="1"/>
    <col min="4" max="4" width="17.375" style="22" customWidth="1"/>
    <col min="5" max="5" width="12.75390625" style="22" customWidth="1"/>
    <col min="6" max="6" width="13.75390625" style="22" customWidth="1"/>
    <col min="7" max="7" width="16.75390625" style="22" customWidth="1"/>
    <col min="8" max="9" width="12.75390625" style="22" customWidth="1"/>
    <col min="10" max="10" width="10.375" style="0" customWidth="1"/>
    <col min="11" max="12" width="12.75390625" style="0" customWidth="1"/>
  </cols>
  <sheetData>
    <row r="1" spans="3:8" ht="18" customHeight="1">
      <c r="C1" s="168"/>
      <c r="E1" s="169"/>
      <c r="F1" s="169"/>
      <c r="H1" s="169" t="s">
        <v>410</v>
      </c>
    </row>
    <row r="2" spans="1:8" ht="18" customHeight="1">
      <c r="A2" s="170" t="s">
        <v>131</v>
      </c>
      <c r="B2" s="169"/>
      <c r="C2" s="169"/>
      <c r="E2" s="171"/>
      <c r="F2" s="171"/>
      <c r="H2" s="171" t="s">
        <v>538</v>
      </c>
    </row>
    <row r="3" spans="1:8" ht="18" customHeight="1">
      <c r="A3" s="170" t="s">
        <v>132</v>
      </c>
      <c r="B3" s="169"/>
      <c r="C3" s="169"/>
      <c r="E3" s="171"/>
      <c r="F3" s="171"/>
      <c r="H3" s="171" t="s">
        <v>67</v>
      </c>
    </row>
    <row r="4" spans="1:8" ht="18" customHeight="1">
      <c r="A4" s="170" t="s">
        <v>133</v>
      </c>
      <c r="B4" s="169"/>
      <c r="C4" s="169"/>
      <c r="E4" s="171"/>
      <c r="F4" s="171"/>
      <c r="H4" s="171" t="s">
        <v>443</v>
      </c>
    </row>
    <row r="5" spans="4:9" ht="22.5" customHeight="1" thickBot="1">
      <c r="D5" s="172"/>
      <c r="E5" s="172"/>
      <c r="F5" s="172"/>
      <c r="H5" s="172"/>
      <c r="I5" s="172" t="s">
        <v>68</v>
      </c>
    </row>
    <row r="6" spans="1:9" ht="33" customHeight="1" thickTop="1">
      <c r="A6" s="173"/>
      <c r="B6" s="173"/>
      <c r="C6" s="174" t="s">
        <v>106</v>
      </c>
      <c r="D6" s="1196" t="s">
        <v>353</v>
      </c>
      <c r="E6" s="1193" t="s">
        <v>134</v>
      </c>
      <c r="F6" s="1193" t="s">
        <v>352</v>
      </c>
      <c r="G6" s="1196" t="s">
        <v>143</v>
      </c>
      <c r="H6" s="1193" t="s">
        <v>134</v>
      </c>
      <c r="I6" s="1193" t="s">
        <v>135</v>
      </c>
    </row>
    <row r="7" spans="1:9" ht="61.5" customHeight="1" thickBot="1">
      <c r="A7" s="175" t="s">
        <v>72</v>
      </c>
      <c r="B7" s="176" t="s">
        <v>136</v>
      </c>
      <c r="C7" s="177" t="s">
        <v>137</v>
      </c>
      <c r="D7" s="1197"/>
      <c r="E7" s="1199"/>
      <c r="F7" s="1165"/>
      <c r="G7" s="1198"/>
      <c r="H7" s="1194"/>
      <c r="I7" s="1195"/>
    </row>
    <row r="8" spans="1:9" ht="14.25" customHeight="1" thickBot="1" thickTop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7.25" customHeight="1" thickBot="1" thickTop="1">
      <c r="A9" s="178"/>
      <c r="B9" s="178"/>
      <c r="C9" s="679" t="s">
        <v>138</v>
      </c>
      <c r="D9" s="680">
        <v>106409034</v>
      </c>
      <c r="E9" s="680">
        <f>E11+E12</f>
        <v>59172</v>
      </c>
      <c r="F9" s="680">
        <f>D9+E9</f>
        <v>106468206</v>
      </c>
      <c r="G9" s="680">
        <v>99373034</v>
      </c>
      <c r="H9" s="680">
        <f>H11+H12</f>
        <v>59172</v>
      </c>
      <c r="I9" s="680">
        <f>G9+H9</f>
        <v>99432206</v>
      </c>
      <c r="J9" s="147"/>
    </row>
    <row r="10" spans="1:10" ht="11.25" customHeight="1">
      <c r="A10" s="66"/>
      <c r="B10" s="66"/>
      <c r="C10" s="179" t="s">
        <v>89</v>
      </c>
      <c r="D10" s="180"/>
      <c r="E10" s="180"/>
      <c r="F10" s="180"/>
      <c r="G10" s="180"/>
      <c r="H10" s="180"/>
      <c r="I10" s="180"/>
      <c r="J10" s="147"/>
    </row>
    <row r="11" spans="1:10" ht="19.5" customHeight="1" thickBot="1">
      <c r="A11" s="181"/>
      <c r="B11" s="181"/>
      <c r="C11" s="681" t="s">
        <v>139</v>
      </c>
      <c r="D11" s="682">
        <v>78739529</v>
      </c>
      <c r="E11" s="682"/>
      <c r="F11" s="682">
        <f aca="true" t="shared" si="0" ref="F11:F16">D11+E11</f>
        <v>78739529</v>
      </c>
      <c r="G11" s="682">
        <v>77259529</v>
      </c>
      <c r="H11" s="682"/>
      <c r="I11" s="682">
        <f aca="true" t="shared" si="1" ref="I11:I33">G11+H11</f>
        <v>77259529</v>
      </c>
      <c r="J11" s="147"/>
    </row>
    <row r="12" spans="1:10" ht="30" customHeight="1" thickTop="1">
      <c r="A12" s="188"/>
      <c r="B12" s="189"/>
      <c r="C12" s="859" t="s">
        <v>140</v>
      </c>
      <c r="D12" s="700">
        <v>27669505</v>
      </c>
      <c r="E12" s="700">
        <f>E34+E19+E13</f>
        <v>59172</v>
      </c>
      <c r="F12" s="700">
        <f t="shared" si="0"/>
        <v>27728677</v>
      </c>
      <c r="G12" s="700">
        <v>22113505</v>
      </c>
      <c r="H12" s="700">
        <f>H34+H19+H13</f>
        <v>59172</v>
      </c>
      <c r="I12" s="700">
        <f t="shared" si="1"/>
        <v>22172677</v>
      </c>
      <c r="J12" s="147"/>
    </row>
    <row r="13" spans="1:10" ht="19.5" customHeight="1">
      <c r="A13" s="182">
        <v>700</v>
      </c>
      <c r="B13" s="72"/>
      <c r="C13" s="227" t="s">
        <v>129</v>
      </c>
      <c r="D13" s="74">
        <v>6108000</v>
      </c>
      <c r="E13" s="74">
        <f>E14</f>
        <v>1251</v>
      </c>
      <c r="F13" s="74">
        <f t="shared" si="0"/>
        <v>6109251</v>
      </c>
      <c r="G13" s="74">
        <v>708000</v>
      </c>
      <c r="H13" s="74">
        <f>H14</f>
        <v>1251</v>
      </c>
      <c r="I13" s="74">
        <f t="shared" si="1"/>
        <v>709251</v>
      </c>
      <c r="J13" s="147"/>
    </row>
    <row r="14" spans="1:10" ht="19.5" customHeight="1">
      <c r="A14" s="183"/>
      <c r="B14" s="184">
        <v>70005</v>
      </c>
      <c r="C14" s="226" t="s">
        <v>130</v>
      </c>
      <c r="D14" s="185">
        <v>6108000</v>
      </c>
      <c r="E14" s="185">
        <f>E15</f>
        <v>1251</v>
      </c>
      <c r="F14" s="185">
        <f t="shared" si="0"/>
        <v>6109251</v>
      </c>
      <c r="G14" s="185">
        <v>708000</v>
      </c>
      <c r="H14" s="185">
        <f>H17</f>
        <v>1251</v>
      </c>
      <c r="I14" s="185">
        <f t="shared" si="1"/>
        <v>709251</v>
      </c>
      <c r="J14" s="147"/>
    </row>
    <row r="15" spans="1:10" ht="28.5" customHeight="1">
      <c r="A15" s="81"/>
      <c r="B15" s="530"/>
      <c r="C15" s="458" t="s">
        <v>553</v>
      </c>
      <c r="D15" s="186">
        <v>708000</v>
      </c>
      <c r="E15" s="186">
        <f>E16</f>
        <v>1251</v>
      </c>
      <c r="F15" s="186">
        <f t="shared" si="0"/>
        <v>709251</v>
      </c>
      <c r="G15" s="186"/>
      <c r="H15" s="186"/>
      <c r="I15" s="186"/>
      <c r="J15" s="147"/>
    </row>
    <row r="16" spans="1:12" s="45" customFormat="1" ht="40.5" customHeight="1">
      <c r="A16" s="81"/>
      <c r="B16" s="529">
        <v>2110</v>
      </c>
      <c r="C16" s="229" t="s">
        <v>552</v>
      </c>
      <c r="D16" s="187">
        <v>708000</v>
      </c>
      <c r="E16" s="187">
        <v>1251</v>
      </c>
      <c r="F16" s="187">
        <f t="shared" si="0"/>
        <v>709251</v>
      </c>
      <c r="G16" s="187"/>
      <c r="H16" s="187"/>
      <c r="I16" s="187"/>
      <c r="J16" s="147"/>
      <c r="K16"/>
      <c r="L16"/>
    </row>
    <row r="17" spans="1:10" s="266" customFormat="1" ht="19.5" customHeight="1">
      <c r="A17" s="213"/>
      <c r="B17" s="522"/>
      <c r="C17" s="792" t="s">
        <v>29</v>
      </c>
      <c r="D17" s="412"/>
      <c r="E17" s="412"/>
      <c r="F17" s="412"/>
      <c r="G17" s="412">
        <v>708000</v>
      </c>
      <c r="H17" s="413">
        <f>H18</f>
        <v>1251</v>
      </c>
      <c r="I17" s="412">
        <f t="shared" si="1"/>
        <v>709251</v>
      </c>
      <c r="J17" s="224"/>
    </row>
    <row r="18" spans="1:12" s="45" customFormat="1" ht="19.5" customHeight="1">
      <c r="A18" s="81"/>
      <c r="B18" s="167">
        <v>4300</v>
      </c>
      <c r="C18" s="747" t="s">
        <v>114</v>
      </c>
      <c r="D18" s="187"/>
      <c r="E18" s="187"/>
      <c r="F18" s="187"/>
      <c r="G18" s="187">
        <v>244330</v>
      </c>
      <c r="H18" s="144">
        <v>1251</v>
      </c>
      <c r="I18" s="187">
        <f t="shared" si="1"/>
        <v>245581</v>
      </c>
      <c r="J18" s="147"/>
      <c r="K18"/>
      <c r="L18"/>
    </row>
    <row r="19" spans="1:10" ht="19.5" customHeight="1">
      <c r="A19" s="182">
        <v>710</v>
      </c>
      <c r="B19" s="72"/>
      <c r="C19" s="629" t="s">
        <v>312</v>
      </c>
      <c r="D19" s="74">
        <v>562505</v>
      </c>
      <c r="E19" s="74">
        <f>E20</f>
        <v>51730</v>
      </c>
      <c r="F19" s="74">
        <f>D19+E19</f>
        <v>614235</v>
      </c>
      <c r="G19" s="74">
        <v>562505</v>
      </c>
      <c r="H19" s="74">
        <f>H20</f>
        <v>51730</v>
      </c>
      <c r="I19" s="74">
        <f t="shared" si="1"/>
        <v>614235</v>
      </c>
      <c r="J19" s="147"/>
    </row>
    <row r="20" spans="1:10" ht="19.5" customHeight="1">
      <c r="A20" s="183"/>
      <c r="B20" s="184">
        <v>71015</v>
      </c>
      <c r="C20" s="316" t="s">
        <v>446</v>
      </c>
      <c r="D20" s="185">
        <v>451168</v>
      </c>
      <c r="E20" s="185">
        <f>E21</f>
        <v>51730</v>
      </c>
      <c r="F20" s="185">
        <f>D20+E20</f>
        <v>502898</v>
      </c>
      <c r="G20" s="185">
        <v>451168</v>
      </c>
      <c r="H20" s="185">
        <f>H23+H26</f>
        <v>51730</v>
      </c>
      <c r="I20" s="185">
        <f>G20+H20</f>
        <v>502898</v>
      </c>
      <c r="J20" s="147"/>
    </row>
    <row r="21" spans="1:10" ht="28.5" customHeight="1">
      <c r="A21" s="81"/>
      <c r="B21" s="530"/>
      <c r="C21" s="964" t="s">
        <v>28</v>
      </c>
      <c r="D21" s="186">
        <v>451168</v>
      </c>
      <c r="E21" s="186">
        <f>E22</f>
        <v>51730</v>
      </c>
      <c r="F21" s="186">
        <f>D21+E21</f>
        <v>502898</v>
      </c>
      <c r="G21" s="186"/>
      <c r="H21" s="186"/>
      <c r="I21" s="186"/>
      <c r="J21" s="147"/>
    </row>
    <row r="22" spans="1:12" s="45" customFormat="1" ht="40.5" customHeight="1">
      <c r="A22" s="81"/>
      <c r="B22" s="529">
        <v>2110</v>
      </c>
      <c r="C22" s="229" t="s">
        <v>554</v>
      </c>
      <c r="D22" s="187">
        <v>451168</v>
      </c>
      <c r="E22" s="187">
        <v>51730</v>
      </c>
      <c r="F22" s="187">
        <f>D22+E22</f>
        <v>502898</v>
      </c>
      <c r="G22" s="187"/>
      <c r="H22" s="187"/>
      <c r="I22" s="187"/>
      <c r="J22" s="147"/>
      <c r="K22"/>
      <c r="L22"/>
    </row>
    <row r="23" spans="1:12" s="45" customFormat="1" ht="19.5" customHeight="1">
      <c r="A23" s="81"/>
      <c r="B23" s="791"/>
      <c r="C23" s="792" t="s">
        <v>200</v>
      </c>
      <c r="D23" s="520"/>
      <c r="E23" s="520"/>
      <c r="F23" s="520"/>
      <c r="G23" s="520">
        <v>325900</v>
      </c>
      <c r="H23" s="520">
        <f>SUM(H24:H25)</f>
        <v>-5287</v>
      </c>
      <c r="I23" s="412">
        <f t="shared" si="1"/>
        <v>320613</v>
      </c>
      <c r="J23" s="147"/>
      <c r="K23"/>
      <c r="L23"/>
    </row>
    <row r="24" spans="1:12" s="45" customFormat="1" ht="19.5" customHeight="1">
      <c r="A24" s="81"/>
      <c r="B24" s="82">
        <v>4020</v>
      </c>
      <c r="C24" s="580" t="s">
        <v>447</v>
      </c>
      <c r="D24" s="414"/>
      <c r="E24" s="414"/>
      <c r="F24" s="414"/>
      <c r="G24" s="414">
        <v>187900</v>
      </c>
      <c r="H24" s="414">
        <v>-3000</v>
      </c>
      <c r="I24" s="187">
        <f t="shared" si="1"/>
        <v>184900</v>
      </c>
      <c r="J24" s="147"/>
      <c r="K24"/>
      <c r="L24"/>
    </row>
    <row r="25" spans="1:12" s="45" customFormat="1" ht="19.5" customHeight="1">
      <c r="A25" s="81"/>
      <c r="B25" s="480">
        <v>4040</v>
      </c>
      <c r="C25" s="695" t="s">
        <v>147</v>
      </c>
      <c r="D25" s="875"/>
      <c r="E25" s="875"/>
      <c r="F25" s="875"/>
      <c r="G25" s="875">
        <v>21000</v>
      </c>
      <c r="H25" s="875">
        <v>-2287</v>
      </c>
      <c r="I25" s="876">
        <f t="shared" si="1"/>
        <v>18713</v>
      </c>
      <c r="J25" s="147"/>
      <c r="K25"/>
      <c r="L25"/>
    </row>
    <row r="26" spans="1:12" s="45" customFormat="1" ht="19.5" customHeight="1">
      <c r="A26" s="81"/>
      <c r="B26" s="579"/>
      <c r="C26" s="644" t="s">
        <v>117</v>
      </c>
      <c r="D26" s="429"/>
      <c r="E26" s="429"/>
      <c r="F26" s="429"/>
      <c r="G26" s="429">
        <v>60068</v>
      </c>
      <c r="H26" s="429">
        <f>SUM(H27:H33)</f>
        <v>57017</v>
      </c>
      <c r="I26" s="412">
        <f t="shared" si="1"/>
        <v>117085</v>
      </c>
      <c r="J26" s="147"/>
      <c r="K26"/>
      <c r="L26"/>
    </row>
    <row r="27" spans="1:12" s="45" customFormat="1" ht="19.5" customHeight="1">
      <c r="A27" s="82"/>
      <c r="B27" s="313">
        <v>3020</v>
      </c>
      <c r="C27" s="312" t="s">
        <v>292</v>
      </c>
      <c r="D27" s="852"/>
      <c r="E27" s="84"/>
      <c r="F27" s="84"/>
      <c r="G27" s="852"/>
      <c r="H27" s="84">
        <v>6000</v>
      </c>
      <c r="I27" s="187">
        <f t="shared" si="1"/>
        <v>6000</v>
      </c>
      <c r="J27" s="147"/>
      <c r="K27"/>
      <c r="L27"/>
    </row>
    <row r="28" spans="1:12" s="45" customFormat="1" ht="19.5" customHeight="1">
      <c r="A28" s="81"/>
      <c r="B28" s="313">
        <v>4210</v>
      </c>
      <c r="C28" s="312" t="s">
        <v>113</v>
      </c>
      <c r="D28" s="456"/>
      <c r="E28" s="84"/>
      <c r="F28" s="84"/>
      <c r="G28" s="456">
        <v>9500</v>
      </c>
      <c r="H28" s="84">
        <f>19730+1500</f>
        <v>21230</v>
      </c>
      <c r="I28" s="1104">
        <f t="shared" si="1"/>
        <v>30730</v>
      </c>
      <c r="J28" s="147"/>
      <c r="K28"/>
      <c r="L28"/>
    </row>
    <row r="29" spans="1:12" s="45" customFormat="1" ht="19.5" customHeight="1">
      <c r="A29" s="81"/>
      <c r="B29" s="313">
        <v>4260</v>
      </c>
      <c r="C29" s="312" t="s">
        <v>174</v>
      </c>
      <c r="D29" s="852"/>
      <c r="E29" s="84"/>
      <c r="F29" s="84"/>
      <c r="G29" s="852">
        <v>7000</v>
      </c>
      <c r="H29" s="84">
        <v>4500</v>
      </c>
      <c r="I29" s="187">
        <f t="shared" si="1"/>
        <v>11500</v>
      </c>
      <c r="J29" s="147"/>
      <c r="K29"/>
      <c r="L29"/>
    </row>
    <row r="30" spans="1:12" s="45" customFormat="1" ht="19.5" customHeight="1">
      <c r="A30" s="81"/>
      <c r="B30" s="313">
        <v>4300</v>
      </c>
      <c r="C30" s="312" t="s">
        <v>114</v>
      </c>
      <c r="D30" s="852"/>
      <c r="E30" s="84"/>
      <c r="F30" s="84"/>
      <c r="G30" s="852">
        <v>31218</v>
      </c>
      <c r="H30" s="84">
        <f>20000+3000</f>
        <v>23000</v>
      </c>
      <c r="I30" s="877">
        <f t="shared" si="1"/>
        <v>54218</v>
      </c>
      <c r="J30" s="147"/>
      <c r="K30"/>
      <c r="L30"/>
    </row>
    <row r="31" spans="1:10" ht="19.5" customHeight="1">
      <c r="A31" s="183"/>
      <c r="B31" s="82">
        <v>4410</v>
      </c>
      <c r="C31" s="83" t="s">
        <v>179</v>
      </c>
      <c r="D31" s="456"/>
      <c r="E31" s="554"/>
      <c r="F31" s="554"/>
      <c r="G31" s="456">
        <v>1400</v>
      </c>
      <c r="H31" s="554">
        <v>787</v>
      </c>
      <c r="I31" s="877">
        <f t="shared" si="1"/>
        <v>2187</v>
      </c>
      <c r="J31" s="147"/>
    </row>
    <row r="32" spans="1:10" ht="19.5" customHeight="1">
      <c r="A32" s="183"/>
      <c r="B32" s="82">
        <v>4430</v>
      </c>
      <c r="C32" s="83" t="s">
        <v>176</v>
      </c>
      <c r="D32" s="456"/>
      <c r="E32" s="554"/>
      <c r="F32" s="554"/>
      <c r="G32" s="456"/>
      <c r="H32" s="554">
        <v>800</v>
      </c>
      <c r="I32" s="877">
        <f t="shared" si="1"/>
        <v>800</v>
      </c>
      <c r="J32" s="147"/>
    </row>
    <row r="33" spans="1:10" ht="19.5" customHeight="1">
      <c r="A33" s="183"/>
      <c r="B33" s="82">
        <v>4440</v>
      </c>
      <c r="C33" s="83" t="s">
        <v>404</v>
      </c>
      <c r="D33" s="456"/>
      <c r="E33" s="554"/>
      <c r="F33" s="554"/>
      <c r="G33" s="456">
        <v>9600</v>
      </c>
      <c r="H33" s="554">
        <v>700</v>
      </c>
      <c r="I33" s="877">
        <f t="shared" si="1"/>
        <v>10300</v>
      </c>
      <c r="J33" s="147"/>
    </row>
    <row r="34" spans="1:10" ht="19.5" customHeight="1">
      <c r="A34" s="182">
        <v>853</v>
      </c>
      <c r="B34" s="72"/>
      <c r="C34" s="526" t="s">
        <v>141</v>
      </c>
      <c r="D34" s="74">
        <v>585369</v>
      </c>
      <c r="E34" s="74">
        <f>E35</f>
        <v>6191</v>
      </c>
      <c r="F34" s="74">
        <f>D34+E34</f>
        <v>591560</v>
      </c>
      <c r="G34" s="74">
        <v>585369</v>
      </c>
      <c r="H34" s="74">
        <f>H35</f>
        <v>6191</v>
      </c>
      <c r="I34" s="74">
        <f>G34+H34</f>
        <v>591560</v>
      </c>
      <c r="J34" s="147"/>
    </row>
    <row r="35" spans="1:10" ht="19.5" customHeight="1">
      <c r="A35" s="183"/>
      <c r="B35" s="184">
        <v>85334</v>
      </c>
      <c r="C35" s="527" t="s">
        <v>372</v>
      </c>
      <c r="D35" s="185">
        <v>33369</v>
      </c>
      <c r="E35" s="185">
        <f>E36</f>
        <v>6191</v>
      </c>
      <c r="F35" s="185">
        <f>D35+E35</f>
        <v>39560</v>
      </c>
      <c r="G35" s="185">
        <v>33369</v>
      </c>
      <c r="H35" s="185">
        <f>H38</f>
        <v>6191</v>
      </c>
      <c r="I35" s="185">
        <f>G35+H35</f>
        <v>39560</v>
      </c>
      <c r="J35" s="147"/>
    </row>
    <row r="36" spans="1:10" ht="19.5" customHeight="1">
      <c r="A36" s="81"/>
      <c r="B36" s="530"/>
      <c r="C36" s="228" t="s">
        <v>374</v>
      </c>
      <c r="D36" s="186">
        <v>33369</v>
      </c>
      <c r="E36" s="186">
        <f>E37</f>
        <v>6191</v>
      </c>
      <c r="F36" s="186">
        <f>D36+E36</f>
        <v>39560</v>
      </c>
      <c r="G36" s="186"/>
      <c r="H36" s="186"/>
      <c r="I36" s="186"/>
      <c r="J36" s="147"/>
    </row>
    <row r="37" spans="1:12" s="45" customFormat="1" ht="40.5" customHeight="1">
      <c r="A37" s="81"/>
      <c r="B37" s="529">
        <v>2110</v>
      </c>
      <c r="C37" s="528" t="s">
        <v>555</v>
      </c>
      <c r="D37" s="187">
        <v>33369</v>
      </c>
      <c r="E37" s="187">
        <v>6191</v>
      </c>
      <c r="F37" s="187">
        <f>D37+E37</f>
        <v>39560</v>
      </c>
      <c r="G37" s="187"/>
      <c r="H37" s="187"/>
      <c r="I37" s="187"/>
      <c r="J37" s="147"/>
      <c r="K37"/>
      <c r="L37"/>
    </row>
    <row r="38" spans="1:10" s="266" customFormat="1" ht="19.5" customHeight="1">
      <c r="A38" s="213"/>
      <c r="B38" s="522"/>
      <c r="C38" s="521" t="s">
        <v>373</v>
      </c>
      <c r="D38" s="412"/>
      <c r="E38" s="412"/>
      <c r="F38" s="412"/>
      <c r="G38" s="412">
        <v>33369</v>
      </c>
      <c r="H38" s="413">
        <f>SUM(H39:H39)</f>
        <v>6191</v>
      </c>
      <c r="I38" s="412">
        <f>G38+H38</f>
        <v>39560</v>
      </c>
      <c r="J38" s="224"/>
    </row>
    <row r="39" spans="1:12" s="45" customFormat="1" ht="19.5" customHeight="1">
      <c r="A39" s="82"/>
      <c r="B39" s="313">
        <v>3110</v>
      </c>
      <c r="C39" s="223" t="s">
        <v>375</v>
      </c>
      <c r="D39" s="187"/>
      <c r="E39" s="187"/>
      <c r="F39" s="187"/>
      <c r="G39" s="187">
        <v>11577</v>
      </c>
      <c r="H39" s="144">
        <v>6191</v>
      </c>
      <c r="I39" s="187">
        <f>G39+H39</f>
        <v>17768</v>
      </c>
      <c r="J39" s="147"/>
      <c r="K39"/>
      <c r="L39"/>
    </row>
    <row r="46" spans="3:4" ht="14.25">
      <c r="C46" s="1201" t="s">
        <v>562</v>
      </c>
      <c r="D46" s="1201" t="s">
        <v>559</v>
      </c>
    </row>
    <row r="47" spans="3:4" ht="14.25">
      <c r="C47" s="1201" t="s">
        <v>563</v>
      </c>
      <c r="D47" s="1201" t="s">
        <v>560</v>
      </c>
    </row>
    <row r="48" spans="3:4" ht="14.25">
      <c r="C48" s="1201" t="s">
        <v>558</v>
      </c>
      <c r="D48" s="1201" t="s">
        <v>561</v>
      </c>
    </row>
  </sheetData>
  <mergeCells count="6">
    <mergeCell ref="H6:H7"/>
    <mergeCell ref="I6:I7"/>
    <mergeCell ref="F6:F7"/>
    <mergeCell ref="D6:D7"/>
    <mergeCell ref="G6:G7"/>
    <mergeCell ref="E6:E7"/>
  </mergeCells>
  <printOptions horizontalCentered="1"/>
  <pageMargins left="0.7874015748031497" right="0.51" top="0.4724409448818898" bottom="0.38" header="0.5118110236220472" footer="0.18"/>
  <pageSetup firstPageNumber="54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K184"/>
  <sheetViews>
    <sheetView zoomScale="90" zoomScaleNormal="90" zoomScaleSheetLayoutView="75" workbookViewId="0" topLeftCell="A1">
      <selection activeCell="C3" sqref="C3"/>
    </sheetView>
  </sheetViews>
  <sheetFormatPr defaultColWidth="9.00390625" defaultRowHeight="12.75"/>
  <cols>
    <col min="1" max="1" width="6.375" style="22" customWidth="1"/>
    <col min="2" max="2" width="10.375" style="22" customWidth="1"/>
    <col min="3" max="3" width="57.00390625" style="22" customWidth="1"/>
    <col min="4" max="7" width="20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50" t="s">
        <v>17</v>
      </c>
    </row>
    <row r="2" ht="18" customHeight="1">
      <c r="F2" s="22" t="s">
        <v>538</v>
      </c>
    </row>
    <row r="3" ht="18" customHeight="1">
      <c r="F3" s="22" t="s">
        <v>67</v>
      </c>
    </row>
    <row r="4" spans="3:6" ht="18" customHeight="1">
      <c r="C4" s="4" t="s">
        <v>118</v>
      </c>
      <c r="F4" s="22" t="s">
        <v>443</v>
      </c>
    </row>
    <row r="5" ht="17.25" customHeight="1" thickBot="1">
      <c r="G5" s="54" t="s">
        <v>68</v>
      </c>
    </row>
    <row r="6" spans="1:7" ht="66.75" customHeight="1" thickBot="1" thickTop="1">
      <c r="A6" s="116" t="s">
        <v>119</v>
      </c>
      <c r="B6" s="116" t="s">
        <v>73</v>
      </c>
      <c r="C6" s="117" t="s">
        <v>542</v>
      </c>
      <c r="D6" s="118" t="s">
        <v>121</v>
      </c>
      <c r="E6" s="117" t="s">
        <v>109</v>
      </c>
      <c r="F6" s="117" t="s">
        <v>110</v>
      </c>
      <c r="G6" s="117" t="s">
        <v>122</v>
      </c>
    </row>
    <row r="7" spans="1:9" ht="18.75" customHeight="1" thickBot="1" thickTop="1">
      <c r="A7" s="16">
        <v>1</v>
      </c>
      <c r="B7" s="16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I7" s="47"/>
    </row>
    <row r="8" spans="1:11" ht="21.75" customHeight="1" thickBot="1" thickTop="1">
      <c r="A8" s="85"/>
      <c r="B8" s="120"/>
      <c r="C8" s="121" t="s">
        <v>88</v>
      </c>
      <c r="D8" s="122">
        <v>944854770</v>
      </c>
      <c r="E8" s="122">
        <f>E10+E115+E116</f>
        <v>2815524</v>
      </c>
      <c r="F8" s="122">
        <f>F10+F115+F116</f>
        <v>3138726</v>
      </c>
      <c r="G8" s="122">
        <f>D8+F8-E8</f>
        <v>945177972</v>
      </c>
      <c r="H8" s="47">
        <f>F8-E8</f>
        <v>323202</v>
      </c>
      <c r="I8" s="47">
        <f>H8-'doch Pr'!F8</f>
        <v>0</v>
      </c>
      <c r="J8" s="47"/>
      <c r="K8" s="47"/>
    </row>
    <row r="9" spans="1:9" ht="15" customHeight="1">
      <c r="A9" s="67"/>
      <c r="B9" s="67"/>
      <c r="C9" s="67" t="s">
        <v>89</v>
      </c>
      <c r="D9" s="123"/>
      <c r="E9" s="123"/>
      <c r="F9" s="123"/>
      <c r="G9" s="123"/>
      <c r="I9" s="124"/>
    </row>
    <row r="10" spans="1:11" ht="16.5" customHeight="1" thickBot="1">
      <c r="A10" s="86"/>
      <c r="B10" s="86"/>
      <c r="C10" s="91" t="s">
        <v>91</v>
      </c>
      <c r="D10" s="88">
        <v>840424188</v>
      </c>
      <c r="E10" s="125">
        <f>E11+E22+E26+E32+E67+E71+E83+E101+E108+E111</f>
        <v>2810237</v>
      </c>
      <c r="F10" s="125">
        <f>F11+F22+F26+F32+F67+F71+F83+F101+F108+F111</f>
        <v>3074267</v>
      </c>
      <c r="G10" s="125">
        <f>D10+F10-E10</f>
        <v>840688218</v>
      </c>
      <c r="H10" s="47"/>
      <c r="I10" s="47"/>
      <c r="K10" s="47"/>
    </row>
    <row r="11" spans="1:11" ht="21" customHeight="1" thickTop="1">
      <c r="A11" s="89">
        <v>750</v>
      </c>
      <c r="B11" s="89"/>
      <c r="C11" s="73" t="s">
        <v>101</v>
      </c>
      <c r="D11" s="74">
        <v>64780641</v>
      </c>
      <c r="E11" s="75">
        <f>E12+E20+E16</f>
        <v>185970</v>
      </c>
      <c r="F11" s="75">
        <f>F12+F20+F16</f>
        <v>619707</v>
      </c>
      <c r="G11" s="75">
        <f aca="true" t="shared" si="0" ref="G11:G24">D11+F11-E11</f>
        <v>65214378</v>
      </c>
      <c r="H11" s="47"/>
      <c r="I11" s="47"/>
      <c r="K11" s="47"/>
    </row>
    <row r="12" spans="1:11" s="130" customFormat="1" ht="21" customHeight="1">
      <c r="A12" s="81"/>
      <c r="B12" s="78">
        <v>75023</v>
      </c>
      <c r="C12" s="78" t="s">
        <v>116</v>
      </c>
      <c r="D12" s="136">
        <v>61100200</v>
      </c>
      <c r="E12" s="136">
        <f>E13+E15</f>
        <v>185970</v>
      </c>
      <c r="F12" s="136">
        <f>F13+F15</f>
        <v>185970</v>
      </c>
      <c r="G12" s="136">
        <f t="shared" si="0"/>
        <v>61100200</v>
      </c>
      <c r="H12" s="137"/>
      <c r="I12" s="137"/>
      <c r="K12" s="137"/>
    </row>
    <row r="13" spans="1:11" s="130" customFormat="1" ht="21" customHeight="1">
      <c r="A13" s="204"/>
      <c r="B13" s="93"/>
      <c r="C13" s="782" t="s">
        <v>117</v>
      </c>
      <c r="D13" s="524">
        <v>12111000</v>
      </c>
      <c r="E13" s="524"/>
      <c r="F13" s="524">
        <v>185970</v>
      </c>
      <c r="G13" s="143">
        <f t="shared" si="0"/>
        <v>12296970</v>
      </c>
      <c r="H13" s="137"/>
      <c r="I13" s="137"/>
      <c r="K13" s="137"/>
    </row>
    <row r="14" spans="1:11" s="155" customFormat="1" ht="19.5" customHeight="1">
      <c r="A14" s="203"/>
      <c r="B14" s="167"/>
      <c r="C14" s="939" t="s">
        <v>20</v>
      </c>
      <c r="D14" s="457">
        <v>600000</v>
      </c>
      <c r="E14" s="457"/>
      <c r="F14" s="457">
        <v>85970</v>
      </c>
      <c r="G14" s="457">
        <f t="shared" si="0"/>
        <v>685970</v>
      </c>
      <c r="H14" s="154"/>
      <c r="I14" s="154"/>
      <c r="K14" s="154"/>
    </row>
    <row r="15" spans="1:11" s="130" customFormat="1" ht="21" customHeight="1">
      <c r="A15" s="204"/>
      <c r="B15" s="1000"/>
      <c r="C15" s="1022" t="s">
        <v>198</v>
      </c>
      <c r="D15" s="1014">
        <v>3349980</v>
      </c>
      <c r="E15" s="1014">
        <v>185970</v>
      </c>
      <c r="F15" s="1014"/>
      <c r="G15" s="261">
        <f t="shared" si="0"/>
        <v>3164010</v>
      </c>
      <c r="H15" s="137"/>
      <c r="I15" s="137"/>
      <c r="K15" s="137"/>
    </row>
    <row r="16" spans="1:11" s="130" customFormat="1" ht="21" customHeight="1">
      <c r="A16" s="81"/>
      <c r="B16" s="78">
        <v>75075</v>
      </c>
      <c r="C16" s="78" t="s">
        <v>448</v>
      </c>
      <c r="D16" s="136">
        <v>1765000</v>
      </c>
      <c r="E16" s="136"/>
      <c r="F16" s="136">
        <f>F17</f>
        <v>423900</v>
      </c>
      <c r="G16" s="136">
        <f>D16+F16-E16</f>
        <v>2188900</v>
      </c>
      <c r="H16" s="137"/>
      <c r="I16" s="137"/>
      <c r="K16" s="137"/>
    </row>
    <row r="17" spans="1:11" s="130" customFormat="1" ht="21" customHeight="1">
      <c r="A17" s="204"/>
      <c r="B17" s="93"/>
      <c r="C17" s="571" t="s">
        <v>509</v>
      </c>
      <c r="D17" s="524"/>
      <c r="E17" s="524"/>
      <c r="F17" s="524">
        <v>423900</v>
      </c>
      <c r="G17" s="143">
        <f>D17+F17-E17</f>
        <v>423900</v>
      </c>
      <c r="H17" s="137"/>
      <c r="I17" s="137"/>
      <c r="K17" s="137"/>
    </row>
    <row r="18" spans="1:11" s="155" customFormat="1" ht="21" customHeight="1">
      <c r="A18" s="203"/>
      <c r="B18" s="167"/>
      <c r="C18" s="1001" t="s">
        <v>18</v>
      </c>
      <c r="D18" s="1002"/>
      <c r="E18" s="1002"/>
      <c r="F18" s="1002">
        <f>39035+13012+7950+2650</f>
        <v>62647</v>
      </c>
      <c r="G18" s="457">
        <f>D18+F18-E18</f>
        <v>62647</v>
      </c>
      <c r="H18" s="154"/>
      <c r="I18" s="154"/>
      <c r="K18" s="154"/>
    </row>
    <row r="19" spans="1:11" s="155" customFormat="1" ht="19.5" customHeight="1">
      <c r="A19" s="203"/>
      <c r="B19" s="313"/>
      <c r="C19" s="1003" t="s">
        <v>19</v>
      </c>
      <c r="D19" s="722"/>
      <c r="E19" s="722"/>
      <c r="F19" s="722">
        <v>10200</v>
      </c>
      <c r="G19" s="722">
        <f>D19-E19+F19</f>
        <v>10200</v>
      </c>
      <c r="H19" s="154"/>
      <c r="I19" s="154"/>
      <c r="K19" s="154"/>
    </row>
    <row r="20" spans="1:11" s="130" customFormat="1" ht="21" customHeight="1">
      <c r="A20" s="81"/>
      <c r="B20" s="78">
        <v>75095</v>
      </c>
      <c r="C20" s="78" t="s">
        <v>96</v>
      </c>
      <c r="D20" s="136">
        <v>398441</v>
      </c>
      <c r="E20" s="136"/>
      <c r="F20" s="136">
        <f>F21</f>
        <v>9837</v>
      </c>
      <c r="G20" s="136">
        <f t="shared" si="0"/>
        <v>408278</v>
      </c>
      <c r="H20" s="137"/>
      <c r="I20" s="137"/>
      <c r="K20" s="137"/>
    </row>
    <row r="21" spans="1:11" s="130" customFormat="1" ht="21" customHeight="1">
      <c r="A21" s="1005"/>
      <c r="B21" s="883"/>
      <c r="C21" s="1006" t="s">
        <v>455</v>
      </c>
      <c r="D21" s="1004">
        <v>88441</v>
      </c>
      <c r="E21" s="1004"/>
      <c r="F21" s="1004">
        <v>9837</v>
      </c>
      <c r="G21" s="1007">
        <f t="shared" si="0"/>
        <v>98278</v>
      </c>
      <c r="H21" s="137"/>
      <c r="I21" s="137"/>
      <c r="K21" s="137"/>
    </row>
    <row r="22" spans="1:11" ht="19.5" customHeight="1">
      <c r="A22" s="73">
        <v>754</v>
      </c>
      <c r="B22" s="73"/>
      <c r="C22" s="73" t="s">
        <v>92</v>
      </c>
      <c r="D22" s="74">
        <v>6638000</v>
      </c>
      <c r="E22" s="75"/>
      <c r="F22" s="75"/>
      <c r="G22" s="75">
        <f t="shared" si="0"/>
        <v>6638000</v>
      </c>
      <c r="H22" s="47"/>
      <c r="I22" s="47"/>
      <c r="K22" s="47"/>
    </row>
    <row r="23" spans="1:11" s="130" customFormat="1" ht="22.5" customHeight="1">
      <c r="A23" s="81"/>
      <c r="B23" s="78">
        <v>75495</v>
      </c>
      <c r="C23" s="78" t="s">
        <v>96</v>
      </c>
      <c r="D23" s="136">
        <v>978000</v>
      </c>
      <c r="E23" s="136"/>
      <c r="F23" s="136"/>
      <c r="G23" s="136">
        <f t="shared" si="0"/>
        <v>978000</v>
      </c>
      <c r="H23" s="137"/>
      <c r="I23" s="137"/>
      <c r="K23" s="137"/>
    </row>
    <row r="24" spans="1:11" s="130" customFormat="1" ht="19.5" customHeight="1">
      <c r="A24" s="204"/>
      <c r="B24" s="205"/>
      <c r="C24" s="209" t="s">
        <v>452</v>
      </c>
      <c r="D24" s="1008">
        <v>743000</v>
      </c>
      <c r="E24" s="1008"/>
      <c r="F24" s="1008"/>
      <c r="G24" s="1008">
        <f t="shared" si="0"/>
        <v>743000</v>
      </c>
      <c r="H24" s="137"/>
      <c r="I24" s="137"/>
      <c r="K24" s="137"/>
    </row>
    <row r="25" spans="1:11" ht="19.5" customHeight="1">
      <c r="A25" s="85"/>
      <c r="B25" s="85"/>
      <c r="C25" s="901" t="s">
        <v>21</v>
      </c>
      <c r="D25" s="643">
        <v>700000</v>
      </c>
      <c r="E25" s="1009">
        <v>4000</v>
      </c>
      <c r="F25" s="1009"/>
      <c r="G25" s="1009">
        <f>D25-E25+F25</f>
        <v>696000</v>
      </c>
      <c r="H25" s="47"/>
      <c r="I25" s="47"/>
      <c r="K25" s="47"/>
    </row>
    <row r="26" spans="1:11" ht="19.5" customHeight="1">
      <c r="A26" s="89">
        <v>758</v>
      </c>
      <c r="B26" s="89"/>
      <c r="C26" s="73" t="s">
        <v>93</v>
      </c>
      <c r="D26" s="74">
        <v>10749679</v>
      </c>
      <c r="E26" s="75">
        <f>E27</f>
        <v>1475420</v>
      </c>
      <c r="F26" s="75"/>
      <c r="G26" s="75">
        <f>D26+F26-E26</f>
        <v>9274259</v>
      </c>
      <c r="H26" s="47"/>
      <c r="I26" s="47"/>
      <c r="K26" s="47"/>
    </row>
    <row r="27" spans="1:11" s="130" customFormat="1" ht="19.5" customHeight="1">
      <c r="A27" s="530"/>
      <c r="B27" s="77">
        <v>75818</v>
      </c>
      <c r="C27" s="77" t="s">
        <v>94</v>
      </c>
      <c r="D27" s="136">
        <v>7541856</v>
      </c>
      <c r="E27" s="136">
        <f>E28+E29+E31</f>
        <v>1475420</v>
      </c>
      <c r="F27" s="136"/>
      <c r="G27" s="136">
        <f>D27+F27-E27</f>
        <v>6066436</v>
      </c>
      <c r="H27" s="137"/>
      <c r="I27" s="137"/>
      <c r="K27" s="137"/>
    </row>
    <row r="28" spans="1:11" s="130" customFormat="1" ht="19.5" customHeight="1">
      <c r="A28" s="1005"/>
      <c r="B28" s="1000"/>
      <c r="C28" s="861" t="s">
        <v>426</v>
      </c>
      <c r="D28" s="1007">
        <v>4474858</v>
      </c>
      <c r="E28" s="1007">
        <v>599837</v>
      </c>
      <c r="F28" s="1007"/>
      <c r="G28" s="1007">
        <f>D28+F28-E28</f>
        <v>3875021</v>
      </c>
      <c r="H28" s="137"/>
      <c r="I28" s="137"/>
      <c r="K28" s="137"/>
    </row>
    <row r="29" spans="1:11" s="130" customFormat="1" ht="27.75" customHeight="1">
      <c r="A29" s="204"/>
      <c r="B29" s="213"/>
      <c r="C29" s="1010" t="s">
        <v>321</v>
      </c>
      <c r="D29" s="1011">
        <v>2494698</v>
      </c>
      <c r="E29" s="1011">
        <v>622073</v>
      </c>
      <c r="F29" s="1011"/>
      <c r="G29" s="1011">
        <f>D29+F29-E29</f>
        <v>1872625</v>
      </c>
      <c r="H29" s="137"/>
      <c r="I29" s="137"/>
      <c r="K29" s="137"/>
    </row>
    <row r="30" spans="1:11" s="155" customFormat="1" ht="19.5" customHeight="1">
      <c r="A30" s="203"/>
      <c r="B30" s="167"/>
      <c r="C30" s="939" t="s">
        <v>21</v>
      </c>
      <c r="D30" s="1012">
        <v>2397971</v>
      </c>
      <c r="E30" s="1012">
        <v>571073</v>
      </c>
      <c r="F30" s="1012"/>
      <c r="G30" s="1012">
        <f>D30-E30+F30</f>
        <v>1826898</v>
      </c>
      <c r="H30" s="154"/>
      <c r="I30" s="154"/>
      <c r="K30" s="154"/>
    </row>
    <row r="31" spans="1:11" s="130" customFormat="1" ht="25.5">
      <c r="A31" s="204"/>
      <c r="B31" s="213"/>
      <c r="C31" s="1013" t="s">
        <v>501</v>
      </c>
      <c r="D31" s="1014">
        <v>522300</v>
      </c>
      <c r="E31" s="1014">
        <v>253510</v>
      </c>
      <c r="F31" s="1014"/>
      <c r="G31" s="1014">
        <f aca="true" t="shared" si="1" ref="G31:G44">D31+F31-E31</f>
        <v>268790</v>
      </c>
      <c r="H31" s="137"/>
      <c r="I31" s="137"/>
      <c r="K31" s="137"/>
    </row>
    <row r="32" spans="1:11" ht="18.75" customHeight="1">
      <c r="A32" s="72">
        <v>801</v>
      </c>
      <c r="B32" s="89"/>
      <c r="C32" s="92" t="s">
        <v>97</v>
      </c>
      <c r="D32" s="74">
        <v>353064751</v>
      </c>
      <c r="E32" s="75">
        <f>E33+E41+E43+E47+E51+E55+E59+E63+E65</f>
        <v>713005</v>
      </c>
      <c r="F32" s="75">
        <f>F33+F41+F43+F47+F51+F55+F59+F63+F65</f>
        <v>928772</v>
      </c>
      <c r="G32" s="75">
        <f t="shared" si="1"/>
        <v>353280518</v>
      </c>
      <c r="H32" s="47"/>
      <c r="I32" s="47">
        <v>195820</v>
      </c>
      <c r="K32" s="47"/>
    </row>
    <row r="33" spans="1:11" s="95" customFormat="1" ht="18.75" customHeight="1">
      <c r="A33" s="76"/>
      <c r="B33" s="78">
        <v>80101</v>
      </c>
      <c r="C33" s="78" t="s">
        <v>254</v>
      </c>
      <c r="D33" s="563">
        <v>101056131</v>
      </c>
      <c r="E33" s="523">
        <f>E34+E35+E37+E38+E40</f>
        <v>33000</v>
      </c>
      <c r="F33" s="523">
        <f>F34+F35+F37+F38+F40</f>
        <v>156250</v>
      </c>
      <c r="G33" s="523">
        <f t="shared" si="1"/>
        <v>101179381</v>
      </c>
      <c r="H33" s="137"/>
      <c r="I33" s="137"/>
      <c r="K33" s="94"/>
    </row>
    <row r="34" spans="1:11" s="130" customFormat="1" ht="18.75" customHeight="1">
      <c r="A34" s="80"/>
      <c r="B34" s="464"/>
      <c r="C34" s="1015" t="s">
        <v>200</v>
      </c>
      <c r="D34" s="143">
        <v>57800250</v>
      </c>
      <c r="E34" s="143"/>
      <c r="F34" s="143">
        <v>77170</v>
      </c>
      <c r="G34" s="143">
        <f t="shared" si="1"/>
        <v>57877420</v>
      </c>
      <c r="H34" s="137"/>
      <c r="I34" s="137"/>
      <c r="K34" s="137"/>
    </row>
    <row r="35" spans="1:11" s="95" customFormat="1" ht="18.75" customHeight="1">
      <c r="A35" s="80"/>
      <c r="B35" s="66"/>
      <c r="C35" s="1016" t="s">
        <v>117</v>
      </c>
      <c r="D35" s="1017">
        <v>12015504</v>
      </c>
      <c r="E35" s="556"/>
      <c r="F35" s="556">
        <v>65080</v>
      </c>
      <c r="G35" s="556">
        <f t="shared" si="1"/>
        <v>12080584</v>
      </c>
      <c r="H35" s="137"/>
      <c r="I35" s="137"/>
      <c r="K35" s="94"/>
    </row>
    <row r="36" spans="1:11" s="565" customFormat="1" ht="18.75" customHeight="1">
      <c r="A36" s="202"/>
      <c r="B36" s="81"/>
      <c r="C36" s="759" t="s">
        <v>20</v>
      </c>
      <c r="D36" s="457">
        <v>1046449</v>
      </c>
      <c r="E36" s="707"/>
      <c r="F36" s="707">
        <v>36930</v>
      </c>
      <c r="G36" s="707">
        <f t="shared" si="1"/>
        <v>1083379</v>
      </c>
      <c r="H36" s="156"/>
      <c r="I36" s="156"/>
      <c r="K36" s="566"/>
    </row>
    <row r="37" spans="1:11" s="95" customFormat="1" ht="18.75" customHeight="1">
      <c r="A37" s="80"/>
      <c r="B37" s="66"/>
      <c r="C37" s="620" t="s">
        <v>142</v>
      </c>
      <c r="D37" s="862">
        <v>11224640</v>
      </c>
      <c r="E37" s="621"/>
      <c r="F37" s="621">
        <v>13270</v>
      </c>
      <c r="G37" s="862">
        <f t="shared" si="1"/>
        <v>11237910</v>
      </c>
      <c r="H37" s="137"/>
      <c r="I37" s="137"/>
      <c r="K37" s="94"/>
    </row>
    <row r="38" spans="1:11" s="95" customFormat="1" ht="18.75" customHeight="1">
      <c r="A38" s="80"/>
      <c r="B38" s="66"/>
      <c r="C38" s="1016" t="s">
        <v>403</v>
      </c>
      <c r="D38" s="1017">
        <v>403000</v>
      </c>
      <c r="E38" s="556"/>
      <c r="F38" s="556">
        <f>1080-350</f>
        <v>730</v>
      </c>
      <c r="G38" s="556">
        <f t="shared" si="1"/>
        <v>403730</v>
      </c>
      <c r="H38" s="137"/>
      <c r="I38" s="137"/>
      <c r="K38" s="94"/>
    </row>
    <row r="39" spans="1:11" s="95" customFormat="1" ht="18.75" customHeight="1">
      <c r="A39" s="80"/>
      <c r="B39" s="66"/>
      <c r="C39" s="555" t="s">
        <v>18</v>
      </c>
      <c r="D39" s="457">
        <v>315000</v>
      </c>
      <c r="E39" s="707"/>
      <c r="F39" s="707">
        <v>730</v>
      </c>
      <c r="G39" s="583">
        <f t="shared" si="1"/>
        <v>315730</v>
      </c>
      <c r="H39" s="137"/>
      <c r="I39" s="137"/>
      <c r="K39" s="94"/>
    </row>
    <row r="40" spans="1:11" s="130" customFormat="1" ht="17.25" customHeight="1">
      <c r="A40" s="80"/>
      <c r="B40" s="66"/>
      <c r="C40" s="69" t="s">
        <v>198</v>
      </c>
      <c r="D40" s="1020">
        <v>18344121</v>
      </c>
      <c r="E40" s="1020">
        <v>33000</v>
      </c>
      <c r="F40" s="1020"/>
      <c r="G40" s="1020">
        <f t="shared" si="1"/>
        <v>18311121</v>
      </c>
      <c r="H40" s="137"/>
      <c r="I40" s="137"/>
      <c r="K40" s="137"/>
    </row>
    <row r="41" spans="1:11" s="130" customFormat="1" ht="16.5" customHeight="1">
      <c r="A41" s="76"/>
      <c r="B41" s="77">
        <v>80103</v>
      </c>
      <c r="C41" s="77" t="s">
        <v>323</v>
      </c>
      <c r="D41" s="136">
        <v>1713460</v>
      </c>
      <c r="E41" s="136">
        <f>E42</f>
        <v>730</v>
      </c>
      <c r="F41" s="136"/>
      <c r="G41" s="136">
        <f t="shared" si="1"/>
        <v>1712730</v>
      </c>
      <c r="H41" s="137"/>
      <c r="I41" s="137"/>
      <c r="K41" s="137"/>
    </row>
    <row r="42" spans="1:11" s="95" customFormat="1" ht="18.75" customHeight="1">
      <c r="A42" s="80"/>
      <c r="B42" s="66"/>
      <c r="C42" s="535" t="s">
        <v>200</v>
      </c>
      <c r="D42" s="142">
        <v>1288600</v>
      </c>
      <c r="E42" s="564">
        <v>730</v>
      </c>
      <c r="F42" s="564"/>
      <c r="G42" s="142">
        <f t="shared" si="1"/>
        <v>1287870</v>
      </c>
      <c r="H42" s="137"/>
      <c r="I42" s="137"/>
      <c r="K42" s="94"/>
    </row>
    <row r="43" spans="1:11" s="130" customFormat="1" ht="17.25" customHeight="1">
      <c r="A43" s="76"/>
      <c r="B43" s="77">
        <v>80104</v>
      </c>
      <c r="C43" s="77" t="s">
        <v>145</v>
      </c>
      <c r="D43" s="136">
        <v>49272000</v>
      </c>
      <c r="E43" s="136">
        <f>E44+E46</f>
        <v>4000</v>
      </c>
      <c r="F43" s="136">
        <f>F44+F46</f>
        <v>8500</v>
      </c>
      <c r="G43" s="136">
        <f t="shared" si="1"/>
        <v>49276500</v>
      </c>
      <c r="H43" s="137"/>
      <c r="I43" s="137"/>
      <c r="K43" s="137"/>
    </row>
    <row r="44" spans="1:11" s="130" customFormat="1" ht="19.5" customHeight="1">
      <c r="A44" s="80"/>
      <c r="B44" s="66"/>
      <c r="C44" s="535" t="s">
        <v>117</v>
      </c>
      <c r="D44" s="142">
        <v>6583954</v>
      </c>
      <c r="E44" s="142"/>
      <c r="F44" s="142">
        <f>9210-710</f>
        <v>8500</v>
      </c>
      <c r="G44" s="142">
        <f t="shared" si="1"/>
        <v>6592454</v>
      </c>
      <c r="H44" s="137"/>
      <c r="I44" s="137"/>
      <c r="K44" s="137"/>
    </row>
    <row r="45" spans="1:11" s="155" customFormat="1" ht="21" customHeight="1">
      <c r="A45" s="203"/>
      <c r="B45" s="167"/>
      <c r="C45" s="1021" t="s">
        <v>20</v>
      </c>
      <c r="D45" s="771">
        <v>374327</v>
      </c>
      <c r="E45" s="771"/>
      <c r="F45" s="771">
        <v>3900</v>
      </c>
      <c r="G45" s="771">
        <f aca="true" t="shared" si="2" ref="G45:G61">D45+F45-E45</f>
        <v>378227</v>
      </c>
      <c r="H45" s="154"/>
      <c r="I45" s="154"/>
      <c r="K45" s="154"/>
    </row>
    <row r="46" spans="1:11" s="130" customFormat="1" ht="21" customHeight="1">
      <c r="A46" s="80"/>
      <c r="B46" s="69"/>
      <c r="C46" s="1022" t="s">
        <v>198</v>
      </c>
      <c r="D46" s="1014">
        <v>1408475</v>
      </c>
      <c r="E46" s="1014">
        <v>4000</v>
      </c>
      <c r="F46" s="1014"/>
      <c r="G46" s="1014">
        <f t="shared" si="2"/>
        <v>1404475</v>
      </c>
      <c r="H46" s="137"/>
      <c r="I46" s="137"/>
      <c r="K46" s="137"/>
    </row>
    <row r="47" spans="1:11" s="95" customFormat="1" ht="19.5" customHeight="1">
      <c r="A47" s="76"/>
      <c r="B47" s="78">
        <v>80110</v>
      </c>
      <c r="C47" s="78" t="s">
        <v>255</v>
      </c>
      <c r="D47" s="563">
        <v>54386760</v>
      </c>
      <c r="E47" s="523">
        <f>E48+E50</f>
        <v>170794</v>
      </c>
      <c r="F47" s="523">
        <f>F48+F50</f>
        <v>226500</v>
      </c>
      <c r="G47" s="523">
        <f t="shared" si="2"/>
        <v>54442466</v>
      </c>
      <c r="H47" s="137"/>
      <c r="I47" s="137"/>
      <c r="K47" s="94"/>
    </row>
    <row r="48" spans="1:11" s="95" customFormat="1" ht="17.25" customHeight="1">
      <c r="A48" s="80"/>
      <c r="B48" s="464"/>
      <c r="C48" s="537" t="s">
        <v>117</v>
      </c>
      <c r="D48" s="142">
        <v>6681099</v>
      </c>
      <c r="E48" s="564"/>
      <c r="F48" s="564">
        <f>56500+170000</f>
        <v>226500</v>
      </c>
      <c r="G48" s="564">
        <f t="shared" si="2"/>
        <v>6907599</v>
      </c>
      <c r="H48" s="137"/>
      <c r="I48" s="137"/>
      <c r="K48" s="94"/>
    </row>
    <row r="49" spans="1:11" s="565" customFormat="1" ht="19.5" customHeight="1">
      <c r="A49" s="202"/>
      <c r="B49" s="81"/>
      <c r="C49" s="567" t="s">
        <v>539</v>
      </c>
      <c r="D49" s="559">
        <v>783682</v>
      </c>
      <c r="E49" s="568"/>
      <c r="F49" s="568">
        <f>6500+170000</f>
        <v>176500</v>
      </c>
      <c r="G49" s="568">
        <f t="shared" si="2"/>
        <v>960182</v>
      </c>
      <c r="H49" s="156"/>
      <c r="I49" s="156"/>
      <c r="K49" s="566"/>
    </row>
    <row r="50" spans="1:11" s="130" customFormat="1" ht="21" customHeight="1">
      <c r="A50" s="80"/>
      <c r="B50" s="66"/>
      <c r="C50" s="1022" t="s">
        <v>198</v>
      </c>
      <c r="D50" s="1014">
        <v>3423537</v>
      </c>
      <c r="E50" s="1014">
        <f>20700+54575+95519</f>
        <v>170794</v>
      </c>
      <c r="F50" s="1014"/>
      <c r="G50" s="1014">
        <f t="shared" si="2"/>
        <v>3252743</v>
      </c>
      <c r="H50" s="137"/>
      <c r="I50" s="137"/>
      <c r="K50" s="137"/>
    </row>
    <row r="51" spans="1:11" s="95" customFormat="1" ht="19.5" customHeight="1">
      <c r="A51" s="76"/>
      <c r="B51" s="77">
        <v>80120</v>
      </c>
      <c r="C51" s="77" t="s">
        <v>256</v>
      </c>
      <c r="D51" s="136">
        <v>49976443</v>
      </c>
      <c r="E51" s="79"/>
      <c r="F51" s="79">
        <f>F52+F54</f>
        <v>327000</v>
      </c>
      <c r="G51" s="79">
        <f t="shared" si="2"/>
        <v>50303443</v>
      </c>
      <c r="H51" s="137"/>
      <c r="I51" s="137"/>
      <c r="K51" s="94"/>
    </row>
    <row r="52" spans="1:11" s="95" customFormat="1" ht="18" customHeight="1">
      <c r="A52" s="80"/>
      <c r="B52" s="464"/>
      <c r="C52" s="1023" t="s">
        <v>117</v>
      </c>
      <c r="D52" s="143">
        <v>5445623</v>
      </c>
      <c r="E52" s="569"/>
      <c r="F52" s="569">
        <f>15000+29000+250000</f>
        <v>294000</v>
      </c>
      <c r="G52" s="569">
        <f t="shared" si="2"/>
        <v>5739623</v>
      </c>
      <c r="H52" s="137"/>
      <c r="I52" s="137"/>
      <c r="K52" s="94"/>
    </row>
    <row r="53" spans="1:11" s="565" customFormat="1" ht="19.5" customHeight="1">
      <c r="A53" s="202"/>
      <c r="B53" s="81"/>
      <c r="C53" s="759" t="s">
        <v>539</v>
      </c>
      <c r="D53" s="583">
        <v>640143</v>
      </c>
      <c r="E53" s="623"/>
      <c r="F53" s="623">
        <f>29000+250000</f>
        <v>279000</v>
      </c>
      <c r="G53" s="623">
        <f>D53+F53-E53</f>
        <v>919143</v>
      </c>
      <c r="H53" s="156"/>
      <c r="I53" s="156"/>
      <c r="K53" s="566"/>
    </row>
    <row r="54" spans="1:11" s="130" customFormat="1" ht="18.75" customHeight="1">
      <c r="A54" s="80"/>
      <c r="B54" s="66"/>
      <c r="C54" s="571" t="s">
        <v>198</v>
      </c>
      <c r="D54" s="862">
        <v>2089220</v>
      </c>
      <c r="E54" s="862"/>
      <c r="F54" s="862">
        <v>33000</v>
      </c>
      <c r="G54" s="862">
        <f t="shared" si="2"/>
        <v>2122220</v>
      </c>
      <c r="H54" s="137"/>
      <c r="I54" s="137"/>
      <c r="K54" s="137"/>
    </row>
    <row r="55" spans="1:11" s="95" customFormat="1" ht="18.75" customHeight="1">
      <c r="A55" s="76"/>
      <c r="B55" s="77">
        <v>80123</v>
      </c>
      <c r="C55" s="77" t="s">
        <v>329</v>
      </c>
      <c r="D55" s="136">
        <v>8596000</v>
      </c>
      <c r="E55" s="79"/>
      <c r="F55" s="79">
        <f>F56</f>
        <v>9500</v>
      </c>
      <c r="G55" s="79">
        <f t="shared" si="2"/>
        <v>8605500</v>
      </c>
      <c r="H55" s="137"/>
      <c r="I55" s="137"/>
      <c r="K55" s="94"/>
    </row>
    <row r="56" spans="1:11" s="95" customFormat="1" ht="19.5" customHeight="1">
      <c r="A56" s="863"/>
      <c r="B56" s="613"/>
      <c r="C56" s="1025" t="s">
        <v>117</v>
      </c>
      <c r="D56" s="1007">
        <v>648900</v>
      </c>
      <c r="E56" s="1024"/>
      <c r="F56" s="1024">
        <v>9500</v>
      </c>
      <c r="G56" s="1024">
        <f t="shared" si="2"/>
        <v>658400</v>
      </c>
      <c r="H56" s="137"/>
      <c r="I56" s="137"/>
      <c r="K56" s="94"/>
    </row>
    <row r="57" spans="1:11" s="95" customFormat="1" ht="19.5" customHeight="1">
      <c r="A57" s="1095"/>
      <c r="B57" s="33"/>
      <c r="C57" s="1096"/>
      <c r="D57" s="1097"/>
      <c r="E57" s="1098"/>
      <c r="F57" s="1098"/>
      <c r="G57" s="1098"/>
      <c r="H57" s="137"/>
      <c r="I57" s="137"/>
      <c r="K57" s="94"/>
    </row>
    <row r="58" spans="1:11" s="95" customFormat="1" ht="19.5" customHeight="1">
      <c r="A58" s="1095"/>
      <c r="B58" s="33"/>
      <c r="C58" s="1096"/>
      <c r="D58" s="1097"/>
      <c r="E58" s="1098"/>
      <c r="F58" s="1098"/>
      <c r="G58" s="1098"/>
      <c r="H58" s="137"/>
      <c r="I58" s="137"/>
      <c r="K58" s="94"/>
    </row>
    <row r="59" spans="1:11" s="95" customFormat="1" ht="19.5" customHeight="1">
      <c r="A59" s="76"/>
      <c r="B59" s="78">
        <v>80130</v>
      </c>
      <c r="C59" s="78" t="s">
        <v>144</v>
      </c>
      <c r="D59" s="563">
        <v>49549723</v>
      </c>
      <c r="E59" s="523">
        <f>E62</f>
        <v>504481</v>
      </c>
      <c r="F59" s="523">
        <f>F60</f>
        <v>180075</v>
      </c>
      <c r="G59" s="523">
        <f t="shared" si="2"/>
        <v>49225317</v>
      </c>
      <c r="H59" s="137"/>
      <c r="I59" s="137"/>
      <c r="K59" s="94"/>
    </row>
    <row r="60" spans="1:11" s="95" customFormat="1" ht="19.5" customHeight="1">
      <c r="A60" s="80"/>
      <c r="B60" s="464"/>
      <c r="C60" s="1023" t="s">
        <v>117</v>
      </c>
      <c r="D60" s="143">
        <v>4899472</v>
      </c>
      <c r="E60" s="569"/>
      <c r="F60" s="569">
        <f>75+180000</f>
        <v>180075</v>
      </c>
      <c r="G60" s="569">
        <f t="shared" si="2"/>
        <v>5079547</v>
      </c>
      <c r="H60" s="137"/>
      <c r="I60" s="137"/>
      <c r="K60" s="94"/>
    </row>
    <row r="61" spans="1:11" s="565" customFormat="1" ht="19.5" customHeight="1">
      <c r="A61" s="202"/>
      <c r="B61" s="81"/>
      <c r="C61" s="759" t="s">
        <v>539</v>
      </c>
      <c r="D61" s="583">
        <v>437166</v>
      </c>
      <c r="E61" s="623"/>
      <c r="F61" s="623">
        <f>25575+180000</f>
        <v>205575</v>
      </c>
      <c r="G61" s="623">
        <f t="shared" si="2"/>
        <v>642741</v>
      </c>
      <c r="H61" s="156"/>
      <c r="I61" s="156"/>
      <c r="K61" s="566"/>
    </row>
    <row r="62" spans="1:11" s="130" customFormat="1" ht="21" customHeight="1">
      <c r="A62" s="80"/>
      <c r="B62" s="66"/>
      <c r="C62" s="69" t="s">
        <v>198</v>
      </c>
      <c r="D62" s="1020">
        <v>9988071</v>
      </c>
      <c r="E62" s="1020">
        <v>504481</v>
      </c>
      <c r="F62" s="1020"/>
      <c r="G62" s="1020">
        <f>D62+F62-E62</f>
        <v>9483590</v>
      </c>
      <c r="H62" s="137"/>
      <c r="I62" s="137"/>
      <c r="K62" s="137"/>
    </row>
    <row r="63" spans="1:11" s="95" customFormat="1" ht="25.5">
      <c r="A63" s="76"/>
      <c r="B63" s="77">
        <v>80140</v>
      </c>
      <c r="C63" s="316" t="s">
        <v>498</v>
      </c>
      <c r="D63" s="136">
        <v>10797620</v>
      </c>
      <c r="E63" s="79"/>
      <c r="F63" s="79">
        <f>F64</f>
        <v>1000</v>
      </c>
      <c r="G63" s="79">
        <f aca="true" t="shared" si="3" ref="G63:G70">D63+F63-E63</f>
        <v>10798620</v>
      </c>
      <c r="H63" s="137"/>
      <c r="I63" s="137"/>
      <c r="K63" s="94"/>
    </row>
    <row r="64" spans="1:11" s="95" customFormat="1" ht="18.75" customHeight="1">
      <c r="A64" s="80"/>
      <c r="B64" s="613"/>
      <c r="C64" s="1025" t="s">
        <v>117</v>
      </c>
      <c r="D64" s="1007">
        <v>1164200</v>
      </c>
      <c r="E64" s="1024"/>
      <c r="F64" s="1024">
        <v>1000</v>
      </c>
      <c r="G64" s="1024">
        <f t="shared" si="3"/>
        <v>1165200</v>
      </c>
      <c r="H64" s="137"/>
      <c r="I64" s="137"/>
      <c r="K64" s="94"/>
    </row>
    <row r="65" spans="1:11" s="95" customFormat="1" ht="18.75" customHeight="1">
      <c r="A65" s="76"/>
      <c r="B65" s="78">
        <v>80195</v>
      </c>
      <c r="C65" s="78" t="s">
        <v>96</v>
      </c>
      <c r="D65" s="563">
        <v>2896614</v>
      </c>
      <c r="E65" s="523"/>
      <c r="F65" s="523">
        <f>F66</f>
        <v>19947</v>
      </c>
      <c r="G65" s="523">
        <f t="shared" si="3"/>
        <v>2916561</v>
      </c>
      <c r="H65" s="137"/>
      <c r="I65" s="137"/>
      <c r="K65" s="94"/>
    </row>
    <row r="66" spans="1:11" s="95" customFormat="1" ht="27.75" customHeight="1">
      <c r="A66" s="80"/>
      <c r="B66" s="613"/>
      <c r="C66" s="622" t="s">
        <v>445</v>
      </c>
      <c r="D66" s="1007"/>
      <c r="E66" s="1024"/>
      <c r="F66" s="1024">
        <v>19947</v>
      </c>
      <c r="G66" s="1024">
        <f t="shared" si="3"/>
        <v>19947</v>
      </c>
      <c r="H66" s="137"/>
      <c r="I66" s="137"/>
      <c r="K66" s="94"/>
    </row>
    <row r="67" spans="1:11" ht="21" customHeight="1">
      <c r="A67" s="72">
        <v>851</v>
      </c>
      <c r="B67" s="73"/>
      <c r="C67" s="92" t="s">
        <v>100</v>
      </c>
      <c r="D67" s="74">
        <v>6235000</v>
      </c>
      <c r="E67" s="75"/>
      <c r="F67" s="75"/>
      <c r="G67" s="75">
        <f t="shared" si="3"/>
        <v>6235000</v>
      </c>
      <c r="H67" s="47"/>
      <c r="I67" s="47"/>
      <c r="K67" s="47"/>
    </row>
    <row r="68" spans="1:11" s="130" customFormat="1" ht="21" customHeight="1">
      <c r="A68" s="76"/>
      <c r="B68" s="78">
        <v>85154</v>
      </c>
      <c r="C68" s="78" t="s">
        <v>123</v>
      </c>
      <c r="D68" s="136">
        <v>4345000</v>
      </c>
      <c r="E68" s="136"/>
      <c r="F68" s="136"/>
      <c r="G68" s="136">
        <f t="shared" si="3"/>
        <v>4345000</v>
      </c>
      <c r="H68" s="137"/>
      <c r="I68" s="137"/>
      <c r="K68" s="137"/>
    </row>
    <row r="69" spans="1:11" s="130" customFormat="1" ht="29.25" customHeight="1">
      <c r="A69" s="80"/>
      <c r="B69" s="464"/>
      <c r="C69" s="609" t="s">
        <v>430</v>
      </c>
      <c r="D69" s="610">
        <v>4345000</v>
      </c>
      <c r="E69" s="610"/>
      <c r="F69" s="610"/>
      <c r="G69" s="610">
        <f t="shared" si="3"/>
        <v>4345000</v>
      </c>
      <c r="H69" s="137"/>
      <c r="I69" s="137"/>
      <c r="K69" s="137"/>
    </row>
    <row r="70" spans="1:11" s="130" customFormat="1" ht="21" customHeight="1">
      <c r="A70" s="80"/>
      <c r="B70" s="66"/>
      <c r="C70" s="1039" t="s">
        <v>540</v>
      </c>
      <c r="D70" s="1040">
        <v>884791</v>
      </c>
      <c r="E70" s="1040">
        <f>18000-144</f>
        <v>17856</v>
      </c>
      <c r="F70" s="1040"/>
      <c r="G70" s="1041">
        <f t="shared" si="3"/>
        <v>866935</v>
      </c>
      <c r="H70" s="137"/>
      <c r="I70" s="137"/>
      <c r="K70" s="137"/>
    </row>
    <row r="71" spans="1:11" ht="21" customHeight="1">
      <c r="A71" s="72">
        <v>852</v>
      </c>
      <c r="B71" s="89"/>
      <c r="C71" s="781" t="s">
        <v>98</v>
      </c>
      <c r="D71" s="525">
        <v>96469010</v>
      </c>
      <c r="E71" s="1042">
        <f>E72+E74+E78+E80</f>
        <v>23942</v>
      </c>
      <c r="F71" s="1042">
        <f>F72+F74+F78+F80</f>
        <v>858025</v>
      </c>
      <c r="G71" s="1042">
        <f aca="true" t="shared" si="4" ref="G71:G79">D71+F71-E71</f>
        <v>97303093</v>
      </c>
      <c r="H71" s="47"/>
      <c r="I71" s="47"/>
      <c r="K71" s="47"/>
    </row>
    <row r="72" spans="1:11" s="130" customFormat="1" ht="21" customHeight="1">
      <c r="A72" s="93"/>
      <c r="B72" s="78">
        <v>85201</v>
      </c>
      <c r="C72" s="426" t="s">
        <v>342</v>
      </c>
      <c r="D72" s="987">
        <v>10873282</v>
      </c>
      <c r="E72" s="987"/>
      <c r="F72" s="987">
        <f>F73</f>
        <v>420000</v>
      </c>
      <c r="G72" s="987">
        <f t="shared" si="4"/>
        <v>11293282</v>
      </c>
      <c r="H72" s="137"/>
      <c r="I72" s="137"/>
      <c r="K72" s="137"/>
    </row>
    <row r="73" spans="1:11" s="155" customFormat="1" ht="25.5">
      <c r="A73" s="784"/>
      <c r="B73" s="66"/>
      <c r="C73" s="782" t="s">
        <v>26</v>
      </c>
      <c r="D73" s="986">
        <v>2300000</v>
      </c>
      <c r="E73" s="985"/>
      <c r="F73" s="986">
        <v>420000</v>
      </c>
      <c r="G73" s="787">
        <f t="shared" si="4"/>
        <v>2720000</v>
      </c>
      <c r="H73" s="154"/>
      <c r="I73" s="154"/>
      <c r="K73" s="154"/>
    </row>
    <row r="74" spans="1:11" s="130" customFormat="1" ht="21" customHeight="1">
      <c r="A74" s="76"/>
      <c r="B74" s="77">
        <v>85202</v>
      </c>
      <c r="C74" s="316" t="s">
        <v>270</v>
      </c>
      <c r="D74" s="136">
        <v>18053561</v>
      </c>
      <c r="E74" s="136">
        <f>E75+E76+E77</f>
        <v>23942</v>
      </c>
      <c r="F74" s="136">
        <f>F75+F76+F77</f>
        <v>143582</v>
      </c>
      <c r="G74" s="136">
        <f t="shared" si="4"/>
        <v>18173201</v>
      </c>
      <c r="H74" s="137"/>
      <c r="I74" s="137"/>
      <c r="K74" s="137"/>
    </row>
    <row r="75" spans="1:11" s="130" customFormat="1" ht="21" customHeight="1">
      <c r="A75" s="204"/>
      <c r="B75" s="213"/>
      <c r="C75" s="1029" t="s">
        <v>117</v>
      </c>
      <c r="D75" s="261">
        <v>3702644</v>
      </c>
      <c r="E75" s="261"/>
      <c r="F75" s="261">
        <f>23942-360</f>
        <v>23582</v>
      </c>
      <c r="G75" s="261">
        <f t="shared" si="4"/>
        <v>3726226</v>
      </c>
      <c r="H75" s="137"/>
      <c r="I75" s="137"/>
      <c r="K75" s="137"/>
    </row>
    <row r="76" spans="1:11" s="155" customFormat="1" ht="25.5">
      <c r="A76" s="181"/>
      <c r="B76" s="66"/>
      <c r="C76" s="782" t="s">
        <v>1</v>
      </c>
      <c r="D76" s="1030">
        <v>800000</v>
      </c>
      <c r="E76" s="1018"/>
      <c r="F76" s="1030">
        <v>120000</v>
      </c>
      <c r="G76" s="1017">
        <f t="shared" si="4"/>
        <v>920000</v>
      </c>
      <c r="H76" s="154"/>
      <c r="I76" s="154"/>
      <c r="K76" s="154"/>
    </row>
    <row r="77" spans="1:11" s="130" customFormat="1" ht="21" customHeight="1">
      <c r="A77" s="204"/>
      <c r="B77" s="1000"/>
      <c r="C77" s="69" t="s">
        <v>198</v>
      </c>
      <c r="D77" s="261">
        <v>3593995</v>
      </c>
      <c r="E77" s="261">
        <v>23942</v>
      </c>
      <c r="F77" s="261"/>
      <c r="G77" s="261">
        <f t="shared" si="4"/>
        <v>3570053</v>
      </c>
      <c r="H77" s="137"/>
      <c r="I77" s="137"/>
      <c r="K77" s="137"/>
    </row>
    <row r="78" spans="1:11" s="155" customFormat="1" ht="21" customHeight="1">
      <c r="A78" s="93"/>
      <c r="B78" s="78">
        <v>85204</v>
      </c>
      <c r="C78" s="426" t="s">
        <v>0</v>
      </c>
      <c r="D78" s="987">
        <v>5750000</v>
      </c>
      <c r="E78" s="143"/>
      <c r="F78" s="987">
        <f>F79</f>
        <v>50000</v>
      </c>
      <c r="G78" s="987">
        <f t="shared" si="4"/>
        <v>5800000</v>
      </c>
      <c r="H78" s="154"/>
      <c r="I78" s="154"/>
      <c r="K78" s="154"/>
    </row>
    <row r="79" spans="1:11" s="155" customFormat="1" ht="25.5">
      <c r="A79" s="784"/>
      <c r="B79" s="613"/>
      <c r="C79" s="622" t="s">
        <v>25</v>
      </c>
      <c r="D79" s="749">
        <v>350000</v>
      </c>
      <c r="E79" s="749"/>
      <c r="F79" s="1031">
        <v>50000</v>
      </c>
      <c r="G79" s="1027">
        <f t="shared" si="4"/>
        <v>400000</v>
      </c>
      <c r="H79" s="154"/>
      <c r="I79" s="154"/>
      <c r="K79" s="154"/>
    </row>
    <row r="80" spans="1:11" s="130" customFormat="1" ht="21" customHeight="1">
      <c r="A80" s="76"/>
      <c r="B80" s="78">
        <v>85295</v>
      </c>
      <c r="C80" s="78" t="s">
        <v>96</v>
      </c>
      <c r="D80" s="563">
        <v>4071368</v>
      </c>
      <c r="E80" s="563"/>
      <c r="F80" s="563">
        <f>F81+F82</f>
        <v>244443</v>
      </c>
      <c r="G80" s="136">
        <f>D80+F80-E80</f>
        <v>4315811</v>
      </c>
      <c r="H80" s="137"/>
      <c r="I80" s="137"/>
      <c r="K80" s="137"/>
    </row>
    <row r="81" spans="1:11" s="130" customFormat="1" ht="27.75" customHeight="1">
      <c r="A81" s="204"/>
      <c r="B81" s="205"/>
      <c r="C81" s="1032" t="s">
        <v>59</v>
      </c>
      <c r="D81" s="143">
        <v>9451</v>
      </c>
      <c r="E81" s="143"/>
      <c r="F81" s="143">
        <v>360</v>
      </c>
      <c r="G81" s="1033">
        <f>D81+F81-E81</f>
        <v>9811</v>
      </c>
      <c r="H81" s="137"/>
      <c r="I81" s="137"/>
      <c r="K81" s="137"/>
    </row>
    <row r="82" spans="1:11" s="130" customFormat="1" ht="19.5" customHeight="1">
      <c r="A82" s="204"/>
      <c r="B82" s="213"/>
      <c r="C82" s="1006" t="s">
        <v>428</v>
      </c>
      <c r="D82" s="1019">
        <v>2755917</v>
      </c>
      <c r="E82" s="1019"/>
      <c r="F82" s="1019">
        <v>244083</v>
      </c>
      <c r="G82" s="1028">
        <f>D82+F82-E82</f>
        <v>3000000</v>
      </c>
      <c r="H82" s="137"/>
      <c r="I82" s="137"/>
      <c r="K82" s="137"/>
    </row>
    <row r="83" spans="1:11" ht="21" customHeight="1">
      <c r="A83" s="72">
        <v>854</v>
      </c>
      <c r="B83" s="89"/>
      <c r="C83" s="92" t="s">
        <v>99</v>
      </c>
      <c r="D83" s="74">
        <v>43712380</v>
      </c>
      <c r="E83" s="75">
        <f>E84+E87+E89+E92+E95</f>
        <v>11900</v>
      </c>
      <c r="F83" s="75">
        <f>F84+F87+F89+F92+F95</f>
        <v>69590</v>
      </c>
      <c r="G83" s="75">
        <f aca="true" t="shared" si="5" ref="G83:G96">D83+F83-E83</f>
        <v>43770070</v>
      </c>
      <c r="H83" s="47"/>
      <c r="I83" s="47"/>
      <c r="K83" s="47"/>
    </row>
    <row r="84" spans="1:11" s="95" customFormat="1" ht="18.75" customHeight="1">
      <c r="A84" s="76"/>
      <c r="B84" s="78">
        <v>85401</v>
      </c>
      <c r="C84" s="78" t="s">
        <v>334</v>
      </c>
      <c r="D84" s="563">
        <v>7300000</v>
      </c>
      <c r="E84" s="523">
        <f>E85+E86</f>
        <v>1400</v>
      </c>
      <c r="F84" s="523">
        <f>F85+F86</f>
        <v>1400</v>
      </c>
      <c r="G84" s="79">
        <f t="shared" si="5"/>
        <v>7300000</v>
      </c>
      <c r="H84" s="137"/>
      <c r="I84" s="137"/>
      <c r="K84" s="94"/>
    </row>
    <row r="85" spans="1:11" s="95" customFormat="1" ht="18.75" customHeight="1">
      <c r="A85" s="863"/>
      <c r="B85" s="613"/>
      <c r="C85" s="1025" t="s">
        <v>117</v>
      </c>
      <c r="D85" s="1007">
        <v>439600</v>
      </c>
      <c r="E85" s="1024"/>
      <c r="F85" s="1024">
        <v>1400</v>
      </c>
      <c r="G85" s="1099">
        <f t="shared" si="5"/>
        <v>441000</v>
      </c>
      <c r="H85" s="137"/>
      <c r="I85" s="137"/>
      <c r="K85" s="94"/>
    </row>
    <row r="86" spans="1:11" s="155" customFormat="1" ht="18.75" customHeight="1">
      <c r="A86" s="80"/>
      <c r="B86" s="69"/>
      <c r="C86" s="69" t="s">
        <v>142</v>
      </c>
      <c r="D86" s="1020">
        <v>1127500</v>
      </c>
      <c r="E86" s="1020">
        <v>1400</v>
      </c>
      <c r="F86" s="1020"/>
      <c r="G86" s="1020">
        <f t="shared" si="5"/>
        <v>1126100</v>
      </c>
      <c r="H86" s="154"/>
      <c r="I86" s="154"/>
      <c r="K86" s="154"/>
    </row>
    <row r="87" spans="1:11" s="95" customFormat="1" ht="18.75" customHeight="1">
      <c r="A87" s="76"/>
      <c r="B87" s="78">
        <v>85403</v>
      </c>
      <c r="C87" s="78" t="s">
        <v>335</v>
      </c>
      <c r="D87" s="563">
        <v>10787676</v>
      </c>
      <c r="E87" s="523"/>
      <c r="F87" s="523">
        <f>F88</f>
        <v>10500</v>
      </c>
      <c r="G87" s="523">
        <f t="shared" si="5"/>
        <v>10798176</v>
      </c>
      <c r="H87" s="137"/>
      <c r="I87" s="137"/>
      <c r="K87" s="94"/>
    </row>
    <row r="88" spans="1:11" s="155" customFormat="1" ht="18.75" customHeight="1">
      <c r="A88" s="202"/>
      <c r="B88" s="480"/>
      <c r="C88" s="613" t="s">
        <v>198</v>
      </c>
      <c r="D88" s="1031">
        <v>40057</v>
      </c>
      <c r="E88" s="584"/>
      <c r="F88" s="1031">
        <v>10500</v>
      </c>
      <c r="G88" s="1026">
        <f t="shared" si="5"/>
        <v>50557</v>
      </c>
      <c r="H88" s="154"/>
      <c r="I88" s="154"/>
      <c r="K88" s="154"/>
    </row>
    <row r="89" spans="1:11" s="95" customFormat="1" ht="18.75" customHeight="1">
      <c r="A89" s="76"/>
      <c r="B89" s="78">
        <v>85410</v>
      </c>
      <c r="C89" s="78" t="s">
        <v>279</v>
      </c>
      <c r="D89" s="563">
        <v>7386200</v>
      </c>
      <c r="E89" s="523"/>
      <c r="F89" s="523"/>
      <c r="G89" s="523">
        <f t="shared" si="5"/>
        <v>7386200</v>
      </c>
      <c r="H89" s="137"/>
      <c r="I89" s="137"/>
      <c r="K89" s="94"/>
    </row>
    <row r="90" spans="1:11" s="95" customFormat="1" ht="18.75" customHeight="1">
      <c r="A90" s="80"/>
      <c r="B90" s="66"/>
      <c r="C90" s="537" t="s">
        <v>117</v>
      </c>
      <c r="D90" s="142">
        <v>1525500</v>
      </c>
      <c r="E90" s="564"/>
      <c r="F90" s="564"/>
      <c r="G90" s="564">
        <f t="shared" si="5"/>
        <v>1525500</v>
      </c>
      <c r="H90" s="137"/>
      <c r="I90" s="137"/>
      <c r="K90" s="94"/>
    </row>
    <row r="91" spans="1:11" s="561" customFormat="1" ht="18.75" customHeight="1">
      <c r="A91" s="203"/>
      <c r="B91" s="167"/>
      <c r="C91" s="534" t="s">
        <v>20</v>
      </c>
      <c r="D91" s="415">
        <v>105000</v>
      </c>
      <c r="E91" s="315"/>
      <c r="F91" s="315">
        <v>12200</v>
      </c>
      <c r="G91" s="415">
        <f t="shared" si="5"/>
        <v>117200</v>
      </c>
      <c r="H91" s="154"/>
      <c r="I91" s="154"/>
      <c r="K91" s="562"/>
    </row>
    <row r="92" spans="1:11" s="130" customFormat="1" ht="18.75" customHeight="1">
      <c r="A92" s="76"/>
      <c r="B92" s="77">
        <v>85421</v>
      </c>
      <c r="C92" s="77" t="s">
        <v>338</v>
      </c>
      <c r="D92" s="136">
        <v>570000</v>
      </c>
      <c r="E92" s="136">
        <f>E93</f>
        <v>10500</v>
      </c>
      <c r="F92" s="136"/>
      <c r="G92" s="136">
        <f t="shared" si="5"/>
        <v>559500</v>
      </c>
      <c r="H92" s="137"/>
      <c r="I92" s="137"/>
      <c r="K92" s="137"/>
    </row>
    <row r="93" spans="1:11" s="130" customFormat="1" ht="19.5" customHeight="1">
      <c r="A93" s="80"/>
      <c r="B93" s="464"/>
      <c r="C93" s="537" t="s">
        <v>117</v>
      </c>
      <c r="D93" s="143">
        <v>69550</v>
      </c>
      <c r="E93" s="143">
        <v>10500</v>
      </c>
      <c r="F93" s="143"/>
      <c r="G93" s="143">
        <f t="shared" si="5"/>
        <v>59050</v>
      </c>
      <c r="H93" s="137"/>
      <c r="I93" s="137"/>
      <c r="K93" s="137"/>
    </row>
    <row r="94" spans="1:11" s="157" customFormat="1" ht="19.5" customHeight="1">
      <c r="A94" s="202"/>
      <c r="B94" s="81"/>
      <c r="C94" s="766" t="s">
        <v>541</v>
      </c>
      <c r="D94" s="144">
        <v>15000</v>
      </c>
      <c r="E94" s="144">
        <v>10500</v>
      </c>
      <c r="F94" s="144"/>
      <c r="G94" s="144">
        <f t="shared" si="5"/>
        <v>4500</v>
      </c>
      <c r="H94" s="156"/>
      <c r="I94" s="156"/>
      <c r="K94" s="156"/>
    </row>
    <row r="95" spans="1:11" s="95" customFormat="1" ht="18.75" customHeight="1">
      <c r="A95" s="76"/>
      <c r="B95" s="77">
        <v>85495</v>
      </c>
      <c r="C95" s="77" t="s">
        <v>96</v>
      </c>
      <c r="D95" s="136">
        <v>6566458</v>
      </c>
      <c r="E95" s="79"/>
      <c r="F95" s="79">
        <f>F96</f>
        <v>57690</v>
      </c>
      <c r="G95" s="79">
        <f t="shared" si="5"/>
        <v>6624148</v>
      </c>
      <c r="H95" s="137"/>
      <c r="I95" s="137"/>
      <c r="K95" s="94"/>
    </row>
    <row r="96" spans="1:11" s="95" customFormat="1" ht="18.75" customHeight="1">
      <c r="A96" s="80"/>
      <c r="B96" s="464"/>
      <c r="C96" s="920" t="s">
        <v>349</v>
      </c>
      <c r="D96" s="921">
        <v>6352800</v>
      </c>
      <c r="E96" s="922"/>
      <c r="F96" s="922">
        <f>F97+F98+F99+F100</f>
        <v>57690</v>
      </c>
      <c r="G96" s="922">
        <f t="shared" si="5"/>
        <v>6410490</v>
      </c>
      <c r="H96" s="137"/>
      <c r="I96" s="137"/>
      <c r="K96" s="94"/>
    </row>
    <row r="97" spans="1:11" s="95" customFormat="1" ht="18.75" customHeight="1">
      <c r="A97" s="80"/>
      <c r="B97" s="66"/>
      <c r="C97" s="699" t="s">
        <v>200</v>
      </c>
      <c r="D97" s="923">
        <v>4131100</v>
      </c>
      <c r="E97" s="924"/>
      <c r="F97" s="924">
        <v>23180</v>
      </c>
      <c r="G97" s="924">
        <f>D97-E97+F97</f>
        <v>4154280</v>
      </c>
      <c r="H97" s="137"/>
      <c r="I97" s="137"/>
      <c r="K97" s="94"/>
    </row>
    <row r="98" spans="1:11" s="95" customFormat="1" ht="18.75" customHeight="1">
      <c r="A98" s="80"/>
      <c r="B98" s="66"/>
      <c r="C98" s="620" t="s">
        <v>117</v>
      </c>
      <c r="D98" s="862">
        <v>1416400</v>
      </c>
      <c r="E98" s="621"/>
      <c r="F98" s="621">
        <f>29960-6500</f>
        <v>23460</v>
      </c>
      <c r="G98" s="621">
        <f>D98+F98-E98</f>
        <v>1439860</v>
      </c>
      <c r="H98" s="137"/>
      <c r="I98" s="137"/>
      <c r="K98" s="94"/>
    </row>
    <row r="99" spans="1:11" s="95" customFormat="1" ht="18.75" customHeight="1">
      <c r="A99" s="80"/>
      <c r="B99" s="66"/>
      <c r="C99" s="535" t="s">
        <v>142</v>
      </c>
      <c r="D99" s="1017">
        <v>796300</v>
      </c>
      <c r="E99" s="556"/>
      <c r="F99" s="556">
        <v>4550</v>
      </c>
      <c r="G99" s="556">
        <f>D99+F99-E99</f>
        <v>800850</v>
      </c>
      <c r="H99" s="137"/>
      <c r="I99" s="137"/>
      <c r="K99" s="94"/>
    </row>
    <row r="100" spans="1:11" s="130" customFormat="1" ht="21" customHeight="1">
      <c r="A100" s="863"/>
      <c r="B100" s="69"/>
      <c r="C100" s="69" t="s">
        <v>198</v>
      </c>
      <c r="D100" s="1020">
        <v>9000</v>
      </c>
      <c r="E100" s="1020"/>
      <c r="F100" s="1020">
        <v>6500</v>
      </c>
      <c r="G100" s="1020">
        <f>D100+F100-E100</f>
        <v>15500</v>
      </c>
      <c r="H100" s="137"/>
      <c r="I100" s="137"/>
      <c r="K100" s="137"/>
    </row>
    <row r="101" spans="1:11" ht="19.5" customHeight="1">
      <c r="A101" s="73">
        <v>900</v>
      </c>
      <c r="B101" s="73"/>
      <c r="C101" s="73" t="s">
        <v>377</v>
      </c>
      <c r="D101" s="74">
        <v>63154206</v>
      </c>
      <c r="E101" s="75">
        <f>E102+E104+E106</f>
        <v>400000</v>
      </c>
      <c r="F101" s="75">
        <f>F102+F104+F106</f>
        <v>593173</v>
      </c>
      <c r="G101" s="75">
        <f>D101-E101+F101</f>
        <v>63347379</v>
      </c>
      <c r="H101" s="47"/>
      <c r="I101" s="47"/>
      <c r="K101" s="47"/>
    </row>
    <row r="102" spans="1:11" s="130" customFormat="1" ht="19.5" customHeight="1">
      <c r="A102" s="76"/>
      <c r="B102" s="77">
        <v>90001</v>
      </c>
      <c r="C102" s="77" t="s">
        <v>314</v>
      </c>
      <c r="D102" s="136">
        <v>11312000</v>
      </c>
      <c r="E102" s="136">
        <f>E103</f>
        <v>400000</v>
      </c>
      <c r="F102" s="136"/>
      <c r="G102" s="136">
        <f aca="true" t="shared" si="6" ref="G102:G107">D102+F102-E102</f>
        <v>10912000</v>
      </c>
      <c r="H102" s="137"/>
      <c r="I102" s="137"/>
      <c r="K102" s="137"/>
    </row>
    <row r="103" spans="1:11" s="130" customFormat="1" ht="19.5" customHeight="1">
      <c r="A103" s="80"/>
      <c r="B103" s="613"/>
      <c r="C103" s="613" t="s">
        <v>198</v>
      </c>
      <c r="D103" s="1007">
        <v>8895000</v>
      </c>
      <c r="E103" s="1007">
        <v>400000</v>
      </c>
      <c r="F103" s="1007"/>
      <c r="G103" s="1007">
        <f t="shared" si="6"/>
        <v>8495000</v>
      </c>
      <c r="H103" s="137"/>
      <c r="I103" s="137"/>
      <c r="K103" s="137"/>
    </row>
    <row r="104" spans="1:11" s="157" customFormat="1" ht="19.5" customHeight="1">
      <c r="A104" s="202"/>
      <c r="B104" s="78">
        <v>90002</v>
      </c>
      <c r="C104" s="78" t="s">
        <v>315</v>
      </c>
      <c r="D104" s="884">
        <v>15979206</v>
      </c>
      <c r="E104" s="884"/>
      <c r="F104" s="884">
        <f>F105</f>
        <v>193173</v>
      </c>
      <c r="G104" s="563">
        <f t="shared" si="6"/>
        <v>16172379</v>
      </c>
      <c r="H104" s="156"/>
      <c r="I104" s="156"/>
      <c r="K104" s="156"/>
    </row>
    <row r="105" spans="1:11" s="157" customFormat="1" ht="19.5" customHeight="1">
      <c r="A105" s="202"/>
      <c r="B105" s="480"/>
      <c r="C105" s="546" t="s">
        <v>198</v>
      </c>
      <c r="D105" s="1007">
        <v>11559206</v>
      </c>
      <c r="E105" s="1007"/>
      <c r="F105" s="1007">
        <v>193173</v>
      </c>
      <c r="G105" s="1007">
        <f t="shared" si="6"/>
        <v>11752379</v>
      </c>
      <c r="H105" s="156"/>
      <c r="I105" s="156"/>
      <c r="K105" s="156"/>
    </row>
    <row r="106" spans="1:11" s="130" customFormat="1" ht="21" customHeight="1">
      <c r="A106" s="76"/>
      <c r="B106" s="78">
        <v>90095</v>
      </c>
      <c r="C106" s="673" t="s">
        <v>96</v>
      </c>
      <c r="D106" s="563">
        <v>14746000</v>
      </c>
      <c r="E106" s="563"/>
      <c r="F106" s="563">
        <f>F107</f>
        <v>400000</v>
      </c>
      <c r="G106" s="563">
        <f t="shared" si="6"/>
        <v>15146000</v>
      </c>
      <c r="H106" s="137"/>
      <c r="I106" s="137"/>
      <c r="K106" s="137"/>
    </row>
    <row r="107" spans="1:11" s="130" customFormat="1" ht="19.5" customHeight="1">
      <c r="A107" s="863"/>
      <c r="B107" s="69"/>
      <c r="C107" s="69" t="s">
        <v>198</v>
      </c>
      <c r="D107" s="1007">
        <v>14596000</v>
      </c>
      <c r="E107" s="1007"/>
      <c r="F107" s="1007">
        <v>400000</v>
      </c>
      <c r="G107" s="1007">
        <f t="shared" si="6"/>
        <v>14996000</v>
      </c>
      <c r="H107" s="137"/>
      <c r="I107" s="137"/>
      <c r="K107" s="137"/>
    </row>
    <row r="108" spans="1:11" s="130" customFormat="1" ht="19.5" customHeight="1">
      <c r="A108" s="73">
        <v>921</v>
      </c>
      <c r="B108" s="73"/>
      <c r="C108" s="73" t="s">
        <v>317</v>
      </c>
      <c r="D108" s="74">
        <v>15140586</v>
      </c>
      <c r="E108" s="74"/>
      <c r="F108" s="74">
        <f>F109</f>
        <v>5000</v>
      </c>
      <c r="G108" s="75">
        <f aca="true" t="shared" si="7" ref="G108:G128">D108+F108-E108</f>
        <v>15145586</v>
      </c>
      <c r="H108" s="137"/>
      <c r="I108" s="137"/>
      <c r="K108" s="137"/>
    </row>
    <row r="109" spans="1:11" s="130" customFormat="1" ht="19.5" customHeight="1">
      <c r="A109" s="93"/>
      <c r="B109" s="78">
        <v>92105</v>
      </c>
      <c r="C109" s="78" t="s">
        <v>450</v>
      </c>
      <c r="D109" s="563">
        <v>821586</v>
      </c>
      <c r="E109" s="136"/>
      <c r="F109" s="136">
        <f>F110</f>
        <v>5000</v>
      </c>
      <c r="G109" s="563">
        <f t="shared" si="7"/>
        <v>826586</v>
      </c>
      <c r="H109" s="137"/>
      <c r="I109" s="137"/>
      <c r="K109" s="137"/>
    </row>
    <row r="110" spans="1:11" s="130" customFormat="1" ht="19.5" customHeight="1">
      <c r="A110" s="93"/>
      <c r="B110" s="66"/>
      <c r="C110" s="861" t="s">
        <v>14</v>
      </c>
      <c r="D110" s="1020"/>
      <c r="E110" s="1004"/>
      <c r="F110" s="1004">
        <v>5000</v>
      </c>
      <c r="G110" s="1020">
        <f t="shared" si="7"/>
        <v>5000</v>
      </c>
      <c r="H110" s="137"/>
      <c r="I110" s="137"/>
      <c r="K110" s="137"/>
    </row>
    <row r="111" spans="1:11" ht="21" customHeight="1">
      <c r="A111" s="72">
        <v>926</v>
      </c>
      <c r="B111" s="89"/>
      <c r="C111" s="92" t="s">
        <v>318</v>
      </c>
      <c r="D111" s="74">
        <v>19758114</v>
      </c>
      <c r="E111" s="75"/>
      <c r="F111" s="75"/>
      <c r="G111" s="75">
        <f t="shared" si="7"/>
        <v>19758114</v>
      </c>
      <c r="H111" s="47"/>
      <c r="I111" s="47"/>
      <c r="K111" s="47"/>
    </row>
    <row r="112" spans="1:11" s="130" customFormat="1" ht="18.75" customHeight="1">
      <c r="A112" s="76"/>
      <c r="B112" s="78">
        <v>92605</v>
      </c>
      <c r="C112" s="78" t="s">
        <v>333</v>
      </c>
      <c r="D112" s="563">
        <v>3840000</v>
      </c>
      <c r="E112" s="563"/>
      <c r="F112" s="563"/>
      <c r="G112" s="563">
        <f t="shared" si="7"/>
        <v>3840000</v>
      </c>
      <c r="H112" s="137"/>
      <c r="I112" s="137"/>
      <c r="K112" s="137"/>
    </row>
    <row r="113" spans="1:11" s="130" customFormat="1" ht="18.75" customHeight="1">
      <c r="A113" s="80"/>
      <c r="B113" s="66"/>
      <c r="C113" s="579" t="s">
        <v>156</v>
      </c>
      <c r="D113" s="261">
        <v>800000</v>
      </c>
      <c r="E113" s="261"/>
      <c r="F113" s="261"/>
      <c r="G113" s="261">
        <f t="shared" si="7"/>
        <v>800000</v>
      </c>
      <c r="H113" s="137"/>
      <c r="I113" s="137"/>
      <c r="K113" s="137"/>
    </row>
    <row r="114" spans="1:11" s="157" customFormat="1" ht="18.75" customHeight="1">
      <c r="A114" s="202"/>
      <c r="B114" s="81"/>
      <c r="C114" s="1034" t="s">
        <v>540</v>
      </c>
      <c r="D114" s="144">
        <v>624624</v>
      </c>
      <c r="E114" s="144"/>
      <c r="F114" s="144">
        <v>29</v>
      </c>
      <c r="G114" s="144">
        <f t="shared" si="7"/>
        <v>624653</v>
      </c>
      <c r="H114" s="156"/>
      <c r="I114" s="156"/>
      <c r="K114" s="156"/>
    </row>
    <row r="115" spans="1:11" ht="27.75" customHeight="1">
      <c r="A115" s="69"/>
      <c r="B115" s="69"/>
      <c r="C115" s="1102" t="s">
        <v>64</v>
      </c>
      <c r="D115" s="1103">
        <v>5057548</v>
      </c>
      <c r="E115" s="1103"/>
      <c r="F115" s="1103"/>
      <c r="G115" s="1103">
        <f t="shared" si="7"/>
        <v>5057548</v>
      </c>
      <c r="H115" s="47"/>
      <c r="I115" s="47"/>
      <c r="K115" s="47"/>
    </row>
    <row r="116" spans="1:11" ht="20.25" customHeight="1" thickBot="1">
      <c r="A116" s="66"/>
      <c r="B116" s="66"/>
      <c r="C116" s="1100" t="s">
        <v>126</v>
      </c>
      <c r="D116" s="1101">
        <v>99373034</v>
      </c>
      <c r="E116" s="1101">
        <f>E117+E118</f>
        <v>5287</v>
      </c>
      <c r="F116" s="1101">
        <f>F117+F118</f>
        <v>64459</v>
      </c>
      <c r="G116" s="1101">
        <f t="shared" si="7"/>
        <v>99432206</v>
      </c>
      <c r="H116" s="47">
        <f>F116-E116</f>
        <v>59172</v>
      </c>
      <c r="I116" s="47"/>
      <c r="K116" s="47"/>
    </row>
    <row r="117" spans="1:11" s="192" customFormat="1" ht="21" customHeight="1" thickBot="1">
      <c r="A117" s="167"/>
      <c r="B117" s="167"/>
      <c r="C117" s="160" t="s">
        <v>127</v>
      </c>
      <c r="D117" s="191">
        <v>77259529</v>
      </c>
      <c r="E117" s="191"/>
      <c r="F117" s="191"/>
      <c r="G117" s="191">
        <f t="shared" si="7"/>
        <v>77259529</v>
      </c>
      <c r="H117" s="193"/>
      <c r="I117" s="193"/>
      <c r="K117" s="193"/>
    </row>
    <row r="118" spans="1:11" s="192" customFormat="1" ht="29.25" customHeight="1" thickBot="1" thickTop="1">
      <c r="A118" s="313"/>
      <c r="B118" s="313"/>
      <c r="C118" s="636" t="s">
        <v>128</v>
      </c>
      <c r="D118" s="971">
        <v>22113505</v>
      </c>
      <c r="E118" s="971">
        <f>E119+E122+E126</f>
        <v>5287</v>
      </c>
      <c r="F118" s="971">
        <f>F119+F122+F126</f>
        <v>64459</v>
      </c>
      <c r="G118" s="971">
        <f t="shared" si="7"/>
        <v>22172677</v>
      </c>
      <c r="H118" s="193"/>
      <c r="I118" s="193"/>
      <c r="K118" s="193"/>
    </row>
    <row r="119" spans="1:11" s="192" customFormat="1" ht="19.5" customHeight="1" thickTop="1">
      <c r="A119" s="89">
        <v>700</v>
      </c>
      <c r="B119" s="89"/>
      <c r="C119" s="89" t="s">
        <v>129</v>
      </c>
      <c r="D119" s="75">
        <v>708000</v>
      </c>
      <c r="E119" s="75"/>
      <c r="F119" s="75">
        <f>F120</f>
        <v>1251</v>
      </c>
      <c r="G119" s="602">
        <f t="shared" si="7"/>
        <v>709251</v>
      </c>
      <c r="H119" s="193"/>
      <c r="I119" s="193"/>
      <c r="K119" s="193"/>
    </row>
    <row r="120" spans="1:11" s="192" customFormat="1" ht="19.5" customHeight="1">
      <c r="A120" s="530"/>
      <c r="B120" s="78">
        <v>70005</v>
      </c>
      <c r="C120" s="78" t="s">
        <v>130</v>
      </c>
      <c r="D120" s="136">
        <v>708000</v>
      </c>
      <c r="E120" s="136"/>
      <c r="F120" s="136">
        <f>F121</f>
        <v>1251</v>
      </c>
      <c r="G120" s="308">
        <f t="shared" si="7"/>
        <v>709251</v>
      </c>
      <c r="H120" s="193"/>
      <c r="I120" s="193"/>
      <c r="K120" s="193"/>
    </row>
    <row r="121" spans="1:11" s="192" customFormat="1" ht="19.5" customHeight="1">
      <c r="A121" s="80"/>
      <c r="B121" s="464"/>
      <c r="C121" s="1035" t="s">
        <v>29</v>
      </c>
      <c r="D121" s="1007">
        <v>708000</v>
      </c>
      <c r="E121" s="1007"/>
      <c r="F121" s="1007">
        <v>1251</v>
      </c>
      <c r="G121" s="1036">
        <f t="shared" si="7"/>
        <v>709251</v>
      </c>
      <c r="H121" s="193"/>
      <c r="I121" s="193"/>
      <c r="K121" s="193"/>
    </row>
    <row r="122" spans="1:11" s="192" customFormat="1" ht="18.75" customHeight="1">
      <c r="A122" s="72">
        <v>710</v>
      </c>
      <c r="B122" s="89"/>
      <c r="C122" s="629" t="s">
        <v>312</v>
      </c>
      <c r="D122" s="602">
        <v>562505</v>
      </c>
      <c r="E122" s="602">
        <f>E123</f>
        <v>5287</v>
      </c>
      <c r="F122" s="602">
        <f>F123</f>
        <v>57017</v>
      </c>
      <c r="G122" s="602">
        <f t="shared" si="7"/>
        <v>614235</v>
      </c>
      <c r="H122" s="193"/>
      <c r="I122" s="193"/>
      <c r="K122" s="193"/>
    </row>
    <row r="123" spans="1:11" s="192" customFormat="1" ht="18.75" customHeight="1">
      <c r="A123" s="140"/>
      <c r="B123" s="78">
        <v>71015</v>
      </c>
      <c r="C123" s="316" t="s">
        <v>446</v>
      </c>
      <c r="D123" s="308">
        <v>451168</v>
      </c>
      <c r="E123" s="308">
        <f>E124</f>
        <v>5287</v>
      </c>
      <c r="F123" s="308">
        <f>F125</f>
        <v>57017</v>
      </c>
      <c r="G123" s="308">
        <f t="shared" si="7"/>
        <v>502898</v>
      </c>
      <c r="H123" s="193"/>
      <c r="I123" s="193"/>
      <c r="K123" s="193"/>
    </row>
    <row r="124" spans="1:11" s="192" customFormat="1" ht="18.75" customHeight="1">
      <c r="A124" s="167"/>
      <c r="B124" s="167"/>
      <c r="C124" s="792" t="s">
        <v>200</v>
      </c>
      <c r="D124" s="999">
        <v>325900</v>
      </c>
      <c r="E124" s="999">
        <v>5287</v>
      </c>
      <c r="F124" s="999"/>
      <c r="G124" s="999">
        <f t="shared" si="7"/>
        <v>320613</v>
      </c>
      <c r="H124" s="193"/>
      <c r="I124" s="193"/>
      <c r="K124" s="193"/>
    </row>
    <row r="125" spans="1:11" s="192" customFormat="1" ht="18.75" customHeight="1">
      <c r="A125" s="93"/>
      <c r="B125" s="579"/>
      <c r="C125" s="1037" t="s">
        <v>117</v>
      </c>
      <c r="D125" s="1038">
        <v>60068</v>
      </c>
      <c r="E125" s="1038"/>
      <c r="F125" s="1038">
        <v>57017</v>
      </c>
      <c r="G125" s="1038">
        <f t="shared" si="7"/>
        <v>117085</v>
      </c>
      <c r="H125" s="193"/>
      <c r="I125" s="193"/>
      <c r="K125" s="193"/>
    </row>
    <row r="126" spans="1:11" s="192" customFormat="1" ht="19.5" customHeight="1">
      <c r="A126" s="72">
        <v>853</v>
      </c>
      <c r="B126" s="89"/>
      <c r="C126" s="629" t="s">
        <v>141</v>
      </c>
      <c r="D126" s="75">
        <v>585369</v>
      </c>
      <c r="E126" s="75"/>
      <c r="F126" s="602">
        <f>F127</f>
        <v>6191</v>
      </c>
      <c r="G126" s="602">
        <f t="shared" si="7"/>
        <v>591560</v>
      </c>
      <c r="H126" s="193"/>
      <c r="I126" s="193"/>
      <c r="K126" s="193"/>
    </row>
    <row r="127" spans="1:11" s="192" customFormat="1" ht="19.5" customHeight="1">
      <c r="A127" s="140"/>
      <c r="B127" s="78">
        <v>85334</v>
      </c>
      <c r="C127" s="316" t="s">
        <v>372</v>
      </c>
      <c r="D127" s="136">
        <v>33369</v>
      </c>
      <c r="E127" s="136"/>
      <c r="F127" s="308">
        <f>F128</f>
        <v>6191</v>
      </c>
      <c r="G127" s="308">
        <f t="shared" si="7"/>
        <v>39560</v>
      </c>
      <c r="H127" s="193"/>
      <c r="I127" s="193"/>
      <c r="K127" s="193"/>
    </row>
    <row r="128" spans="1:11" s="192" customFormat="1" ht="19.5" customHeight="1">
      <c r="A128" s="313"/>
      <c r="B128" s="313"/>
      <c r="C128" s="1035" t="s">
        <v>373</v>
      </c>
      <c r="D128" s="1007">
        <v>33369</v>
      </c>
      <c r="E128" s="1007"/>
      <c r="F128" s="1036">
        <v>6191</v>
      </c>
      <c r="G128" s="1036">
        <f t="shared" si="7"/>
        <v>39560</v>
      </c>
      <c r="H128" s="193"/>
      <c r="I128" s="193"/>
      <c r="K128" s="193"/>
    </row>
    <row r="129" spans="1:11" s="95" customFormat="1" ht="18.75" customHeight="1">
      <c r="A129" s="22"/>
      <c r="B129" s="22"/>
      <c r="C129" s="22"/>
      <c r="D129" s="22"/>
      <c r="E129" s="22"/>
      <c r="F129" s="22"/>
      <c r="G129" s="22"/>
      <c r="H129" s="94"/>
      <c r="I129" s="94"/>
      <c r="K129" s="94"/>
    </row>
    <row r="130" spans="1:11" s="45" customFormat="1" ht="18.75" customHeight="1">
      <c r="A130" s="22"/>
      <c r="B130" s="22"/>
      <c r="C130" s="22"/>
      <c r="D130" s="22"/>
      <c r="E130" s="22"/>
      <c r="F130" s="22"/>
      <c r="G130" s="22"/>
      <c r="H130" s="126"/>
      <c r="I130" s="126"/>
      <c r="K130" s="126"/>
    </row>
    <row r="131" spans="1:11" s="45" customFormat="1" ht="18.75" customHeight="1">
      <c r="A131" s="22"/>
      <c r="B131" s="22"/>
      <c r="C131" s="1201" t="s">
        <v>562</v>
      </c>
      <c r="D131" s="1201" t="s">
        <v>559</v>
      </c>
      <c r="E131" s="22"/>
      <c r="F131" s="22"/>
      <c r="G131" s="22"/>
      <c r="H131" s="126"/>
      <c r="I131" s="126"/>
      <c r="K131" s="126"/>
    </row>
    <row r="132" spans="3:11" ht="21" customHeight="1">
      <c r="C132" s="1201" t="s">
        <v>563</v>
      </c>
      <c r="D132" s="1201" t="s">
        <v>560</v>
      </c>
      <c r="H132" s="47"/>
      <c r="I132" s="47"/>
      <c r="K132" s="47"/>
    </row>
    <row r="133" spans="3:11" ht="21" customHeight="1">
      <c r="C133" s="1201" t="s">
        <v>558</v>
      </c>
      <c r="D133" s="1201" t="s">
        <v>561</v>
      </c>
      <c r="H133" s="47"/>
      <c r="I133" s="47"/>
      <c r="K133" s="47"/>
    </row>
    <row r="134" ht="18.75" customHeight="1"/>
    <row r="135" ht="18.75" customHeight="1"/>
    <row r="136" spans="8:11" ht="21" customHeight="1">
      <c r="H136" s="47"/>
      <c r="I136" s="47"/>
      <c r="K136" s="47"/>
    </row>
    <row r="137" ht="18.75" customHeight="1"/>
    <row r="138" ht="19.5" customHeight="1"/>
    <row r="139" ht="19.5" customHeight="1"/>
    <row r="140" ht="19.5" customHeight="1"/>
    <row r="141" ht="18.75" customHeight="1"/>
    <row r="142" ht="18.75" customHeight="1"/>
    <row r="143" ht="28.5" customHeight="1"/>
    <row r="144" spans="1:8" s="33" customFormat="1" ht="18.75" customHeight="1">
      <c r="A144" s="22"/>
      <c r="B144" s="22"/>
      <c r="C144" s="22"/>
      <c r="D144" s="22"/>
      <c r="E144" s="22"/>
      <c r="F144" s="22"/>
      <c r="G144" s="22"/>
      <c r="H144" s="127"/>
    </row>
    <row r="145" spans="1:8" s="33" customFormat="1" ht="18.75" customHeight="1">
      <c r="A145" s="22"/>
      <c r="B145" s="22"/>
      <c r="C145" s="22"/>
      <c r="D145" s="22"/>
      <c r="E145" s="22"/>
      <c r="F145" s="22"/>
      <c r="G145" s="22"/>
      <c r="H145" s="127"/>
    </row>
    <row r="146" spans="1:8" s="33" customFormat="1" ht="18.75" customHeight="1">
      <c r="A146" s="22"/>
      <c r="B146" s="22"/>
      <c r="C146" s="22"/>
      <c r="D146" s="22"/>
      <c r="E146" s="22"/>
      <c r="F146" s="22"/>
      <c r="G146" s="22"/>
      <c r="H146" s="127"/>
    </row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spans="1:8" s="33" customFormat="1" ht="19.5" customHeight="1">
      <c r="A155" s="22"/>
      <c r="B155" s="22"/>
      <c r="C155" s="22"/>
      <c r="D155" s="22"/>
      <c r="E155" s="22"/>
      <c r="F155" s="22"/>
      <c r="G155" s="22"/>
      <c r="H155" s="128"/>
    </row>
    <row r="156" spans="1:8" s="33" customFormat="1" ht="18.75" customHeight="1">
      <c r="A156" s="22"/>
      <c r="B156" s="22"/>
      <c r="C156" s="22"/>
      <c r="D156" s="22"/>
      <c r="E156" s="22"/>
      <c r="F156" s="22"/>
      <c r="G156" s="22"/>
      <c r="H156" s="127"/>
    </row>
    <row r="157" spans="1:8" s="33" customFormat="1" ht="18.75" customHeight="1">
      <c r="A157" s="22"/>
      <c r="B157" s="22"/>
      <c r="C157" s="22"/>
      <c r="D157" s="22"/>
      <c r="E157" s="22"/>
      <c r="F157" s="22"/>
      <c r="G157" s="22"/>
      <c r="H157" s="127"/>
    </row>
    <row r="158" spans="1:8" s="33" customFormat="1" ht="18.75" customHeight="1">
      <c r="A158" s="22"/>
      <c r="B158" s="22"/>
      <c r="C158" s="22"/>
      <c r="D158" s="22"/>
      <c r="E158" s="22"/>
      <c r="F158" s="22"/>
      <c r="G158" s="22"/>
      <c r="H158" s="127"/>
    </row>
    <row r="159" ht="19.5" customHeight="1"/>
    <row r="160" ht="18.75" customHeight="1"/>
    <row r="161" spans="1:8" s="33" customFormat="1" ht="18.75" customHeight="1">
      <c r="A161" s="22"/>
      <c r="B161" s="22"/>
      <c r="C161" s="22"/>
      <c r="D161" s="22"/>
      <c r="E161" s="22"/>
      <c r="F161" s="22"/>
      <c r="G161" s="22"/>
      <c r="H161" s="127"/>
    </row>
    <row r="162" ht="18.75" customHeight="1"/>
    <row r="163" spans="1:8" s="33" customFormat="1" ht="18.75" customHeight="1">
      <c r="A163" s="22"/>
      <c r="B163" s="22"/>
      <c r="C163" s="22"/>
      <c r="D163" s="22"/>
      <c r="E163" s="22"/>
      <c r="F163" s="22"/>
      <c r="G163" s="22"/>
      <c r="H163" s="127"/>
    </row>
    <row r="164" spans="1:8" s="33" customFormat="1" ht="27" customHeight="1">
      <c r="A164" s="22"/>
      <c r="B164" s="22"/>
      <c r="C164" s="22"/>
      <c r="D164" s="22"/>
      <c r="E164" s="22"/>
      <c r="F164" s="22"/>
      <c r="G164" s="22"/>
      <c r="H164" s="127"/>
    </row>
    <row r="165" spans="1:8" s="33" customFormat="1" ht="18.75" customHeight="1">
      <c r="A165" s="22"/>
      <c r="B165" s="22"/>
      <c r="C165" s="22"/>
      <c r="D165" s="22"/>
      <c r="E165" s="22"/>
      <c r="F165" s="22"/>
      <c r="G165" s="22"/>
      <c r="H165" s="127"/>
    </row>
    <row r="166" spans="1:8" s="33" customFormat="1" ht="19.5" customHeight="1">
      <c r="A166" s="22"/>
      <c r="B166" s="22"/>
      <c r="C166" s="22"/>
      <c r="D166" s="22"/>
      <c r="E166" s="22"/>
      <c r="F166" s="22"/>
      <c r="G166" s="22"/>
      <c r="H166" s="127"/>
    </row>
    <row r="167" ht="19.5" customHeight="1"/>
    <row r="168" ht="19.5" customHeight="1"/>
    <row r="169" ht="19.5" customHeight="1"/>
    <row r="170" ht="19.5" customHeight="1"/>
    <row r="171" ht="19.5" customHeight="1"/>
    <row r="172" spans="1:8" s="33" customFormat="1" ht="18.75" customHeight="1">
      <c r="A172" s="22"/>
      <c r="B172" s="22"/>
      <c r="C172" s="22"/>
      <c r="D172" s="22"/>
      <c r="E172" s="22"/>
      <c r="F172" s="22"/>
      <c r="G172" s="22"/>
      <c r="H172" s="127"/>
    </row>
    <row r="173" spans="1:8" s="33" customFormat="1" ht="19.5" customHeight="1">
      <c r="A173" s="22"/>
      <c r="B173" s="22"/>
      <c r="C173" s="22"/>
      <c r="D173" s="22"/>
      <c r="E173" s="22"/>
      <c r="F173" s="22"/>
      <c r="G173" s="22"/>
      <c r="H173" s="127"/>
    </row>
    <row r="174" ht="19.5" customHeight="1"/>
    <row r="175" ht="18.75" customHeight="1"/>
    <row r="176" ht="18" customHeight="1"/>
    <row r="177" ht="28.5" customHeight="1"/>
    <row r="178" ht="20.25" customHeight="1"/>
    <row r="179" ht="18" customHeight="1"/>
    <row r="180" ht="19.5" customHeight="1"/>
    <row r="181" ht="20.25" customHeight="1"/>
    <row r="182" ht="20.25" customHeight="1"/>
    <row r="183" ht="20.25" customHeight="1"/>
    <row r="184" spans="1:7" s="33" customFormat="1" ht="27" customHeight="1">
      <c r="A184" s="22"/>
      <c r="B184" s="22"/>
      <c r="C184" s="22"/>
      <c r="D184" s="22"/>
      <c r="E184" s="22"/>
      <c r="F184" s="22"/>
      <c r="G184" s="22"/>
    </row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27.75" customHeight="1"/>
    <row r="205" ht="20.25" customHeight="1"/>
    <row r="206" ht="20.25" customHeight="1"/>
    <row r="207" ht="19.5" customHeight="1"/>
    <row r="208" ht="25.5" customHeight="1"/>
    <row r="209" ht="26.25" customHeight="1"/>
    <row r="210" ht="19.5" customHeight="1"/>
    <row r="211" ht="18.75" customHeight="1"/>
    <row r="212" ht="18" customHeight="1"/>
    <row r="213" ht="19.5" customHeight="1"/>
    <row r="214" ht="19.5" customHeight="1"/>
    <row r="215" ht="20.25" customHeight="1"/>
    <row r="216" ht="19.5" customHeight="1"/>
    <row r="217" ht="19.5" customHeight="1"/>
    <row r="218" ht="20.25" customHeight="1"/>
    <row r="219" ht="18" customHeight="1"/>
    <row r="220" ht="19.5" customHeight="1"/>
    <row r="221" ht="19.5" customHeight="1"/>
  </sheetData>
  <printOptions horizontalCentered="1"/>
  <pageMargins left="0.3937007874015748" right="0.3937007874015748" top="0.61" bottom="0.47" header="0.5118110236220472" footer="0.31496062992125984"/>
  <pageSetup firstPageNumber="7" useFirstPageNumber="1" horizontalDpi="300" verticalDpi="3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O62"/>
  <sheetViews>
    <sheetView zoomScale="90" zoomScaleNormal="90" zoomScaleSheetLayoutView="75" workbookViewId="0" topLeftCell="A1">
      <selection activeCell="C11" sqref="C11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374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1.625" style="0" customWidth="1"/>
    <col min="14" max="14" width="12.75390625" style="0" customWidth="1"/>
    <col min="15" max="15" width="12.00390625" style="0" customWidth="1"/>
  </cols>
  <sheetData>
    <row r="1" spans="3:11" s="22" customFormat="1" ht="16.5" customHeight="1">
      <c r="C1" s="317"/>
      <c r="J1" s="50"/>
      <c r="K1" s="50" t="s">
        <v>281</v>
      </c>
    </row>
    <row r="2" spans="3:11" s="22" customFormat="1" ht="16.5" customHeight="1">
      <c r="C2" s="317"/>
      <c r="H2" s="47"/>
      <c r="K2" s="22" t="s">
        <v>538</v>
      </c>
    </row>
    <row r="3" spans="3:11" s="22" customFormat="1" ht="16.5" customHeight="1">
      <c r="C3" s="318" t="s">
        <v>293</v>
      </c>
      <c r="G3" s="47"/>
      <c r="H3" s="47"/>
      <c r="K3" s="22" t="s">
        <v>67</v>
      </c>
    </row>
    <row r="4" spans="3:11" s="22" customFormat="1" ht="16.5" customHeight="1">
      <c r="C4" s="317"/>
      <c r="G4" s="47"/>
      <c r="K4" s="22" t="s">
        <v>443</v>
      </c>
    </row>
    <row r="5" spans="2:12" s="22" customFormat="1" ht="16.5" customHeight="1" thickBot="1">
      <c r="B5" s="234"/>
      <c r="C5" s="317"/>
      <c r="G5" s="47"/>
      <c r="K5" s="130"/>
      <c r="L5" s="319" t="s">
        <v>68</v>
      </c>
    </row>
    <row r="6" spans="1:12" s="22" customFormat="1" ht="42" customHeight="1" thickBot="1" thickTop="1">
      <c r="A6" s="320"/>
      <c r="B6" s="320"/>
      <c r="C6" s="321"/>
      <c r="D6" s="1164" t="s">
        <v>294</v>
      </c>
      <c r="E6" s="1166" t="s">
        <v>295</v>
      </c>
      <c r="F6" s="1167"/>
      <c r="G6" s="1168"/>
      <c r="H6" s="322"/>
      <c r="I6" s="323" t="s">
        <v>70</v>
      </c>
      <c r="J6" s="1166" t="s">
        <v>295</v>
      </c>
      <c r="K6" s="1167"/>
      <c r="L6" s="1168"/>
    </row>
    <row r="7" spans="1:12" s="22" customFormat="1" ht="47.25" customHeight="1" thickBot="1" thickTop="1">
      <c r="A7" s="324" t="s">
        <v>119</v>
      </c>
      <c r="B7" s="325" t="s">
        <v>296</v>
      </c>
      <c r="C7" s="325" t="s">
        <v>297</v>
      </c>
      <c r="D7" s="1165"/>
      <c r="E7" s="118" t="s">
        <v>298</v>
      </c>
      <c r="F7" s="118" t="s">
        <v>299</v>
      </c>
      <c r="G7" s="118" t="s">
        <v>300</v>
      </c>
      <c r="H7" s="326" t="s">
        <v>134</v>
      </c>
      <c r="I7" s="325" t="s">
        <v>301</v>
      </c>
      <c r="J7" s="118" t="s">
        <v>298</v>
      </c>
      <c r="K7" s="118" t="s">
        <v>299</v>
      </c>
      <c r="L7" s="118" t="s">
        <v>300</v>
      </c>
    </row>
    <row r="8" spans="1:12" s="18" customFormat="1" ht="18" customHeight="1" thickBot="1" thickTop="1">
      <c r="A8" s="327">
        <v>1</v>
      </c>
      <c r="B8" s="327">
        <v>2</v>
      </c>
      <c r="C8" s="328">
        <v>3</v>
      </c>
      <c r="D8" s="327">
        <v>4</v>
      </c>
      <c r="E8" s="327">
        <v>5</v>
      </c>
      <c r="F8" s="329">
        <v>6</v>
      </c>
      <c r="G8" s="327">
        <v>7</v>
      </c>
      <c r="H8" s="327">
        <v>8</v>
      </c>
      <c r="I8" s="327">
        <v>9</v>
      </c>
      <c r="J8" s="327">
        <v>10</v>
      </c>
      <c r="K8" s="329">
        <v>11</v>
      </c>
      <c r="L8" s="329">
        <v>12</v>
      </c>
    </row>
    <row r="9" spans="1:15" s="237" customFormat="1" ht="21" customHeight="1" thickBot="1" thickTop="1">
      <c r="A9" s="330"/>
      <c r="B9" s="330"/>
      <c r="C9" s="331" t="s">
        <v>302</v>
      </c>
      <c r="D9" s="332">
        <v>203674716</v>
      </c>
      <c r="E9" s="332">
        <f>136778571+9856400</f>
        <v>146634971</v>
      </c>
      <c r="F9" s="332">
        <v>50237654</v>
      </c>
      <c r="G9" s="332">
        <v>6802091</v>
      </c>
      <c r="H9" s="333">
        <f>H11+H56+H55</f>
        <v>-1243887</v>
      </c>
      <c r="I9" s="334">
        <f>D9+H9</f>
        <v>202430829</v>
      </c>
      <c r="J9" s="335">
        <f>E9+H12+H18+H22+H25+H28+H39+H42+H48+H53+74420</f>
        <v>145262131</v>
      </c>
      <c r="K9" s="335">
        <f>F9+7650+118753</f>
        <v>50364057</v>
      </c>
      <c r="L9" s="336">
        <f>G9+2550</f>
        <v>6804641</v>
      </c>
      <c r="M9" s="337"/>
      <c r="N9" s="52" t="b">
        <f>D9+H9=I9</f>
        <v>1</v>
      </c>
      <c r="O9" s="237" t="b">
        <f>I9=J9+K9+L9</f>
        <v>1</v>
      </c>
    </row>
    <row r="10" spans="1:15" s="133" customFormat="1" ht="15" customHeight="1">
      <c r="A10" s="67"/>
      <c r="B10" s="67"/>
      <c r="C10" s="338" t="s">
        <v>89</v>
      </c>
      <c r="D10" s="212"/>
      <c r="E10" s="212"/>
      <c r="F10" s="212"/>
      <c r="G10" s="339"/>
      <c r="H10" s="340"/>
      <c r="I10" s="341"/>
      <c r="J10" s="342"/>
      <c r="K10" s="342"/>
      <c r="L10" s="343"/>
      <c r="M10" s="337"/>
      <c r="N10" s="52"/>
      <c r="O10" s="237"/>
    </row>
    <row r="11" spans="1:15" ht="21" customHeight="1" thickBot="1">
      <c r="A11" s="399"/>
      <c r="B11" s="399"/>
      <c r="C11" s="246" t="s">
        <v>91</v>
      </c>
      <c r="D11" s="190">
        <f>202209406</f>
        <v>202209406</v>
      </c>
      <c r="E11" s="344">
        <f>136264261+9856400</f>
        <v>146120661</v>
      </c>
      <c r="F11" s="344">
        <v>50237654</v>
      </c>
      <c r="G11" s="344">
        <v>5851091</v>
      </c>
      <c r="H11" s="345">
        <f>H12+H17+H22+H25+H28+H39+H42+H47</f>
        <v>-1243887</v>
      </c>
      <c r="I11" s="346">
        <f aca="true" t="shared" si="0" ref="I11:I16">D11+H11</f>
        <v>200965519</v>
      </c>
      <c r="J11" s="347">
        <f>E11+H12+H18+H22+H25+H28+H39+H42+H48+H53+74420</f>
        <v>144747821</v>
      </c>
      <c r="K11" s="347">
        <f>F11+7650+118753</f>
        <v>50364057</v>
      </c>
      <c r="L11" s="348">
        <f>G11+2550</f>
        <v>5853641</v>
      </c>
      <c r="M11" s="337"/>
      <c r="N11" s="52" t="b">
        <f aca="true" t="shared" si="1" ref="N11:N56">D11+H11=I11</f>
        <v>1</v>
      </c>
      <c r="O11" s="237" t="b">
        <f aca="true" t="shared" si="2" ref="O11:O56">I11=J11+K11+L11</f>
        <v>1</v>
      </c>
    </row>
    <row r="12" spans="1:15" s="234" customFormat="1" ht="19.5" customHeight="1" thickBot="1" thickTop="1">
      <c r="A12" s="349">
        <v>600</v>
      </c>
      <c r="B12" s="349"/>
      <c r="C12" s="350" t="s">
        <v>95</v>
      </c>
      <c r="D12" s="351">
        <v>88845356</v>
      </c>
      <c r="E12" s="351">
        <f>49263000+80000</f>
        <v>49343000</v>
      </c>
      <c r="F12" s="351">
        <v>38002356</v>
      </c>
      <c r="G12" s="351">
        <v>1500000</v>
      </c>
      <c r="H12" s="352">
        <f>H13</f>
        <v>0</v>
      </c>
      <c r="I12" s="353">
        <f t="shared" si="0"/>
        <v>88845356</v>
      </c>
      <c r="J12" s="354">
        <f aca="true" t="shared" si="3" ref="J12:J36">E12+H12</f>
        <v>49343000</v>
      </c>
      <c r="K12" s="354">
        <f>F12</f>
        <v>38002356</v>
      </c>
      <c r="L12" s="355">
        <f>G12</f>
        <v>1500000</v>
      </c>
      <c r="M12" s="124"/>
      <c r="N12" s="52" t="b">
        <f t="shared" si="1"/>
        <v>1</v>
      </c>
      <c r="O12" s="237" t="b">
        <f t="shared" si="2"/>
        <v>1</v>
      </c>
    </row>
    <row r="13" spans="1:15" s="234" customFormat="1" ht="29.25" customHeight="1">
      <c r="A13" s="356"/>
      <c r="B13" s="357">
        <v>60015</v>
      </c>
      <c r="C13" s="469" t="s">
        <v>259</v>
      </c>
      <c r="D13" s="466">
        <v>77685356</v>
      </c>
      <c r="E13" s="466">
        <f>38133000+50000</f>
        <v>38183000</v>
      </c>
      <c r="F13" s="466">
        <v>38002356</v>
      </c>
      <c r="G13" s="466">
        <v>1500000</v>
      </c>
      <c r="H13" s="467">
        <f>SUM(H14:H16)</f>
        <v>0</v>
      </c>
      <c r="I13" s="468">
        <f t="shared" si="0"/>
        <v>77685356</v>
      </c>
      <c r="J13" s="469">
        <f t="shared" si="3"/>
        <v>38183000</v>
      </c>
      <c r="K13" s="469">
        <f>F13</f>
        <v>38002356</v>
      </c>
      <c r="L13" s="470">
        <f>G13</f>
        <v>1500000</v>
      </c>
      <c r="M13" s="124"/>
      <c r="N13" s="52" t="b">
        <f t="shared" si="1"/>
        <v>1</v>
      </c>
      <c r="O13" s="237" t="b">
        <f t="shared" si="2"/>
        <v>1</v>
      </c>
    </row>
    <row r="14" spans="1:15" s="22" customFormat="1" ht="21" customHeight="1">
      <c r="A14" s="356"/>
      <c r="B14" s="363"/>
      <c r="C14" s="639" t="s">
        <v>378</v>
      </c>
      <c r="D14" s="640">
        <v>4600000</v>
      </c>
      <c r="E14" s="640">
        <v>4600000</v>
      </c>
      <c r="F14" s="640"/>
      <c r="G14" s="640"/>
      <c r="H14" s="641">
        <v>-150000</v>
      </c>
      <c r="I14" s="721">
        <f t="shared" si="0"/>
        <v>4450000</v>
      </c>
      <c r="J14" s="639">
        <f t="shared" si="3"/>
        <v>4450000</v>
      </c>
      <c r="K14" s="639"/>
      <c r="L14" s="642"/>
      <c r="M14" s="47"/>
      <c r="N14" s="52" t="b">
        <f t="shared" si="1"/>
        <v>1</v>
      </c>
      <c r="O14" s="237" t="b">
        <f t="shared" si="2"/>
        <v>1</v>
      </c>
    </row>
    <row r="15" spans="1:15" s="22" customFormat="1" ht="27.75" customHeight="1">
      <c r="A15" s="356"/>
      <c r="B15" s="363"/>
      <c r="C15" s="880" t="s">
        <v>457</v>
      </c>
      <c r="D15" s="691">
        <v>13095000</v>
      </c>
      <c r="E15" s="691">
        <v>4800000</v>
      </c>
      <c r="F15" s="691">
        <v>8295000</v>
      </c>
      <c r="G15" s="691"/>
      <c r="H15" s="692">
        <v>450000</v>
      </c>
      <c r="I15" s="693">
        <f t="shared" si="0"/>
        <v>13545000</v>
      </c>
      <c r="J15" s="690">
        <f t="shared" si="3"/>
        <v>5250000</v>
      </c>
      <c r="K15" s="690">
        <f>F15</f>
        <v>8295000</v>
      </c>
      <c r="L15" s="694"/>
      <c r="M15" s="47"/>
      <c r="N15" s="52" t="b">
        <f t="shared" si="1"/>
        <v>1</v>
      </c>
      <c r="O15" s="237" t="b">
        <f t="shared" si="2"/>
        <v>1</v>
      </c>
    </row>
    <row r="16" spans="1:15" s="22" customFormat="1" ht="27.75" customHeight="1">
      <c r="A16" s="356"/>
      <c r="B16" s="363"/>
      <c r="C16" s="690" t="s">
        <v>379</v>
      </c>
      <c r="D16" s="691">
        <v>500000</v>
      </c>
      <c r="E16" s="691">
        <v>500000</v>
      </c>
      <c r="F16" s="691"/>
      <c r="G16" s="691"/>
      <c r="H16" s="692">
        <v>-300000</v>
      </c>
      <c r="I16" s="693">
        <f t="shared" si="0"/>
        <v>200000</v>
      </c>
      <c r="J16" s="690">
        <f t="shared" si="3"/>
        <v>200000</v>
      </c>
      <c r="K16" s="690"/>
      <c r="L16" s="694"/>
      <c r="M16" s="47"/>
      <c r="N16" s="52" t="b">
        <f t="shared" si="1"/>
        <v>1</v>
      </c>
      <c r="O16" s="237" t="b">
        <f t="shared" si="2"/>
        <v>1</v>
      </c>
    </row>
    <row r="17" spans="1:15" s="234" customFormat="1" ht="19.5" customHeight="1" thickBot="1">
      <c r="A17" s="349">
        <v>750</v>
      </c>
      <c r="B17" s="349"/>
      <c r="C17" s="350" t="s">
        <v>101</v>
      </c>
      <c r="D17" s="351">
        <v>6132200</v>
      </c>
      <c r="E17" s="351">
        <v>5530190</v>
      </c>
      <c r="F17" s="351">
        <v>602010</v>
      </c>
      <c r="G17" s="351"/>
      <c r="H17" s="352">
        <f>H18+H20</f>
        <v>-175770</v>
      </c>
      <c r="I17" s="353">
        <f>D17+H17</f>
        <v>5956430</v>
      </c>
      <c r="J17" s="354">
        <f>E17+H19</f>
        <v>5344220</v>
      </c>
      <c r="K17" s="354">
        <f>F17+K21</f>
        <v>609660</v>
      </c>
      <c r="L17" s="355">
        <f>L20</f>
        <v>2550</v>
      </c>
      <c r="M17" s="124"/>
      <c r="N17" s="52" t="b">
        <f t="shared" si="1"/>
        <v>1</v>
      </c>
      <c r="O17" s="237" t="b">
        <f t="shared" si="2"/>
        <v>1</v>
      </c>
    </row>
    <row r="18" spans="1:15" s="234" customFormat="1" ht="21" customHeight="1">
      <c r="A18" s="356"/>
      <c r="B18" s="357">
        <v>75023</v>
      </c>
      <c r="C18" s="77" t="s">
        <v>116</v>
      </c>
      <c r="D18" s="358">
        <v>6132200</v>
      </c>
      <c r="E18" s="358">
        <v>5530190</v>
      </c>
      <c r="F18" s="358">
        <v>602010</v>
      </c>
      <c r="G18" s="358"/>
      <c r="H18" s="359">
        <f>H19</f>
        <v>-185970</v>
      </c>
      <c r="I18" s="360">
        <f>D18+H18</f>
        <v>5946230</v>
      </c>
      <c r="J18" s="361">
        <f>E18+H18</f>
        <v>5344220</v>
      </c>
      <c r="K18" s="361">
        <f>F18</f>
        <v>602010</v>
      </c>
      <c r="L18" s="362"/>
      <c r="M18" s="124"/>
      <c r="N18" s="52" t="b">
        <f t="shared" si="1"/>
        <v>1</v>
      </c>
      <c r="O18" s="237" t="b">
        <f t="shared" si="2"/>
        <v>1</v>
      </c>
    </row>
    <row r="19" spans="1:15" s="22" customFormat="1" ht="41.25" customHeight="1">
      <c r="A19" s="356"/>
      <c r="B19" s="363"/>
      <c r="C19" s="950" t="s">
        <v>523</v>
      </c>
      <c r="D19" s="572">
        <v>200000</v>
      </c>
      <c r="E19" s="572">
        <v>200000</v>
      </c>
      <c r="F19" s="572"/>
      <c r="G19" s="572"/>
      <c r="H19" s="573">
        <f>-100000-85970</f>
        <v>-185970</v>
      </c>
      <c r="I19" s="574">
        <f>D19+H19</f>
        <v>14030</v>
      </c>
      <c r="J19" s="575">
        <f>E19+H19</f>
        <v>14030</v>
      </c>
      <c r="K19" s="575"/>
      <c r="L19" s="576"/>
      <c r="M19" s="47"/>
      <c r="N19" s="52" t="b">
        <f t="shared" si="1"/>
        <v>1</v>
      </c>
      <c r="O19" s="237" t="b">
        <f t="shared" si="2"/>
        <v>1</v>
      </c>
    </row>
    <row r="20" spans="1:15" s="234" customFormat="1" ht="21" customHeight="1">
      <c r="A20" s="356"/>
      <c r="B20" s="357">
        <v>75075</v>
      </c>
      <c r="C20" s="77" t="s">
        <v>448</v>
      </c>
      <c r="D20" s="358"/>
      <c r="E20" s="358"/>
      <c r="F20" s="358"/>
      <c r="G20" s="358"/>
      <c r="H20" s="359">
        <f>H21</f>
        <v>10200</v>
      </c>
      <c r="I20" s="360">
        <f>D20+H20</f>
        <v>10200</v>
      </c>
      <c r="J20" s="361"/>
      <c r="K20" s="361">
        <f>F20+7650</f>
        <v>7650</v>
      </c>
      <c r="L20" s="362">
        <f>G20+2550</f>
        <v>2550</v>
      </c>
      <c r="M20" s="124"/>
      <c r="N20" s="52" t="b">
        <f t="shared" si="1"/>
        <v>1</v>
      </c>
      <c r="O20" s="237" t="b">
        <f t="shared" si="2"/>
        <v>1</v>
      </c>
    </row>
    <row r="21" spans="1:15" s="22" customFormat="1" ht="28.5" customHeight="1">
      <c r="A21" s="356"/>
      <c r="B21" s="363"/>
      <c r="C21" s="880" t="s">
        <v>510</v>
      </c>
      <c r="D21" s="572"/>
      <c r="E21" s="572"/>
      <c r="F21" s="572"/>
      <c r="G21" s="572"/>
      <c r="H21" s="573">
        <v>10200</v>
      </c>
      <c r="I21" s="574">
        <f>D21+H21</f>
        <v>10200</v>
      </c>
      <c r="J21" s="575"/>
      <c r="K21" s="575">
        <f>F21+7650</f>
        <v>7650</v>
      </c>
      <c r="L21" s="576">
        <f>G21+2550</f>
        <v>2550</v>
      </c>
      <c r="M21" s="47"/>
      <c r="N21" s="52" t="b">
        <f t="shared" si="1"/>
        <v>1</v>
      </c>
      <c r="O21" s="237" t="b">
        <f t="shared" si="2"/>
        <v>1</v>
      </c>
    </row>
    <row r="22" spans="1:15" s="234" customFormat="1" ht="29.25" customHeight="1" thickBot="1">
      <c r="A22" s="349">
        <v>754</v>
      </c>
      <c r="B22" s="349"/>
      <c r="C22" s="350" t="s">
        <v>92</v>
      </c>
      <c r="D22" s="351">
        <v>996914</v>
      </c>
      <c r="E22" s="351">
        <v>996914</v>
      </c>
      <c r="F22" s="351"/>
      <c r="G22" s="351"/>
      <c r="H22" s="352">
        <f>H23</f>
        <v>-4000</v>
      </c>
      <c r="I22" s="353">
        <f aca="true" t="shared" si="4" ref="I22:I46">D22+H22</f>
        <v>992914</v>
      </c>
      <c r="J22" s="354">
        <f t="shared" si="3"/>
        <v>992914</v>
      </c>
      <c r="K22" s="354"/>
      <c r="L22" s="355"/>
      <c r="M22" s="124"/>
      <c r="N22" s="52" t="b">
        <f t="shared" si="1"/>
        <v>1</v>
      </c>
      <c r="O22" s="237" t="b">
        <f t="shared" si="2"/>
        <v>1</v>
      </c>
    </row>
    <row r="23" spans="1:15" s="234" customFormat="1" ht="21" customHeight="1">
      <c r="A23" s="356"/>
      <c r="B23" s="357">
        <v>75495</v>
      </c>
      <c r="C23" s="158" t="s">
        <v>96</v>
      </c>
      <c r="D23" s="358">
        <v>815000</v>
      </c>
      <c r="E23" s="358">
        <v>815000</v>
      </c>
      <c r="F23" s="358"/>
      <c r="G23" s="358"/>
      <c r="H23" s="359">
        <f>H24</f>
        <v>-4000</v>
      </c>
      <c r="I23" s="360">
        <f t="shared" si="4"/>
        <v>811000</v>
      </c>
      <c r="J23" s="361">
        <f t="shared" si="3"/>
        <v>811000</v>
      </c>
      <c r="K23" s="361"/>
      <c r="L23" s="362"/>
      <c r="M23" s="124"/>
      <c r="N23" s="52" t="b">
        <f t="shared" si="1"/>
        <v>1</v>
      </c>
      <c r="O23" s="237" t="b">
        <f t="shared" si="2"/>
        <v>1</v>
      </c>
    </row>
    <row r="24" spans="1:15" s="22" customFormat="1" ht="19.5" customHeight="1">
      <c r="A24" s="356"/>
      <c r="B24" s="363"/>
      <c r="C24" s="400" t="s">
        <v>452</v>
      </c>
      <c r="D24" s="572">
        <v>700000</v>
      </c>
      <c r="E24" s="572">
        <v>700000</v>
      </c>
      <c r="F24" s="572"/>
      <c r="G24" s="572"/>
      <c r="H24" s="573">
        <v>-4000</v>
      </c>
      <c r="I24" s="574">
        <f t="shared" si="4"/>
        <v>696000</v>
      </c>
      <c r="J24" s="575">
        <f t="shared" si="3"/>
        <v>696000</v>
      </c>
      <c r="K24" s="575"/>
      <c r="L24" s="576"/>
      <c r="M24" s="47"/>
      <c r="N24" s="52" t="b">
        <f t="shared" si="1"/>
        <v>1</v>
      </c>
      <c r="O24" s="237" t="b">
        <f t="shared" si="2"/>
        <v>1</v>
      </c>
    </row>
    <row r="25" spans="1:15" s="234" customFormat="1" ht="19.5" customHeight="1" thickBot="1">
      <c r="A25" s="349">
        <v>758</v>
      </c>
      <c r="B25" s="349"/>
      <c r="C25" s="350" t="s">
        <v>93</v>
      </c>
      <c r="D25" s="351">
        <v>2397971</v>
      </c>
      <c r="E25" s="351">
        <v>2397971</v>
      </c>
      <c r="F25" s="351"/>
      <c r="G25" s="351"/>
      <c r="H25" s="352">
        <f>H26</f>
        <v>-571073</v>
      </c>
      <c r="I25" s="353">
        <f>D25+H25</f>
        <v>1826898</v>
      </c>
      <c r="J25" s="354">
        <f t="shared" si="3"/>
        <v>1826898</v>
      </c>
      <c r="K25" s="354"/>
      <c r="L25" s="355"/>
      <c r="M25" s="124"/>
      <c r="N25" s="52" t="b">
        <f t="shared" si="1"/>
        <v>1</v>
      </c>
      <c r="O25" s="237" t="b">
        <f t="shared" si="2"/>
        <v>1</v>
      </c>
    </row>
    <row r="26" spans="1:15" s="234" customFormat="1" ht="21" customHeight="1">
      <c r="A26" s="356"/>
      <c r="B26" s="357">
        <v>75818</v>
      </c>
      <c r="C26" s="77" t="s">
        <v>94</v>
      </c>
      <c r="D26" s="358">
        <v>2397971</v>
      </c>
      <c r="E26" s="358">
        <v>2397971</v>
      </c>
      <c r="F26" s="358"/>
      <c r="G26" s="358"/>
      <c r="H26" s="359">
        <f>H27</f>
        <v>-571073</v>
      </c>
      <c r="I26" s="360">
        <f>D26+H26</f>
        <v>1826898</v>
      </c>
      <c r="J26" s="361">
        <f t="shared" si="3"/>
        <v>1826898</v>
      </c>
      <c r="K26" s="361"/>
      <c r="L26" s="362"/>
      <c r="M26" s="124"/>
      <c r="N26" s="52" t="b">
        <f t="shared" si="1"/>
        <v>1</v>
      </c>
      <c r="O26" s="237" t="b">
        <f t="shared" si="2"/>
        <v>1</v>
      </c>
    </row>
    <row r="27" spans="1:15" s="22" customFormat="1" ht="41.25" customHeight="1">
      <c r="A27" s="356"/>
      <c r="B27" s="363"/>
      <c r="C27" s="880" t="s">
        <v>321</v>
      </c>
      <c r="D27" s="572">
        <v>2397971</v>
      </c>
      <c r="E27" s="572">
        <v>2397971</v>
      </c>
      <c r="F27" s="572"/>
      <c r="G27" s="572"/>
      <c r="H27" s="573">
        <v>-571073</v>
      </c>
      <c r="I27" s="574">
        <f>D27+H27</f>
        <v>1826898</v>
      </c>
      <c r="J27" s="575">
        <f t="shared" si="3"/>
        <v>1826898</v>
      </c>
      <c r="K27" s="575"/>
      <c r="L27" s="576"/>
      <c r="M27" s="47"/>
      <c r="N27" s="52" t="b">
        <f t="shared" si="1"/>
        <v>1</v>
      </c>
      <c r="O27" s="237" t="b">
        <f t="shared" si="2"/>
        <v>1</v>
      </c>
    </row>
    <row r="28" spans="1:15" s="234" customFormat="1" ht="19.5" customHeight="1" thickBot="1">
      <c r="A28" s="349">
        <v>801</v>
      </c>
      <c r="B28" s="349"/>
      <c r="C28" s="350" t="s">
        <v>97</v>
      </c>
      <c r="D28" s="351">
        <v>35541424</v>
      </c>
      <c r="E28" s="351">
        <f>28070728+5170705</f>
        <v>33241433</v>
      </c>
      <c r="F28" s="351"/>
      <c r="G28" s="351">
        <v>2299991</v>
      </c>
      <c r="H28" s="352">
        <f>H29+H31+H33+H35+H37</f>
        <v>-679275</v>
      </c>
      <c r="I28" s="353">
        <f t="shared" si="4"/>
        <v>34862149</v>
      </c>
      <c r="J28" s="354">
        <f>E28+H28</f>
        <v>32562158</v>
      </c>
      <c r="K28" s="354"/>
      <c r="L28" s="355">
        <f>G28</f>
        <v>2299991</v>
      </c>
      <c r="M28" s="124"/>
      <c r="N28" s="52" t="b">
        <f t="shared" si="1"/>
        <v>1</v>
      </c>
      <c r="O28" s="237" t="b">
        <f t="shared" si="2"/>
        <v>1</v>
      </c>
    </row>
    <row r="29" spans="1:15" s="234" customFormat="1" ht="21" customHeight="1">
      <c r="A29" s="356"/>
      <c r="B29" s="357">
        <v>80101</v>
      </c>
      <c r="C29" s="158" t="s">
        <v>254</v>
      </c>
      <c r="D29" s="358">
        <v>18344121</v>
      </c>
      <c r="E29" s="358">
        <f>14539130+2305000</f>
        <v>16844130</v>
      </c>
      <c r="F29" s="358"/>
      <c r="G29" s="358">
        <v>1499991</v>
      </c>
      <c r="H29" s="359">
        <f>H30</f>
        <v>-33000</v>
      </c>
      <c r="I29" s="360">
        <f>D29+H29</f>
        <v>18311121</v>
      </c>
      <c r="J29" s="361">
        <f t="shared" si="3"/>
        <v>16811130</v>
      </c>
      <c r="K29" s="361"/>
      <c r="L29" s="362">
        <f>G29</f>
        <v>1499991</v>
      </c>
      <c r="M29" s="124"/>
      <c r="N29" s="52" t="b">
        <f t="shared" si="1"/>
        <v>1</v>
      </c>
      <c r="O29" s="237" t="b">
        <f t="shared" si="2"/>
        <v>1</v>
      </c>
    </row>
    <row r="30" spans="1:15" s="22" customFormat="1" ht="21" customHeight="1">
      <c r="A30" s="356"/>
      <c r="B30" s="363"/>
      <c r="C30" s="880" t="s">
        <v>458</v>
      </c>
      <c r="D30" s="572">
        <v>100000</v>
      </c>
      <c r="E30" s="572">
        <v>100000</v>
      </c>
      <c r="F30" s="572"/>
      <c r="G30" s="572"/>
      <c r="H30" s="573">
        <v>-33000</v>
      </c>
      <c r="I30" s="574">
        <f>D30+H30</f>
        <v>67000</v>
      </c>
      <c r="J30" s="575">
        <f t="shared" si="3"/>
        <v>67000</v>
      </c>
      <c r="K30" s="575"/>
      <c r="L30" s="576"/>
      <c r="M30" s="47"/>
      <c r="N30" s="52" t="b">
        <f t="shared" si="1"/>
        <v>1</v>
      </c>
      <c r="O30" s="237" t="b">
        <f t="shared" si="2"/>
        <v>1</v>
      </c>
    </row>
    <row r="31" spans="1:15" s="234" customFormat="1" ht="21" customHeight="1">
      <c r="A31" s="356"/>
      <c r="B31" s="357">
        <v>80104</v>
      </c>
      <c r="C31" s="158" t="s">
        <v>252</v>
      </c>
      <c r="D31" s="358">
        <v>1408475</v>
      </c>
      <c r="E31" s="358">
        <f>526170+882305</f>
        <v>1408475</v>
      </c>
      <c r="F31" s="358"/>
      <c r="G31" s="358"/>
      <c r="H31" s="359">
        <f>H32</f>
        <v>-4000</v>
      </c>
      <c r="I31" s="360">
        <f>D31+H31</f>
        <v>1404475</v>
      </c>
      <c r="J31" s="361">
        <f>E31+H31</f>
        <v>1404475</v>
      </c>
      <c r="K31" s="361"/>
      <c r="L31" s="362"/>
      <c r="M31" s="124"/>
      <c r="N31" s="52" t="b">
        <f t="shared" si="1"/>
        <v>1</v>
      </c>
      <c r="O31" s="237" t="b">
        <f t="shared" si="2"/>
        <v>1</v>
      </c>
    </row>
    <row r="32" spans="1:15" s="22" customFormat="1" ht="21" customHeight="1">
      <c r="A32" s="702"/>
      <c r="B32" s="703"/>
      <c r="C32" s="575" t="s">
        <v>303</v>
      </c>
      <c r="D32" s="572">
        <v>13570</v>
      </c>
      <c r="E32" s="572">
        <v>13570</v>
      </c>
      <c r="F32" s="572"/>
      <c r="G32" s="572"/>
      <c r="H32" s="573">
        <v>-4000</v>
      </c>
      <c r="I32" s="574">
        <f>D32+H32</f>
        <v>9570</v>
      </c>
      <c r="J32" s="575">
        <f>E32+H32</f>
        <v>9570</v>
      </c>
      <c r="K32" s="575"/>
      <c r="L32" s="576"/>
      <c r="M32" s="47"/>
      <c r="N32" s="52" t="b">
        <f t="shared" si="1"/>
        <v>1</v>
      </c>
      <c r="O32" s="237" t="b">
        <f t="shared" si="2"/>
        <v>1</v>
      </c>
    </row>
    <row r="33" spans="1:15" s="234" customFormat="1" ht="21" customHeight="1">
      <c r="A33" s="1105"/>
      <c r="B33" s="357">
        <v>80110</v>
      </c>
      <c r="C33" s="158" t="s">
        <v>255</v>
      </c>
      <c r="D33" s="1106">
        <v>3423537</v>
      </c>
      <c r="E33" s="1106">
        <v>3423537</v>
      </c>
      <c r="F33" s="1106"/>
      <c r="G33" s="1106"/>
      <c r="H33" s="1107">
        <f>H34</f>
        <v>-170794</v>
      </c>
      <c r="I33" s="1108">
        <f t="shared" si="4"/>
        <v>3252743</v>
      </c>
      <c r="J33" s="713">
        <f t="shared" si="3"/>
        <v>3252743</v>
      </c>
      <c r="K33" s="713"/>
      <c r="L33" s="1109"/>
      <c r="M33" s="124"/>
      <c r="N33" s="52" t="b">
        <f t="shared" si="1"/>
        <v>1</v>
      </c>
      <c r="O33" s="237" t="b">
        <f t="shared" si="2"/>
        <v>1</v>
      </c>
    </row>
    <row r="34" spans="1:15" s="22" customFormat="1" ht="21" customHeight="1">
      <c r="A34" s="356"/>
      <c r="B34" s="363"/>
      <c r="C34" s="615" t="s">
        <v>355</v>
      </c>
      <c r="D34" s="572">
        <v>343537</v>
      </c>
      <c r="E34" s="572">
        <v>343537</v>
      </c>
      <c r="F34" s="572"/>
      <c r="G34" s="572"/>
      <c r="H34" s="573">
        <f>-20700-54575-95519</f>
        <v>-170794</v>
      </c>
      <c r="I34" s="574">
        <f t="shared" si="4"/>
        <v>172743</v>
      </c>
      <c r="J34" s="575">
        <f t="shared" si="3"/>
        <v>172743</v>
      </c>
      <c r="K34" s="575"/>
      <c r="L34" s="576"/>
      <c r="M34" s="47"/>
      <c r="N34" s="52" t="b">
        <f t="shared" si="1"/>
        <v>1</v>
      </c>
      <c r="O34" s="237" t="b">
        <f t="shared" si="2"/>
        <v>1</v>
      </c>
    </row>
    <row r="35" spans="1:15" s="234" customFormat="1" ht="21" customHeight="1">
      <c r="A35" s="356"/>
      <c r="B35" s="357">
        <v>80120</v>
      </c>
      <c r="C35" s="158" t="s">
        <v>256</v>
      </c>
      <c r="D35" s="358">
        <v>2089220</v>
      </c>
      <c r="E35" s="358">
        <v>2089220</v>
      </c>
      <c r="F35" s="358"/>
      <c r="G35" s="358"/>
      <c r="H35" s="359">
        <f>H36</f>
        <v>33000</v>
      </c>
      <c r="I35" s="360">
        <f>D35+H35</f>
        <v>2122220</v>
      </c>
      <c r="J35" s="361">
        <f t="shared" si="3"/>
        <v>2122220</v>
      </c>
      <c r="K35" s="361"/>
      <c r="L35" s="362"/>
      <c r="M35" s="124"/>
      <c r="N35" s="52" t="b">
        <f t="shared" si="1"/>
        <v>1</v>
      </c>
      <c r="O35" s="237" t="b">
        <f t="shared" si="2"/>
        <v>1</v>
      </c>
    </row>
    <row r="36" spans="1:15" s="22" customFormat="1" ht="39.75" customHeight="1">
      <c r="A36" s="356"/>
      <c r="B36" s="363"/>
      <c r="C36" s="885" t="s">
        <v>459</v>
      </c>
      <c r="D36" s="572">
        <v>317000</v>
      </c>
      <c r="E36" s="572">
        <v>317000</v>
      </c>
      <c r="F36" s="572"/>
      <c r="G36" s="572"/>
      <c r="H36" s="573">
        <v>33000</v>
      </c>
      <c r="I36" s="574">
        <f>D36+H36</f>
        <v>350000</v>
      </c>
      <c r="J36" s="575">
        <f t="shared" si="3"/>
        <v>350000</v>
      </c>
      <c r="K36" s="575"/>
      <c r="L36" s="576"/>
      <c r="M36" s="47"/>
      <c r="N36" s="52" t="b">
        <f t="shared" si="1"/>
        <v>1</v>
      </c>
      <c r="O36" s="237" t="b">
        <f t="shared" si="2"/>
        <v>1</v>
      </c>
    </row>
    <row r="37" spans="1:15" s="234" customFormat="1" ht="21" customHeight="1">
      <c r="A37" s="356"/>
      <c r="B37" s="357">
        <v>80130</v>
      </c>
      <c r="C37" s="158" t="s">
        <v>144</v>
      </c>
      <c r="D37" s="358">
        <v>9988071</v>
      </c>
      <c r="E37" s="358">
        <v>9188071</v>
      </c>
      <c r="F37" s="358"/>
      <c r="G37" s="358">
        <v>800000</v>
      </c>
      <c r="H37" s="359">
        <f>H38</f>
        <v>-504481</v>
      </c>
      <c r="I37" s="360">
        <f>D37+H37</f>
        <v>9483590</v>
      </c>
      <c r="J37" s="361">
        <f>E37+H37</f>
        <v>8683590</v>
      </c>
      <c r="K37" s="361"/>
      <c r="L37" s="362">
        <f aca="true" t="shared" si="5" ref="L37:L43">G37</f>
        <v>800000</v>
      </c>
      <c r="M37" s="124"/>
      <c r="N37" s="52" t="b">
        <f t="shared" si="1"/>
        <v>1</v>
      </c>
      <c r="O37" s="237" t="b">
        <f t="shared" si="2"/>
        <v>1</v>
      </c>
    </row>
    <row r="38" spans="1:15" s="22" customFormat="1" ht="21" customHeight="1">
      <c r="A38" s="356"/>
      <c r="B38" s="363"/>
      <c r="C38" s="615" t="s">
        <v>355</v>
      </c>
      <c r="D38" s="572">
        <v>4107881</v>
      </c>
      <c r="E38" s="572">
        <v>3307881</v>
      </c>
      <c r="F38" s="572"/>
      <c r="G38" s="572">
        <v>800000</v>
      </c>
      <c r="H38" s="573">
        <v>-504481</v>
      </c>
      <c r="I38" s="574">
        <f>D38+H38</f>
        <v>3603400</v>
      </c>
      <c r="J38" s="575">
        <f>E38+H38</f>
        <v>2803400</v>
      </c>
      <c r="K38" s="575"/>
      <c r="L38" s="576">
        <f t="shared" si="5"/>
        <v>800000</v>
      </c>
      <c r="M38" s="47"/>
      <c r="N38" s="52" t="b">
        <f t="shared" si="1"/>
        <v>1</v>
      </c>
      <c r="O38" s="237" t="b">
        <f t="shared" si="2"/>
        <v>1</v>
      </c>
    </row>
    <row r="39" spans="1:15" s="234" customFormat="1" ht="19.5" customHeight="1" thickBot="1">
      <c r="A39" s="349">
        <v>852</v>
      </c>
      <c r="B39" s="349"/>
      <c r="C39" s="350" t="s">
        <v>98</v>
      </c>
      <c r="D39" s="351">
        <v>5158995</v>
      </c>
      <c r="E39" s="351">
        <f>3503300+1005695</f>
        <v>4508995</v>
      </c>
      <c r="F39" s="351"/>
      <c r="G39" s="351">
        <v>650000</v>
      </c>
      <c r="H39" s="352">
        <f>H40</f>
        <v>-23942</v>
      </c>
      <c r="I39" s="353">
        <f t="shared" si="4"/>
        <v>5135053</v>
      </c>
      <c r="J39" s="354">
        <f aca="true" t="shared" si="6" ref="J39:J46">E39+H39</f>
        <v>4485053</v>
      </c>
      <c r="K39" s="354"/>
      <c r="L39" s="355">
        <f t="shared" si="5"/>
        <v>650000</v>
      </c>
      <c r="M39" s="124"/>
      <c r="N39" s="52" t="b">
        <f t="shared" si="1"/>
        <v>1</v>
      </c>
      <c r="O39" s="237" t="b">
        <f t="shared" si="2"/>
        <v>1</v>
      </c>
    </row>
    <row r="40" spans="1:15" s="234" customFormat="1" ht="21" customHeight="1">
      <c r="A40" s="356"/>
      <c r="B40" s="357">
        <v>85202</v>
      </c>
      <c r="C40" s="158" t="s">
        <v>270</v>
      </c>
      <c r="D40" s="358">
        <v>3593995</v>
      </c>
      <c r="E40" s="358">
        <f>1938300+1005695</f>
        <v>2943995</v>
      </c>
      <c r="F40" s="358"/>
      <c r="G40" s="358">
        <v>650000</v>
      </c>
      <c r="H40" s="359">
        <f>H41</f>
        <v>-23942</v>
      </c>
      <c r="I40" s="360">
        <f t="shared" si="4"/>
        <v>3570053</v>
      </c>
      <c r="J40" s="361">
        <f t="shared" si="6"/>
        <v>2920053</v>
      </c>
      <c r="K40" s="361"/>
      <c r="L40" s="362">
        <f t="shared" si="5"/>
        <v>650000</v>
      </c>
      <c r="M40" s="124"/>
      <c r="N40" s="52" t="b">
        <f t="shared" si="1"/>
        <v>1</v>
      </c>
      <c r="O40" s="237" t="b">
        <f t="shared" si="2"/>
        <v>1</v>
      </c>
    </row>
    <row r="41" spans="1:15" s="22" customFormat="1" ht="26.25" customHeight="1">
      <c r="A41" s="356"/>
      <c r="B41" s="363"/>
      <c r="C41" s="951" t="s">
        <v>526</v>
      </c>
      <c r="D41" s="793">
        <v>303000</v>
      </c>
      <c r="E41" s="793">
        <v>40000</v>
      </c>
      <c r="F41" s="793"/>
      <c r="G41" s="793">
        <v>263000</v>
      </c>
      <c r="H41" s="794">
        <v>-23942</v>
      </c>
      <c r="I41" s="795">
        <f>D41+H41</f>
        <v>279058</v>
      </c>
      <c r="J41" s="615">
        <f t="shared" si="6"/>
        <v>16058</v>
      </c>
      <c r="K41" s="615"/>
      <c r="L41" s="796">
        <f t="shared" si="5"/>
        <v>263000</v>
      </c>
      <c r="M41" s="47"/>
      <c r="N41" s="52" t="b">
        <f t="shared" si="1"/>
        <v>1</v>
      </c>
      <c r="O41" s="237" t="b">
        <f t="shared" si="2"/>
        <v>1</v>
      </c>
    </row>
    <row r="42" spans="1:15" s="234" customFormat="1" ht="21.75" customHeight="1" thickBot="1">
      <c r="A42" s="349">
        <v>854</v>
      </c>
      <c r="B42" s="349"/>
      <c r="C42" s="350" t="s">
        <v>99</v>
      </c>
      <c r="D42" s="351">
        <v>1266964</v>
      </c>
      <c r="E42" s="351">
        <v>365864</v>
      </c>
      <c r="F42" s="351"/>
      <c r="G42" s="351">
        <v>901100</v>
      </c>
      <c r="H42" s="352">
        <f>H43+H45</f>
        <v>17000</v>
      </c>
      <c r="I42" s="353">
        <f>D42+H42</f>
        <v>1283964</v>
      </c>
      <c r="J42" s="354">
        <f t="shared" si="6"/>
        <v>382864</v>
      </c>
      <c r="K42" s="354"/>
      <c r="L42" s="355">
        <f t="shared" si="5"/>
        <v>901100</v>
      </c>
      <c r="M42" s="124"/>
      <c r="N42" s="52" t="b">
        <f t="shared" si="1"/>
        <v>1</v>
      </c>
      <c r="O42" s="237" t="b">
        <f t="shared" si="2"/>
        <v>1</v>
      </c>
    </row>
    <row r="43" spans="1:15" s="234" customFormat="1" ht="21.75" customHeight="1">
      <c r="A43" s="356"/>
      <c r="B43" s="357">
        <v>85403</v>
      </c>
      <c r="C43" s="582" t="s">
        <v>335</v>
      </c>
      <c r="D43" s="358">
        <v>1133364</v>
      </c>
      <c r="E43" s="358">
        <v>232264</v>
      </c>
      <c r="F43" s="358"/>
      <c r="G43" s="358">
        <v>901100</v>
      </c>
      <c r="H43" s="359">
        <f>H44</f>
        <v>10500</v>
      </c>
      <c r="I43" s="360">
        <f t="shared" si="4"/>
        <v>1143864</v>
      </c>
      <c r="J43" s="361">
        <f t="shared" si="6"/>
        <v>242764</v>
      </c>
      <c r="K43" s="361"/>
      <c r="L43" s="362">
        <f t="shared" si="5"/>
        <v>901100</v>
      </c>
      <c r="M43" s="124"/>
      <c r="N43" s="52" t="b">
        <f t="shared" si="1"/>
        <v>1</v>
      </c>
      <c r="O43" s="237" t="b">
        <f t="shared" si="2"/>
        <v>1</v>
      </c>
    </row>
    <row r="44" spans="1:15" s="22" customFormat="1" ht="21.75" customHeight="1">
      <c r="A44" s="356"/>
      <c r="B44" s="363"/>
      <c r="C44" s="575" t="s">
        <v>303</v>
      </c>
      <c r="D44" s="572"/>
      <c r="E44" s="572"/>
      <c r="F44" s="572"/>
      <c r="G44" s="572"/>
      <c r="H44" s="573">
        <v>10500</v>
      </c>
      <c r="I44" s="574">
        <f t="shared" si="4"/>
        <v>10500</v>
      </c>
      <c r="J44" s="575">
        <f t="shared" si="6"/>
        <v>10500</v>
      </c>
      <c r="K44" s="575"/>
      <c r="L44" s="576"/>
      <c r="M44" s="47"/>
      <c r="N44" s="52" t="b">
        <f t="shared" si="1"/>
        <v>1</v>
      </c>
      <c r="O44" s="237" t="b">
        <f t="shared" si="2"/>
        <v>1</v>
      </c>
    </row>
    <row r="45" spans="1:15" s="22" customFormat="1" ht="21.75" customHeight="1">
      <c r="A45" s="356"/>
      <c r="B45" s="672">
        <v>85495</v>
      </c>
      <c r="C45" s="673" t="s">
        <v>96</v>
      </c>
      <c r="D45" s="674">
        <v>9000</v>
      </c>
      <c r="E45" s="674">
        <v>9000</v>
      </c>
      <c r="F45" s="674"/>
      <c r="G45" s="674"/>
      <c r="H45" s="675">
        <f>H46</f>
        <v>6500</v>
      </c>
      <c r="I45" s="676">
        <f t="shared" si="4"/>
        <v>15500</v>
      </c>
      <c r="J45" s="677">
        <f t="shared" si="6"/>
        <v>15500</v>
      </c>
      <c r="K45" s="677"/>
      <c r="L45" s="678"/>
      <c r="M45" s="47"/>
      <c r="N45" s="52" t="b">
        <f t="shared" si="1"/>
        <v>1</v>
      </c>
      <c r="O45" s="237" t="b">
        <f t="shared" si="2"/>
        <v>1</v>
      </c>
    </row>
    <row r="46" spans="1:15" s="22" customFormat="1" ht="21.75" customHeight="1">
      <c r="A46" s="702"/>
      <c r="B46" s="703"/>
      <c r="C46" s="575" t="s">
        <v>303</v>
      </c>
      <c r="D46" s="572">
        <v>9000</v>
      </c>
      <c r="E46" s="572">
        <v>9000</v>
      </c>
      <c r="F46" s="572"/>
      <c r="G46" s="572"/>
      <c r="H46" s="573">
        <v>6500</v>
      </c>
      <c r="I46" s="574">
        <f t="shared" si="4"/>
        <v>15500</v>
      </c>
      <c r="J46" s="575">
        <f t="shared" si="6"/>
        <v>15500</v>
      </c>
      <c r="K46" s="575"/>
      <c r="L46" s="576"/>
      <c r="M46" s="47"/>
      <c r="N46" s="52" t="b">
        <f t="shared" si="1"/>
        <v>1</v>
      </c>
      <c r="O46" s="237" t="b">
        <f t="shared" si="2"/>
        <v>1</v>
      </c>
    </row>
    <row r="47" spans="1:15" s="234" customFormat="1" ht="28.5" customHeight="1" thickBot="1">
      <c r="A47" s="683">
        <v>900</v>
      </c>
      <c r="B47" s="683"/>
      <c r="C47" s="684" t="s">
        <v>199</v>
      </c>
      <c r="D47" s="685">
        <v>36300206</v>
      </c>
      <c r="E47" s="685">
        <f>27376349+3300000</f>
        <v>30676349</v>
      </c>
      <c r="F47" s="685">
        <v>5123857</v>
      </c>
      <c r="G47" s="685">
        <v>500000</v>
      </c>
      <c r="H47" s="686">
        <f>H48+H51+H53</f>
        <v>193173</v>
      </c>
      <c r="I47" s="687">
        <f aca="true" t="shared" si="7" ref="I47:I54">D47+H47</f>
        <v>36493379</v>
      </c>
      <c r="J47" s="688">
        <f>E47+74420</f>
        <v>30750769</v>
      </c>
      <c r="K47" s="688">
        <f>F47+118753</f>
        <v>5242610</v>
      </c>
      <c r="L47" s="689">
        <f>G47</f>
        <v>500000</v>
      </c>
      <c r="M47" s="124"/>
      <c r="N47" s="52" t="b">
        <f t="shared" si="1"/>
        <v>1</v>
      </c>
      <c r="O47" s="237" t="b">
        <f t="shared" si="2"/>
        <v>1</v>
      </c>
    </row>
    <row r="48" spans="1:15" s="234" customFormat="1" ht="21.75" customHeight="1">
      <c r="A48" s="356"/>
      <c r="B48" s="357">
        <v>90001</v>
      </c>
      <c r="C48" s="465" t="s">
        <v>314</v>
      </c>
      <c r="D48" s="466">
        <v>8895000</v>
      </c>
      <c r="E48" s="466">
        <v>8895000</v>
      </c>
      <c r="F48" s="466"/>
      <c r="G48" s="466"/>
      <c r="H48" s="467">
        <f>SUM(H49:H50)</f>
        <v>-400000</v>
      </c>
      <c r="I48" s="468">
        <f t="shared" si="7"/>
        <v>8495000</v>
      </c>
      <c r="J48" s="469">
        <f aca="true" t="shared" si="8" ref="J48:J54">E48+H48</f>
        <v>8495000</v>
      </c>
      <c r="K48" s="469"/>
      <c r="L48" s="470"/>
      <c r="M48" s="124"/>
      <c r="N48" s="52" t="b">
        <f t="shared" si="1"/>
        <v>1</v>
      </c>
      <c r="O48" s="237" t="b">
        <f t="shared" si="2"/>
        <v>1</v>
      </c>
    </row>
    <row r="49" spans="1:15" s="234" customFormat="1" ht="21.75" customHeight="1">
      <c r="A49" s="356"/>
      <c r="B49" s="712"/>
      <c r="C49" s="714" t="s">
        <v>380</v>
      </c>
      <c r="D49" s="715">
        <v>300000</v>
      </c>
      <c r="E49" s="715">
        <v>300000</v>
      </c>
      <c r="F49" s="715"/>
      <c r="G49" s="715"/>
      <c r="H49" s="716">
        <v>-200000</v>
      </c>
      <c r="I49" s="717">
        <f t="shared" si="7"/>
        <v>100000</v>
      </c>
      <c r="J49" s="714">
        <f t="shared" si="8"/>
        <v>100000</v>
      </c>
      <c r="K49" s="714"/>
      <c r="L49" s="718"/>
      <c r="M49" s="124"/>
      <c r="N49" s="52" t="b">
        <f t="shared" si="1"/>
        <v>1</v>
      </c>
      <c r="O49" s="237" t="b">
        <f t="shared" si="2"/>
        <v>1</v>
      </c>
    </row>
    <row r="50" spans="1:15" s="22" customFormat="1" ht="21.75" customHeight="1">
      <c r="A50" s="356"/>
      <c r="B50" s="703"/>
      <c r="C50" s="364" t="s">
        <v>381</v>
      </c>
      <c r="D50" s="401">
        <v>400000</v>
      </c>
      <c r="E50" s="401">
        <v>400000</v>
      </c>
      <c r="F50" s="401"/>
      <c r="G50" s="401"/>
      <c r="H50" s="402">
        <v>-200000</v>
      </c>
      <c r="I50" s="704">
        <f t="shared" si="7"/>
        <v>200000</v>
      </c>
      <c r="J50" s="364">
        <f t="shared" si="8"/>
        <v>200000</v>
      </c>
      <c r="K50" s="364"/>
      <c r="L50" s="403"/>
      <c r="M50" s="47"/>
      <c r="N50" s="52" t="b">
        <f t="shared" si="1"/>
        <v>1</v>
      </c>
      <c r="O50" s="237" t="b">
        <f t="shared" si="2"/>
        <v>1</v>
      </c>
    </row>
    <row r="51" spans="1:15" s="234" customFormat="1" ht="21.75" customHeight="1">
      <c r="A51" s="447"/>
      <c r="B51" s="78">
        <v>90002</v>
      </c>
      <c r="C51" s="78" t="s">
        <v>315</v>
      </c>
      <c r="D51" s="886">
        <v>11559206</v>
      </c>
      <c r="E51" s="886">
        <f>4035349+2400000</f>
        <v>6435349</v>
      </c>
      <c r="F51" s="886">
        <v>5123857</v>
      </c>
      <c r="G51" s="886"/>
      <c r="H51" s="887">
        <f>H52</f>
        <v>193173</v>
      </c>
      <c r="I51" s="888">
        <f t="shared" si="7"/>
        <v>11752379</v>
      </c>
      <c r="J51" s="889">
        <f>E51+74420</f>
        <v>6509769</v>
      </c>
      <c r="K51" s="889">
        <f>F51+118753</f>
        <v>5242610</v>
      </c>
      <c r="L51" s="890"/>
      <c r="M51" s="124"/>
      <c r="N51" s="52" t="b">
        <f t="shared" si="1"/>
        <v>1</v>
      </c>
      <c r="O51" s="237" t="b">
        <f t="shared" si="2"/>
        <v>1</v>
      </c>
    </row>
    <row r="52" spans="1:15" s="234" customFormat="1" ht="27.75" customHeight="1">
      <c r="A52" s="356"/>
      <c r="B52" s="712"/>
      <c r="C52" s="896" t="s">
        <v>461</v>
      </c>
      <c r="D52" s="715">
        <v>10189806</v>
      </c>
      <c r="E52" s="715">
        <f>3565949+1500000</f>
        <v>5065949</v>
      </c>
      <c r="F52" s="715">
        <v>5123857</v>
      </c>
      <c r="G52" s="715"/>
      <c r="H52" s="716">
        <f>118753+74420</f>
        <v>193173</v>
      </c>
      <c r="I52" s="717">
        <f t="shared" si="7"/>
        <v>10382979</v>
      </c>
      <c r="J52" s="714">
        <f>E52+74420</f>
        <v>5140369</v>
      </c>
      <c r="K52" s="714">
        <f>F52+118753</f>
        <v>5242610</v>
      </c>
      <c r="L52" s="718"/>
      <c r="M52" s="124"/>
      <c r="N52" s="52" t="b">
        <f t="shared" si="1"/>
        <v>1</v>
      </c>
      <c r="O52" s="237" t="b">
        <f t="shared" si="2"/>
        <v>1</v>
      </c>
    </row>
    <row r="53" spans="1:15" s="22" customFormat="1" ht="21.75" customHeight="1">
      <c r="A53" s="356"/>
      <c r="B53" s="672">
        <v>90095</v>
      </c>
      <c r="C53" s="673" t="s">
        <v>96</v>
      </c>
      <c r="D53" s="674">
        <v>14596000</v>
      </c>
      <c r="E53" s="674">
        <f>13196000+900000</f>
        <v>14096000</v>
      </c>
      <c r="F53" s="674"/>
      <c r="G53" s="674">
        <v>500000</v>
      </c>
      <c r="H53" s="675">
        <f>H54</f>
        <v>400000</v>
      </c>
      <c r="I53" s="676">
        <f>D53+H53</f>
        <v>14996000</v>
      </c>
      <c r="J53" s="677">
        <f t="shared" si="8"/>
        <v>14496000</v>
      </c>
      <c r="K53" s="677"/>
      <c r="L53" s="678">
        <f>G53</f>
        <v>500000</v>
      </c>
      <c r="M53" s="47"/>
      <c r="N53" s="52" t="b">
        <f t="shared" si="1"/>
        <v>1</v>
      </c>
      <c r="O53" s="237" t="b">
        <f t="shared" si="2"/>
        <v>1</v>
      </c>
    </row>
    <row r="54" spans="1:15" s="22" customFormat="1" ht="21.75" customHeight="1">
      <c r="A54" s="356"/>
      <c r="B54" s="363"/>
      <c r="C54" s="614" t="s">
        <v>460</v>
      </c>
      <c r="D54" s="572">
        <v>900000</v>
      </c>
      <c r="E54" s="572">
        <v>900000</v>
      </c>
      <c r="F54" s="572"/>
      <c r="G54" s="572"/>
      <c r="H54" s="573">
        <v>400000</v>
      </c>
      <c r="I54" s="574">
        <f t="shared" si="7"/>
        <v>1300000</v>
      </c>
      <c r="J54" s="575">
        <f t="shared" si="8"/>
        <v>1300000</v>
      </c>
      <c r="K54" s="575"/>
      <c r="L54" s="576"/>
      <c r="M54" s="47"/>
      <c r="N54" s="52" t="b">
        <f t="shared" si="1"/>
        <v>1</v>
      </c>
      <c r="O54" s="237" t="b">
        <f t="shared" si="2"/>
        <v>1</v>
      </c>
    </row>
    <row r="55" spans="1:15" s="22" customFormat="1" ht="29.25" customHeight="1">
      <c r="A55" s="356"/>
      <c r="B55" s="363"/>
      <c r="C55" s="994" t="s">
        <v>125</v>
      </c>
      <c r="D55" s="1110">
        <v>981310</v>
      </c>
      <c r="E55" s="1110">
        <v>514310</v>
      </c>
      <c r="F55" s="1110"/>
      <c r="G55" s="1110">
        <v>467000</v>
      </c>
      <c r="H55" s="1111"/>
      <c r="I55" s="1112">
        <v>981310</v>
      </c>
      <c r="J55" s="994">
        <v>514310</v>
      </c>
      <c r="K55" s="994"/>
      <c r="L55" s="1113">
        <v>467000</v>
      </c>
      <c r="M55" s="47"/>
      <c r="N55" s="52" t="b">
        <f t="shared" si="1"/>
        <v>1</v>
      </c>
      <c r="O55" s="237" t="b">
        <f t="shared" si="2"/>
        <v>1</v>
      </c>
    </row>
    <row r="56" spans="1:15" s="372" customFormat="1" ht="21.75" customHeight="1">
      <c r="A56" s="365"/>
      <c r="B56" s="366"/>
      <c r="C56" s="367" t="s">
        <v>304</v>
      </c>
      <c r="D56" s="368">
        <v>484000</v>
      </c>
      <c r="E56" s="368"/>
      <c r="F56" s="368"/>
      <c r="G56" s="369">
        <v>484000</v>
      </c>
      <c r="H56" s="370"/>
      <c r="I56" s="371">
        <f>SUM(J56:L56)</f>
        <v>484000</v>
      </c>
      <c r="J56" s="368"/>
      <c r="K56" s="368"/>
      <c r="L56" s="368">
        <f>G56+H56</f>
        <v>484000</v>
      </c>
      <c r="N56" s="52" t="b">
        <f t="shared" si="1"/>
        <v>1</v>
      </c>
      <c r="O56" s="237" t="b">
        <f t="shared" si="2"/>
        <v>1</v>
      </c>
    </row>
    <row r="57" s="372" customFormat="1" ht="12" customHeight="1">
      <c r="C57" s="373"/>
    </row>
    <row r="58" spans="2:12" s="638" customFormat="1" ht="19.5" customHeight="1"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</row>
    <row r="60" spans="3:4" ht="14.25">
      <c r="C60" s="1201" t="s">
        <v>562</v>
      </c>
      <c r="D60" s="1201" t="s">
        <v>559</v>
      </c>
    </row>
    <row r="61" spans="3:4" ht="14.25">
      <c r="C61" s="1201" t="s">
        <v>563</v>
      </c>
      <c r="D61" s="1201" t="s">
        <v>560</v>
      </c>
    </row>
    <row r="62" spans="3:4" ht="14.25">
      <c r="C62" s="1201" t="s">
        <v>558</v>
      </c>
      <c r="D62" s="1201" t="s">
        <v>561</v>
      </c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12" useFirstPageNumber="1" horizontalDpi="300" verticalDpi="300" orientation="landscape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zoomScale="70" zoomScaleNormal="70" workbookViewId="0" topLeftCell="A4">
      <selection activeCell="D14" sqref="D14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39.625" style="374" customWidth="1"/>
    <col min="4" max="4" width="37.75390625" style="374" customWidth="1"/>
    <col min="5" max="5" width="16.875" style="374" customWidth="1"/>
    <col min="6" max="6" width="13.25390625" style="647" customWidth="1"/>
    <col min="7" max="7" width="16.125" style="647" customWidth="1"/>
    <col min="8" max="8" width="16.75390625" style="647" customWidth="1"/>
    <col min="9" max="9" width="16.625" style="0" customWidth="1"/>
    <col min="10" max="10" width="16.375" style="0" customWidth="1"/>
    <col min="11" max="11" width="15.875" style="0" customWidth="1"/>
    <col min="12" max="12" width="17.1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625" style="0" customWidth="1"/>
    <col min="17" max="17" width="11.75390625" style="0" hidden="1" customWidth="1"/>
    <col min="18" max="18" width="12.25390625" style="0" hidden="1" customWidth="1"/>
    <col min="19" max="19" width="3.00390625" style="0" hidden="1" customWidth="1"/>
    <col min="20" max="20" width="15.125" style="0" customWidth="1"/>
    <col min="21" max="21" width="15.375" style="0" customWidth="1"/>
    <col min="22" max="22" width="17.125" style="0" customWidth="1"/>
    <col min="23" max="23" width="16.75390625" style="647" customWidth="1"/>
    <col min="24" max="24" width="16.625" style="0" customWidth="1"/>
    <col min="25" max="25" width="16.375" style="0" customWidth="1"/>
    <col min="26" max="26" width="15.875" style="0" customWidth="1"/>
    <col min="27" max="27" width="16.625" style="0" customWidth="1"/>
    <col min="28" max="28" width="11.75390625" style="0" hidden="1" customWidth="1"/>
    <col min="29" max="29" width="15.125" style="0" customWidth="1"/>
    <col min="30" max="30" width="15.375" style="0" customWidth="1"/>
    <col min="31" max="31" width="17.625" style="0" customWidth="1"/>
    <col min="32" max="32" width="11.75390625" style="0" hidden="1" customWidth="1"/>
    <col min="33" max="33" width="12.25390625" style="0" hidden="1" customWidth="1"/>
    <col min="34" max="34" width="3.00390625" style="0" hidden="1" customWidth="1"/>
    <col min="35" max="35" width="15.125" style="0" customWidth="1"/>
    <col min="36" max="36" width="15.375" style="0" customWidth="1"/>
    <col min="37" max="37" width="17.625" style="0" customWidth="1"/>
  </cols>
  <sheetData>
    <row r="1" spans="3:35" s="798" customFormat="1" ht="21" customHeight="1">
      <c r="C1" s="799"/>
      <c r="D1" s="799"/>
      <c r="E1" s="799"/>
      <c r="F1" s="800"/>
      <c r="G1" s="800"/>
      <c r="H1" s="800"/>
      <c r="N1" s="853"/>
      <c r="T1" s="853"/>
      <c r="W1" s="800"/>
      <c r="AC1" s="853"/>
      <c r="AI1" s="853" t="s">
        <v>411</v>
      </c>
    </row>
    <row r="2" spans="7:35" s="798" customFormat="1" ht="21" customHeight="1">
      <c r="G2" s="801"/>
      <c r="H2" s="801"/>
      <c r="N2" s="853"/>
      <c r="T2" s="853"/>
      <c r="W2" s="801"/>
      <c r="AC2" s="853"/>
      <c r="AI2" s="853" t="s">
        <v>538</v>
      </c>
    </row>
    <row r="3" spans="3:35" s="798" customFormat="1" ht="21" customHeight="1">
      <c r="C3" s="1172" t="s">
        <v>412</v>
      </c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  <c r="W3" s="1172"/>
      <c r="X3" s="1173"/>
      <c r="Y3" s="1173"/>
      <c r="Z3" s="1173"/>
      <c r="AA3" s="1173"/>
      <c r="AC3" s="853"/>
      <c r="AI3" s="853" t="s">
        <v>67</v>
      </c>
    </row>
    <row r="4" spans="3:35" s="798" customFormat="1" ht="21" customHeight="1">
      <c r="C4" s="1174"/>
      <c r="D4" s="1174"/>
      <c r="E4" s="1174"/>
      <c r="F4" s="1174"/>
      <c r="G4" s="1174"/>
      <c r="H4" s="800"/>
      <c r="N4" s="853"/>
      <c r="T4" s="853"/>
      <c r="W4" s="800"/>
      <c r="AC4" s="853"/>
      <c r="AI4" s="853" t="s">
        <v>443</v>
      </c>
    </row>
    <row r="5" spans="3:23" s="798" customFormat="1" ht="21" customHeight="1">
      <c r="C5" s="802"/>
      <c r="D5" s="802"/>
      <c r="E5" s="802"/>
      <c r="F5" s="802"/>
      <c r="G5" s="802"/>
      <c r="H5" s="800"/>
      <c r="W5" s="800"/>
    </row>
    <row r="6" spans="2:37" s="798" customFormat="1" ht="21" customHeight="1" thickBot="1">
      <c r="B6" s="803"/>
      <c r="C6" s="799"/>
      <c r="D6" s="799"/>
      <c r="E6" s="799"/>
      <c r="F6" s="800"/>
      <c r="G6" s="800"/>
      <c r="H6" s="800"/>
      <c r="M6" s="804"/>
      <c r="P6" s="805"/>
      <c r="V6" s="805"/>
      <c r="W6" s="800"/>
      <c r="AB6" s="804"/>
      <c r="AE6" s="805"/>
      <c r="AK6" s="805" t="s">
        <v>68</v>
      </c>
    </row>
    <row r="7" spans="1:37" s="1" customFormat="1" ht="35.25" customHeight="1" thickBot="1" thickTop="1">
      <c r="A7" s="806"/>
      <c r="B7" s="806"/>
      <c r="C7" s="807"/>
      <c r="D7" s="807"/>
      <c r="E7" s="808" t="s">
        <v>363</v>
      </c>
      <c r="F7" s="808"/>
      <c r="G7" s="808"/>
      <c r="H7" s="808"/>
      <c r="I7" s="808"/>
      <c r="J7" s="1169" t="s">
        <v>441</v>
      </c>
      <c r="K7" s="1170"/>
      <c r="L7" s="1171"/>
      <c r="M7" s="808"/>
      <c r="N7" s="1169" t="s">
        <v>431</v>
      </c>
      <c r="O7" s="1170"/>
      <c r="P7" s="1171"/>
      <c r="Q7" s="1169" t="s">
        <v>413</v>
      </c>
      <c r="R7" s="1170"/>
      <c r="S7" s="1171"/>
      <c r="T7" s="1169" t="s">
        <v>432</v>
      </c>
      <c r="U7" s="1170"/>
      <c r="V7" s="1170"/>
      <c r="W7" s="1131"/>
      <c r="X7" s="1122"/>
      <c r="Y7" s="1169" t="s">
        <v>441</v>
      </c>
      <c r="Z7" s="1170"/>
      <c r="AA7" s="1171"/>
      <c r="AB7" s="808"/>
      <c r="AC7" s="1169" t="s">
        <v>433</v>
      </c>
      <c r="AD7" s="1170"/>
      <c r="AE7" s="1171"/>
      <c r="AF7" s="1169" t="s">
        <v>413</v>
      </c>
      <c r="AG7" s="1170"/>
      <c r="AH7" s="1171"/>
      <c r="AI7" s="1169" t="s">
        <v>434</v>
      </c>
      <c r="AJ7" s="1170"/>
      <c r="AK7" s="1171"/>
    </row>
    <row r="8" spans="1:37" s="1" customFormat="1" ht="121.5" customHeight="1" thickBot="1" thickTop="1">
      <c r="A8" s="809" t="s">
        <v>72</v>
      </c>
      <c r="B8" s="810" t="s">
        <v>296</v>
      </c>
      <c r="C8" s="810" t="s">
        <v>364</v>
      </c>
      <c r="D8" s="810" t="s">
        <v>365</v>
      </c>
      <c r="E8" s="810" t="s">
        <v>366</v>
      </c>
      <c r="F8" s="810" t="s">
        <v>367</v>
      </c>
      <c r="G8" s="810" t="s">
        <v>435</v>
      </c>
      <c r="H8" s="810" t="s">
        <v>436</v>
      </c>
      <c r="I8" s="810" t="s">
        <v>440</v>
      </c>
      <c r="J8" s="811" t="s">
        <v>298</v>
      </c>
      <c r="K8" s="811" t="s">
        <v>299</v>
      </c>
      <c r="L8" s="811" t="s">
        <v>368</v>
      </c>
      <c r="M8" s="810" t="s">
        <v>369</v>
      </c>
      <c r="N8" s="811" t="s">
        <v>298</v>
      </c>
      <c r="O8" s="811" t="s">
        <v>299</v>
      </c>
      <c r="P8" s="811" t="s">
        <v>368</v>
      </c>
      <c r="Q8" s="811" t="s">
        <v>298</v>
      </c>
      <c r="R8" s="811" t="s">
        <v>299</v>
      </c>
      <c r="S8" s="811" t="s">
        <v>368</v>
      </c>
      <c r="T8" s="811" t="s">
        <v>298</v>
      </c>
      <c r="U8" s="811" t="s">
        <v>299</v>
      </c>
      <c r="V8" s="1114" t="s">
        <v>368</v>
      </c>
      <c r="W8" s="1132" t="s">
        <v>134</v>
      </c>
      <c r="X8" s="1123" t="s">
        <v>442</v>
      </c>
      <c r="Y8" s="811" t="s">
        <v>298</v>
      </c>
      <c r="Z8" s="811" t="s">
        <v>299</v>
      </c>
      <c r="AA8" s="811" t="s">
        <v>368</v>
      </c>
      <c r="AB8" s="810" t="s">
        <v>369</v>
      </c>
      <c r="AC8" s="811" t="s">
        <v>298</v>
      </c>
      <c r="AD8" s="811" t="s">
        <v>299</v>
      </c>
      <c r="AE8" s="811" t="s">
        <v>368</v>
      </c>
      <c r="AF8" s="811" t="s">
        <v>298</v>
      </c>
      <c r="AG8" s="811" t="s">
        <v>299</v>
      </c>
      <c r="AH8" s="811" t="s">
        <v>368</v>
      </c>
      <c r="AI8" s="811" t="s">
        <v>298</v>
      </c>
      <c r="AJ8" s="811" t="s">
        <v>299</v>
      </c>
      <c r="AK8" s="811" t="s">
        <v>368</v>
      </c>
    </row>
    <row r="9" spans="1:37" s="815" customFormat="1" ht="20.25" customHeight="1" thickBot="1" thickTop="1">
      <c r="A9" s="812">
        <v>1</v>
      </c>
      <c r="B9" s="812">
        <v>2</v>
      </c>
      <c r="C9" s="813">
        <v>3</v>
      </c>
      <c r="D9" s="814">
        <v>4</v>
      </c>
      <c r="E9" s="814">
        <v>5</v>
      </c>
      <c r="F9" s="814">
        <v>6</v>
      </c>
      <c r="G9" s="814">
        <v>7</v>
      </c>
      <c r="H9" s="814">
        <v>8</v>
      </c>
      <c r="I9" s="812">
        <v>9</v>
      </c>
      <c r="J9" s="812">
        <v>10</v>
      </c>
      <c r="K9" s="812">
        <v>11</v>
      </c>
      <c r="L9" s="812">
        <v>12</v>
      </c>
      <c r="M9" s="812">
        <v>14</v>
      </c>
      <c r="N9" s="812">
        <v>13</v>
      </c>
      <c r="O9" s="812">
        <v>14</v>
      </c>
      <c r="P9" s="812">
        <v>15</v>
      </c>
      <c r="Q9" s="812">
        <v>15</v>
      </c>
      <c r="R9" s="812">
        <v>16</v>
      </c>
      <c r="S9" s="812">
        <v>17</v>
      </c>
      <c r="T9" s="812">
        <v>16</v>
      </c>
      <c r="U9" s="812">
        <v>17</v>
      </c>
      <c r="V9" s="1115">
        <v>18</v>
      </c>
      <c r="W9" s="1133">
        <v>19</v>
      </c>
      <c r="X9" s="1124">
        <v>20</v>
      </c>
      <c r="Y9" s="812">
        <v>21</v>
      </c>
      <c r="Z9" s="812">
        <v>22</v>
      </c>
      <c r="AA9" s="812">
        <v>23</v>
      </c>
      <c r="AB9" s="812">
        <v>14</v>
      </c>
      <c r="AC9" s="812">
        <v>24</v>
      </c>
      <c r="AD9" s="812">
        <v>25</v>
      </c>
      <c r="AE9" s="812">
        <v>26</v>
      </c>
      <c r="AF9" s="812">
        <v>15</v>
      </c>
      <c r="AG9" s="812">
        <v>16</v>
      </c>
      <c r="AH9" s="812">
        <v>17</v>
      </c>
      <c r="AI9" s="812">
        <v>27</v>
      </c>
      <c r="AJ9" s="812">
        <v>28</v>
      </c>
      <c r="AK9" s="812">
        <v>29</v>
      </c>
    </row>
    <row r="10" spans="1:37" s="821" customFormat="1" ht="24" customHeight="1" thickBot="1" thickTop="1">
      <c r="A10" s="816"/>
      <c r="B10" s="816"/>
      <c r="C10" s="817" t="s">
        <v>370</v>
      </c>
      <c r="D10" s="818"/>
      <c r="E10" s="818"/>
      <c r="F10" s="819"/>
      <c r="G10" s="820">
        <f>124624687+899000</f>
        <v>125523687</v>
      </c>
      <c r="H10" s="820">
        <f>39995755</f>
        <v>39995755</v>
      </c>
      <c r="I10" s="820">
        <v>78750158</v>
      </c>
      <c r="J10" s="820">
        <v>21316197</v>
      </c>
      <c r="K10" s="820">
        <v>52887304</v>
      </c>
      <c r="L10" s="820">
        <v>4546657</v>
      </c>
      <c r="M10" s="820"/>
      <c r="N10" s="820">
        <v>670761</v>
      </c>
      <c r="O10" s="820">
        <v>2158685</v>
      </c>
      <c r="P10" s="820"/>
      <c r="Q10" s="820"/>
      <c r="R10" s="820"/>
      <c r="S10" s="820"/>
      <c r="T10" s="820">
        <v>5066</v>
      </c>
      <c r="U10" s="820">
        <v>62891</v>
      </c>
      <c r="V10" s="1116"/>
      <c r="W10" s="1134">
        <f>W11</f>
        <v>1067073</v>
      </c>
      <c r="X10" s="1125">
        <f aca="true" t="shared" si="0" ref="X10:X20">I10+W10</f>
        <v>79817231</v>
      </c>
      <c r="Y10" s="820">
        <f>J10+W12+74420</f>
        <v>21840617</v>
      </c>
      <c r="Z10" s="820">
        <f>K10+118753+317925</f>
        <v>53323982</v>
      </c>
      <c r="AA10" s="820">
        <f>L10+105975</f>
        <v>4652632</v>
      </c>
      <c r="AB10" s="820"/>
      <c r="AC10" s="820">
        <f>N10</f>
        <v>670761</v>
      </c>
      <c r="AD10" s="820">
        <f>O10+356325</f>
        <v>2515010</v>
      </c>
      <c r="AE10" s="820">
        <f>118775</f>
        <v>118775</v>
      </c>
      <c r="AF10" s="820"/>
      <c r="AG10" s="820"/>
      <c r="AH10" s="820"/>
      <c r="AI10" s="820">
        <f>T10</f>
        <v>5066</v>
      </c>
      <c r="AJ10" s="820">
        <f>U10</f>
        <v>62891</v>
      </c>
      <c r="AK10" s="820"/>
    </row>
    <row r="11" spans="1:37" s="827" customFormat="1" ht="22.5" customHeight="1" thickBot="1" thickTop="1">
      <c r="A11" s="822"/>
      <c r="B11" s="822"/>
      <c r="C11" s="823" t="s">
        <v>91</v>
      </c>
      <c r="D11" s="824"/>
      <c r="E11" s="824"/>
      <c r="F11" s="825"/>
      <c r="G11" s="826">
        <f>122618025+899000</f>
        <v>123517025</v>
      </c>
      <c r="H11" s="826">
        <f>39228118</f>
        <v>39228118</v>
      </c>
      <c r="I11" s="826">
        <v>77511133</v>
      </c>
      <c r="J11" s="826">
        <v>21316197</v>
      </c>
      <c r="K11" s="826">
        <v>52044148</v>
      </c>
      <c r="L11" s="826">
        <v>4150788</v>
      </c>
      <c r="M11" s="826"/>
      <c r="N11" s="826">
        <v>670761</v>
      </c>
      <c r="O11" s="826">
        <v>2158685</v>
      </c>
      <c r="P11" s="826"/>
      <c r="Q11" s="826"/>
      <c r="R11" s="826"/>
      <c r="S11" s="826"/>
      <c r="T11" s="826">
        <v>5066</v>
      </c>
      <c r="U11" s="826">
        <v>62891</v>
      </c>
      <c r="V11" s="1117"/>
      <c r="W11" s="1135">
        <f>W12+W18+W15</f>
        <v>1067073</v>
      </c>
      <c r="X11" s="1126">
        <f t="shared" si="0"/>
        <v>78578206</v>
      </c>
      <c r="Y11" s="826">
        <f>J11+W12+74420</f>
        <v>21840617</v>
      </c>
      <c r="Z11" s="826">
        <f>K11+118753+317925</f>
        <v>52480826</v>
      </c>
      <c r="AA11" s="826">
        <f>L11+105975</f>
        <v>4256763</v>
      </c>
      <c r="AB11" s="826"/>
      <c r="AC11" s="826">
        <f>N11</f>
        <v>670761</v>
      </c>
      <c r="AD11" s="826">
        <f>O11+356325</f>
        <v>2515010</v>
      </c>
      <c r="AE11" s="826">
        <f>118775</f>
        <v>118775</v>
      </c>
      <c r="AF11" s="826"/>
      <c r="AG11" s="826"/>
      <c r="AH11" s="826"/>
      <c r="AI11" s="826">
        <f>T11</f>
        <v>5066</v>
      </c>
      <c r="AJ11" s="826">
        <f>U11</f>
        <v>62891</v>
      </c>
      <c r="AK11" s="826"/>
    </row>
    <row r="12" spans="1:37" s="773" customFormat="1" ht="24" customHeight="1">
      <c r="A12" s="1057">
        <v>600</v>
      </c>
      <c r="B12" s="1058"/>
      <c r="C12" s="1059" t="s">
        <v>95</v>
      </c>
      <c r="D12" s="1059"/>
      <c r="E12" s="1059"/>
      <c r="F12" s="1060"/>
      <c r="G12" s="1061">
        <f>70335049</f>
        <v>70335049</v>
      </c>
      <c r="H12" s="1061">
        <f>14735318</f>
        <v>14735318</v>
      </c>
      <c r="I12" s="1061">
        <v>53399776</v>
      </c>
      <c r="J12" s="1061">
        <v>15397420</v>
      </c>
      <c r="K12" s="1061">
        <v>38002356</v>
      </c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118"/>
      <c r="W12" s="1136">
        <f>W13</f>
        <v>450000</v>
      </c>
      <c r="X12" s="1127">
        <f t="shared" si="0"/>
        <v>53849776</v>
      </c>
      <c r="Y12" s="1061">
        <f>J12+W12</f>
        <v>15847420</v>
      </c>
      <c r="Z12" s="1061">
        <f>K12</f>
        <v>38002356</v>
      </c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</row>
    <row r="13" spans="1:37" s="3" customFormat="1" ht="38.25" customHeight="1">
      <c r="A13" s="828"/>
      <c r="B13" s="829">
        <v>60015</v>
      </c>
      <c r="C13" s="902" t="s">
        <v>259</v>
      </c>
      <c r="D13" s="830"/>
      <c r="E13" s="830"/>
      <c r="F13" s="831"/>
      <c r="G13" s="832">
        <v>70335049</v>
      </c>
      <c r="H13" s="832">
        <v>14735318</v>
      </c>
      <c r="I13" s="832">
        <v>53399776</v>
      </c>
      <c r="J13" s="832">
        <v>15397420</v>
      </c>
      <c r="K13" s="832">
        <v>38002356</v>
      </c>
      <c r="L13" s="832"/>
      <c r="M13" s="832"/>
      <c r="N13" s="832"/>
      <c r="O13" s="832"/>
      <c r="P13" s="832"/>
      <c r="Q13" s="832"/>
      <c r="R13" s="832"/>
      <c r="S13" s="832"/>
      <c r="T13" s="832"/>
      <c r="U13" s="832"/>
      <c r="V13" s="1119"/>
      <c r="W13" s="1137">
        <f>W14</f>
        <v>450000</v>
      </c>
      <c r="X13" s="1128">
        <f t="shared" si="0"/>
        <v>53849776</v>
      </c>
      <c r="Y13" s="832">
        <f>J13+W13</f>
        <v>15847420</v>
      </c>
      <c r="Z13" s="832">
        <f>K13</f>
        <v>38002356</v>
      </c>
      <c r="AA13" s="832"/>
      <c r="AB13" s="832"/>
      <c r="AC13" s="832"/>
      <c r="AD13" s="832"/>
      <c r="AE13" s="832"/>
      <c r="AF13" s="832"/>
      <c r="AG13" s="832"/>
      <c r="AH13" s="832"/>
      <c r="AI13" s="832"/>
      <c r="AJ13" s="832"/>
      <c r="AK13" s="832"/>
    </row>
    <row r="14" spans="1:37" s="3" customFormat="1" ht="120" customHeight="1">
      <c r="A14" s="828"/>
      <c r="B14" s="833"/>
      <c r="C14" s="903" t="s">
        <v>464</v>
      </c>
      <c r="D14" s="905" t="s">
        <v>465</v>
      </c>
      <c r="E14" s="904" t="s">
        <v>386</v>
      </c>
      <c r="F14" s="906" t="s">
        <v>414</v>
      </c>
      <c r="G14" s="907">
        <v>18602284</v>
      </c>
      <c r="H14" s="907">
        <v>4700049</v>
      </c>
      <c r="I14" s="834">
        <v>12895000</v>
      </c>
      <c r="J14" s="835">
        <v>4600000</v>
      </c>
      <c r="K14" s="835">
        <v>8295000</v>
      </c>
      <c r="L14" s="835"/>
      <c r="M14" s="835"/>
      <c r="N14" s="835"/>
      <c r="O14" s="835"/>
      <c r="P14" s="835"/>
      <c r="Q14" s="835"/>
      <c r="R14" s="835"/>
      <c r="S14" s="835"/>
      <c r="T14" s="835"/>
      <c r="U14" s="835"/>
      <c r="V14" s="1120"/>
      <c r="W14" s="1138">
        <v>450000</v>
      </c>
      <c r="X14" s="1129">
        <f t="shared" si="0"/>
        <v>13345000</v>
      </c>
      <c r="Y14" s="835">
        <f>J14+W14</f>
        <v>5050000</v>
      </c>
      <c r="Z14" s="835">
        <f>K14</f>
        <v>8295000</v>
      </c>
      <c r="AA14" s="835"/>
      <c r="AB14" s="835"/>
      <c r="AC14" s="835"/>
      <c r="AD14" s="835"/>
      <c r="AE14" s="835"/>
      <c r="AF14" s="835"/>
      <c r="AG14" s="835"/>
      <c r="AH14" s="835"/>
      <c r="AI14" s="835"/>
      <c r="AJ14" s="835"/>
      <c r="AK14" s="835"/>
    </row>
    <row r="15" spans="1:37" s="773" customFormat="1" ht="24" customHeight="1">
      <c r="A15" s="1057">
        <v>750</v>
      </c>
      <c r="B15" s="1058"/>
      <c r="C15" s="1059" t="s">
        <v>556</v>
      </c>
      <c r="D15" s="1059"/>
      <c r="E15" s="1059"/>
      <c r="F15" s="1060"/>
      <c r="G15" s="1061">
        <v>3305205</v>
      </c>
      <c r="H15" s="1061">
        <v>195150</v>
      </c>
      <c r="I15" s="1061">
        <v>802679</v>
      </c>
      <c r="J15" s="1061">
        <v>200669</v>
      </c>
      <c r="K15" s="1061">
        <v>602010</v>
      </c>
      <c r="L15" s="1061"/>
      <c r="M15" s="1061"/>
      <c r="N15" s="1061">
        <v>352094</v>
      </c>
      <c r="O15" s="1061">
        <v>1056282</v>
      </c>
      <c r="P15" s="1061"/>
      <c r="Q15" s="1061"/>
      <c r="R15" s="1061"/>
      <c r="S15" s="1061"/>
      <c r="T15" s="1061"/>
      <c r="U15" s="1061"/>
      <c r="V15" s="1118"/>
      <c r="W15" s="1136">
        <f>W16</f>
        <v>423900</v>
      </c>
      <c r="X15" s="1127">
        <v>1226579</v>
      </c>
      <c r="Y15" s="1061">
        <v>200669</v>
      </c>
      <c r="Z15" s="1061">
        <v>919935</v>
      </c>
      <c r="AA15" s="1061">
        <v>105975</v>
      </c>
      <c r="AB15" s="1061"/>
      <c r="AC15" s="1061">
        <v>352094</v>
      </c>
      <c r="AD15" s="1061">
        <v>1412607</v>
      </c>
      <c r="AE15" s="1061">
        <v>118775</v>
      </c>
      <c r="AF15" s="1061"/>
      <c r="AG15" s="1061"/>
      <c r="AH15" s="1061"/>
      <c r="AI15" s="1061"/>
      <c r="AJ15" s="1061"/>
      <c r="AK15" s="1061"/>
    </row>
    <row r="16" spans="1:37" s="3" customFormat="1" ht="43.5" customHeight="1">
      <c r="A16" s="828"/>
      <c r="B16" s="829">
        <v>75075</v>
      </c>
      <c r="C16" s="902" t="s">
        <v>448</v>
      </c>
      <c r="D16" s="830"/>
      <c r="E16" s="830"/>
      <c r="F16" s="831"/>
      <c r="G16" s="832">
        <v>899000</v>
      </c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1119"/>
      <c r="W16" s="1137">
        <f>W17</f>
        <v>423900</v>
      </c>
      <c r="X16" s="1128">
        <f>W16</f>
        <v>423900</v>
      </c>
      <c r="Y16" s="832"/>
      <c r="Z16" s="832">
        <v>317925</v>
      </c>
      <c r="AA16" s="832">
        <v>105975</v>
      </c>
      <c r="AB16" s="832"/>
      <c r="AC16" s="832"/>
      <c r="AD16" s="832">
        <v>356325</v>
      </c>
      <c r="AE16" s="832">
        <v>118775</v>
      </c>
      <c r="AF16" s="832"/>
      <c r="AG16" s="832"/>
      <c r="AH16" s="832"/>
      <c r="AI16" s="832"/>
      <c r="AJ16" s="832"/>
      <c r="AK16" s="832"/>
    </row>
    <row r="17" spans="1:37" s="3" customFormat="1" ht="120" customHeight="1">
      <c r="A17" s="828"/>
      <c r="B17" s="833"/>
      <c r="C17" s="903" t="s">
        <v>509</v>
      </c>
      <c r="D17" s="905" t="s">
        <v>557</v>
      </c>
      <c r="E17" s="904" t="s">
        <v>386</v>
      </c>
      <c r="F17" s="906" t="s">
        <v>511</v>
      </c>
      <c r="G17" s="907">
        <v>899000</v>
      </c>
      <c r="H17" s="907"/>
      <c r="I17" s="834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1120"/>
      <c r="W17" s="1138">
        <v>423900</v>
      </c>
      <c r="X17" s="1129">
        <f>W17</f>
        <v>423900</v>
      </c>
      <c r="Y17" s="835"/>
      <c r="Z17" s="835">
        <v>317925</v>
      </c>
      <c r="AA17" s="835">
        <v>105975</v>
      </c>
      <c r="AB17" s="835"/>
      <c r="AC17" s="835"/>
      <c r="AD17" s="835">
        <v>356325</v>
      </c>
      <c r="AE17" s="835">
        <v>118775</v>
      </c>
      <c r="AF17" s="835"/>
      <c r="AG17" s="835"/>
      <c r="AH17" s="835"/>
      <c r="AI17" s="835"/>
      <c r="AJ17" s="835"/>
      <c r="AK17" s="835"/>
    </row>
    <row r="18" spans="1:37" s="773" customFormat="1" ht="36" customHeight="1">
      <c r="A18" s="1057">
        <v>900</v>
      </c>
      <c r="B18" s="1058"/>
      <c r="C18" s="1059" t="s">
        <v>199</v>
      </c>
      <c r="D18" s="1059"/>
      <c r="E18" s="1059"/>
      <c r="F18" s="1060"/>
      <c r="G18" s="1061">
        <f>G19</f>
        <v>31051672</v>
      </c>
      <c r="H18" s="1061">
        <f>H19</f>
        <v>21935450</v>
      </c>
      <c r="I18" s="1061">
        <v>8334806</v>
      </c>
      <c r="J18" s="1061">
        <v>3210949</v>
      </c>
      <c r="K18" s="1061">
        <v>5123857</v>
      </c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118"/>
      <c r="W18" s="1136">
        <f>W19</f>
        <v>193173</v>
      </c>
      <c r="X18" s="1127">
        <f t="shared" si="0"/>
        <v>8527979</v>
      </c>
      <c r="Y18" s="1061">
        <f>J18+74420</f>
        <v>3285369</v>
      </c>
      <c r="Z18" s="1061">
        <f>K18+118753</f>
        <v>5242610</v>
      </c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</row>
    <row r="19" spans="1:37" s="3" customFormat="1" ht="26.25" customHeight="1">
      <c r="A19" s="828"/>
      <c r="B19" s="829">
        <v>90002</v>
      </c>
      <c r="C19" s="908" t="s">
        <v>315</v>
      </c>
      <c r="D19" s="908"/>
      <c r="E19" s="908"/>
      <c r="F19" s="909"/>
      <c r="G19" s="910">
        <f>G20</f>
        <v>31051672</v>
      </c>
      <c r="H19" s="910">
        <f>H20</f>
        <v>21935450</v>
      </c>
      <c r="I19" s="832">
        <v>8334806</v>
      </c>
      <c r="J19" s="832">
        <v>3210949</v>
      </c>
      <c r="K19" s="832">
        <v>5123857</v>
      </c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1119"/>
      <c r="W19" s="1137">
        <f>W20</f>
        <v>193173</v>
      </c>
      <c r="X19" s="1128">
        <f t="shared" si="0"/>
        <v>8527979</v>
      </c>
      <c r="Y19" s="832">
        <f>J19+74420</f>
        <v>3285369</v>
      </c>
      <c r="Z19" s="832">
        <f>K19+118753</f>
        <v>5242610</v>
      </c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832"/>
    </row>
    <row r="20" spans="1:37" s="3" customFormat="1" ht="90.75" customHeight="1">
      <c r="A20" s="914"/>
      <c r="B20" s="915"/>
      <c r="C20" s="911" t="s">
        <v>466</v>
      </c>
      <c r="D20" s="912" t="s">
        <v>467</v>
      </c>
      <c r="E20" s="913" t="s">
        <v>386</v>
      </c>
      <c r="F20" s="906" t="s">
        <v>414</v>
      </c>
      <c r="G20" s="907">
        <v>31051672</v>
      </c>
      <c r="H20" s="907">
        <v>21935450</v>
      </c>
      <c r="I20" s="834">
        <v>8334806</v>
      </c>
      <c r="J20" s="835">
        <v>3210949</v>
      </c>
      <c r="K20" s="835">
        <v>5123857</v>
      </c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1120"/>
      <c r="W20" s="1138">
        <v>193173</v>
      </c>
      <c r="X20" s="1129">
        <f t="shared" si="0"/>
        <v>8527979</v>
      </c>
      <c r="Y20" s="835">
        <f>J20+74420</f>
        <v>3285369</v>
      </c>
      <c r="Z20" s="835">
        <f>K20+118753</f>
        <v>5242610</v>
      </c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</row>
    <row r="21" spans="1:37" s="827" customFormat="1" ht="64.5" customHeight="1" thickBot="1">
      <c r="A21" s="836"/>
      <c r="B21" s="836"/>
      <c r="C21" s="837" t="s">
        <v>125</v>
      </c>
      <c r="D21" s="838"/>
      <c r="E21" s="838"/>
      <c r="F21" s="839"/>
      <c r="G21" s="840">
        <f>2006662</f>
        <v>2006662</v>
      </c>
      <c r="H21" s="840">
        <f>767637</f>
        <v>767637</v>
      </c>
      <c r="I21" s="840">
        <v>1239025</v>
      </c>
      <c r="J21" s="840"/>
      <c r="K21" s="840">
        <v>843156</v>
      </c>
      <c r="L21" s="840">
        <v>395869</v>
      </c>
      <c r="M21" s="840"/>
      <c r="N21" s="840"/>
      <c r="O21" s="840"/>
      <c r="P21" s="840"/>
      <c r="Q21" s="841"/>
      <c r="R21" s="841"/>
      <c r="S21" s="841"/>
      <c r="T21" s="840"/>
      <c r="U21" s="840"/>
      <c r="V21" s="1121"/>
      <c r="W21" s="1139"/>
      <c r="X21" s="1130">
        <f>I21</f>
        <v>1239025</v>
      </c>
      <c r="Y21" s="840"/>
      <c r="Z21" s="840">
        <f>K21</f>
        <v>843156</v>
      </c>
      <c r="AA21" s="840">
        <f>L21</f>
        <v>395869</v>
      </c>
      <c r="AB21" s="840"/>
      <c r="AC21" s="840"/>
      <c r="AD21" s="840"/>
      <c r="AE21" s="840"/>
      <c r="AF21" s="841"/>
      <c r="AG21" s="841"/>
      <c r="AH21" s="841"/>
      <c r="AI21" s="840"/>
      <c r="AJ21" s="840"/>
      <c r="AK21" s="840"/>
    </row>
    <row r="29" spans="21:24" ht="14.25">
      <c r="U29" s="1201" t="s">
        <v>562</v>
      </c>
      <c r="V29" s="1201"/>
      <c r="W29" s="1201" t="s">
        <v>559</v>
      </c>
      <c r="X29" s="1201"/>
    </row>
    <row r="30" spans="21:24" ht="14.25">
      <c r="U30" s="1201" t="s">
        <v>563</v>
      </c>
      <c r="V30" s="1201"/>
      <c r="W30" s="1201" t="s">
        <v>560</v>
      </c>
      <c r="X30" s="1201"/>
    </row>
    <row r="31" spans="21:24" ht="14.25">
      <c r="U31" s="1201" t="s">
        <v>558</v>
      </c>
      <c r="V31" s="1201"/>
      <c r="W31" s="1201" t="s">
        <v>561</v>
      </c>
      <c r="X31" s="1201"/>
    </row>
  </sheetData>
  <mergeCells count="10">
    <mergeCell ref="AI7:AK7"/>
    <mergeCell ref="AF7:AH7"/>
    <mergeCell ref="Y7:AA7"/>
    <mergeCell ref="C3:AA3"/>
    <mergeCell ref="C4:G4"/>
    <mergeCell ref="AC7:AE7"/>
    <mergeCell ref="J7:L7"/>
    <mergeCell ref="N7:P7"/>
    <mergeCell ref="Q7:S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firstPageNumber="14" useFirstPageNumber="1" horizontalDpi="600" verticalDpi="600" orientation="landscape" paperSize="9" scale="2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F1">
      <selection activeCell="I13" sqref="I13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43.75390625" style="374" customWidth="1"/>
    <col min="4" max="4" width="38.75390625" style="374" customWidth="1"/>
    <col min="5" max="5" width="16.00390625" style="374" customWidth="1"/>
    <col min="6" max="6" width="10.75390625" style="647" customWidth="1"/>
    <col min="7" max="7" width="12.625" style="647" customWidth="1"/>
    <col min="8" max="8" width="13.375" style="647" customWidth="1"/>
    <col min="9" max="9" width="12.00390625" style="0" customWidth="1"/>
    <col min="10" max="10" width="12.125" style="0" customWidth="1"/>
    <col min="11" max="11" width="13.375" style="0" customWidth="1"/>
    <col min="12" max="12" width="11.75390625" style="0" hidden="1" customWidth="1"/>
    <col min="13" max="13" width="9.875" style="0" hidden="1" customWidth="1"/>
    <col min="14" max="14" width="11.375" style="0" customWidth="1"/>
    <col min="15" max="15" width="11.875" style="0" customWidth="1"/>
    <col min="16" max="16" width="13.625" style="0" customWidth="1"/>
    <col min="17" max="17" width="10.375" style="0" customWidth="1"/>
    <col min="18" max="18" width="11.875" style="0" customWidth="1"/>
    <col min="19" max="19" width="13.25390625" style="0" customWidth="1"/>
    <col min="20" max="20" width="12.00390625" style="0" customWidth="1"/>
    <col min="21" max="21" width="12.125" style="0" customWidth="1"/>
    <col min="22" max="22" width="13.375" style="0" customWidth="1"/>
    <col min="23" max="23" width="11.75390625" style="0" hidden="1" customWidth="1"/>
    <col min="24" max="24" width="9.875" style="0" hidden="1" customWidth="1"/>
    <col min="25" max="25" width="11.375" style="0" customWidth="1"/>
    <col min="26" max="26" width="11.875" style="0" customWidth="1"/>
    <col min="27" max="27" width="13.625" style="0" customWidth="1"/>
    <col min="28" max="28" width="10.375" style="0" customWidth="1"/>
    <col min="29" max="29" width="11.875" style="0" customWidth="1"/>
    <col min="30" max="30" width="13.25390625" style="0" customWidth="1"/>
  </cols>
  <sheetData>
    <row r="1" spans="3:27" s="22" customFormat="1" ht="21" customHeight="1">
      <c r="C1" s="317"/>
      <c r="D1" s="317"/>
      <c r="E1" s="317"/>
      <c r="F1" s="723"/>
      <c r="G1" s="723"/>
      <c r="H1" s="723"/>
      <c r="P1" s="646"/>
      <c r="AA1" s="975" t="s">
        <v>343</v>
      </c>
    </row>
    <row r="2" spans="7:27" s="22" customFormat="1" ht="21" customHeight="1">
      <c r="G2" s="724"/>
      <c r="H2" s="724"/>
      <c r="P2" s="646"/>
      <c r="AA2" s="975" t="s">
        <v>538</v>
      </c>
    </row>
    <row r="3" spans="3:27" s="22" customFormat="1" ht="21" customHeight="1">
      <c r="C3" s="725" t="s">
        <v>383</v>
      </c>
      <c r="D3" s="725"/>
      <c r="E3" s="725"/>
      <c r="F3" s="725"/>
      <c r="G3" s="725"/>
      <c r="H3" s="725"/>
      <c r="I3" s="726"/>
      <c r="J3" s="726"/>
      <c r="K3" s="726"/>
      <c r="L3" s="726"/>
      <c r="M3" s="726"/>
      <c r="P3" s="646"/>
      <c r="T3" s="726"/>
      <c r="U3" s="726"/>
      <c r="V3" s="726"/>
      <c r="W3" s="726"/>
      <c r="X3" s="726"/>
      <c r="AA3" s="975" t="s">
        <v>67</v>
      </c>
    </row>
    <row r="4" spans="3:27" s="22" customFormat="1" ht="21" customHeight="1">
      <c r="C4" s="725" t="s">
        <v>384</v>
      </c>
      <c r="D4" s="725"/>
      <c r="E4" s="725"/>
      <c r="F4" s="725"/>
      <c r="G4" s="725"/>
      <c r="H4" s="727"/>
      <c r="P4" s="646"/>
      <c r="AA4" s="975" t="s">
        <v>443</v>
      </c>
    </row>
    <row r="5" spans="3:27" s="22" customFormat="1" ht="21" customHeight="1">
      <c r="C5" s="726"/>
      <c r="D5" s="726"/>
      <c r="E5" s="726"/>
      <c r="F5" s="726"/>
      <c r="G5" s="726"/>
      <c r="H5" s="727"/>
      <c r="N5" s="47"/>
      <c r="P5" s="1"/>
      <c r="Y5" s="47"/>
      <c r="AA5" s="1"/>
    </row>
    <row r="6" spans="2:30" s="22" customFormat="1" ht="21" customHeight="1" thickBot="1">
      <c r="B6" s="234"/>
      <c r="C6" s="317"/>
      <c r="D6" s="317"/>
      <c r="E6" s="317"/>
      <c r="F6" s="723"/>
      <c r="G6" s="723"/>
      <c r="H6" s="723"/>
      <c r="L6" s="130"/>
      <c r="M6" s="130"/>
      <c r="P6" s="45"/>
      <c r="S6" s="45"/>
      <c r="W6" s="130"/>
      <c r="X6" s="130"/>
      <c r="AA6" s="45"/>
      <c r="AD6" s="45" t="s">
        <v>68</v>
      </c>
    </row>
    <row r="7" spans="1:30" s="22" customFormat="1" ht="30" customHeight="1" thickBot="1" thickTop="1">
      <c r="A7" s="320"/>
      <c r="B7" s="320"/>
      <c r="C7" s="321"/>
      <c r="D7" s="321"/>
      <c r="E7" s="728" t="s">
        <v>363</v>
      </c>
      <c r="F7" s="728"/>
      <c r="G7" s="728"/>
      <c r="H7" s="728"/>
      <c r="I7" s="1166" t="s">
        <v>527</v>
      </c>
      <c r="J7" s="1175"/>
      <c r="K7" s="1176"/>
      <c r="L7" s="728"/>
      <c r="M7" s="729"/>
      <c r="N7" s="1166" t="s">
        <v>528</v>
      </c>
      <c r="O7" s="1175"/>
      <c r="P7" s="1176"/>
      <c r="Q7" s="1166" t="s">
        <v>529</v>
      </c>
      <c r="R7" s="1175"/>
      <c r="S7" s="1177"/>
      <c r="T7" s="1175" t="s">
        <v>385</v>
      </c>
      <c r="U7" s="1175"/>
      <c r="V7" s="1176"/>
      <c r="W7" s="728"/>
      <c r="X7" s="729"/>
      <c r="Y7" s="1166" t="s">
        <v>438</v>
      </c>
      <c r="Z7" s="1175"/>
      <c r="AA7" s="1176"/>
      <c r="AB7" s="1166" t="s">
        <v>439</v>
      </c>
      <c r="AC7" s="1175"/>
      <c r="AD7" s="1176"/>
    </row>
    <row r="8" spans="1:30" s="22" customFormat="1" ht="66.75" customHeight="1" thickBot="1" thickTop="1">
      <c r="A8" s="324" t="s">
        <v>72</v>
      </c>
      <c r="B8" s="325" t="s">
        <v>296</v>
      </c>
      <c r="C8" s="325" t="s">
        <v>364</v>
      </c>
      <c r="D8" s="325" t="s">
        <v>365</v>
      </c>
      <c r="E8" s="325" t="s">
        <v>366</v>
      </c>
      <c r="F8" s="325" t="s">
        <v>367</v>
      </c>
      <c r="G8" s="325" t="s">
        <v>435</v>
      </c>
      <c r="H8" s="325" t="s">
        <v>436</v>
      </c>
      <c r="I8" s="118" t="s">
        <v>298</v>
      </c>
      <c r="J8" s="118" t="s">
        <v>299</v>
      </c>
      <c r="K8" s="118" t="s">
        <v>368</v>
      </c>
      <c r="L8" s="325" t="s">
        <v>369</v>
      </c>
      <c r="M8" s="325" t="s">
        <v>134</v>
      </c>
      <c r="N8" s="118" t="s">
        <v>298</v>
      </c>
      <c r="O8" s="118" t="s">
        <v>299</v>
      </c>
      <c r="P8" s="118" t="s">
        <v>368</v>
      </c>
      <c r="Q8" s="118" t="s">
        <v>298</v>
      </c>
      <c r="R8" s="118" t="s">
        <v>299</v>
      </c>
      <c r="S8" s="1140" t="s">
        <v>368</v>
      </c>
      <c r="T8" s="976" t="s">
        <v>298</v>
      </c>
      <c r="U8" s="118" t="s">
        <v>299</v>
      </c>
      <c r="V8" s="118" t="s">
        <v>368</v>
      </c>
      <c r="W8" s="325" t="s">
        <v>369</v>
      </c>
      <c r="X8" s="325" t="s">
        <v>134</v>
      </c>
      <c r="Y8" s="118" t="s">
        <v>298</v>
      </c>
      <c r="Z8" s="118" t="s">
        <v>299</v>
      </c>
      <c r="AA8" s="118" t="s">
        <v>368</v>
      </c>
      <c r="AB8" s="118" t="s">
        <v>298</v>
      </c>
      <c r="AC8" s="118" t="s">
        <v>299</v>
      </c>
      <c r="AD8" s="118" t="s">
        <v>368</v>
      </c>
    </row>
    <row r="9" spans="1:30" s="732" customFormat="1" ht="16.5" customHeight="1" thickBot="1" thickTop="1">
      <c r="A9" s="16">
        <v>1</v>
      </c>
      <c r="B9" s="16">
        <v>2</v>
      </c>
      <c r="C9" s="730">
        <v>3</v>
      </c>
      <c r="D9" s="731">
        <v>4</v>
      </c>
      <c r="E9" s="731">
        <v>5</v>
      </c>
      <c r="F9" s="731">
        <v>6</v>
      </c>
      <c r="G9" s="731">
        <v>7</v>
      </c>
      <c r="H9" s="731">
        <v>8</v>
      </c>
      <c r="I9" s="16">
        <v>9</v>
      </c>
      <c r="J9" s="16">
        <v>10</v>
      </c>
      <c r="K9" s="16">
        <v>11</v>
      </c>
      <c r="L9" s="16">
        <v>14</v>
      </c>
      <c r="M9" s="16">
        <v>12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141">
        <v>17</v>
      </c>
      <c r="T9" s="977">
        <v>18</v>
      </c>
      <c r="U9" s="16">
        <v>19</v>
      </c>
      <c r="V9" s="16">
        <v>20</v>
      </c>
      <c r="W9" s="16">
        <v>14</v>
      </c>
      <c r="X9" s="16">
        <v>12</v>
      </c>
      <c r="Y9" s="16">
        <v>21</v>
      </c>
      <c r="Z9" s="16">
        <v>22</v>
      </c>
      <c r="AA9" s="16">
        <v>23</v>
      </c>
      <c r="AB9" s="16">
        <v>24</v>
      </c>
      <c r="AC9" s="16">
        <v>25</v>
      </c>
      <c r="AD9" s="16">
        <v>26</v>
      </c>
    </row>
    <row r="10" spans="1:30" s="237" customFormat="1" ht="26.25" customHeight="1" thickBot="1" thickTop="1">
      <c r="A10" s="733"/>
      <c r="B10" s="733"/>
      <c r="C10" s="734" t="s">
        <v>370</v>
      </c>
      <c r="D10" s="735"/>
      <c r="E10" s="735"/>
      <c r="F10" s="736"/>
      <c r="G10" s="737">
        <v>146542736</v>
      </c>
      <c r="H10" s="737">
        <v>11893132</v>
      </c>
      <c r="I10" s="737">
        <v>10887054</v>
      </c>
      <c r="J10" s="737">
        <v>16020034</v>
      </c>
      <c r="K10" s="737">
        <v>1500000</v>
      </c>
      <c r="L10" s="737"/>
      <c r="M10" s="737"/>
      <c r="N10" s="737">
        <v>24712875</v>
      </c>
      <c r="O10" s="737">
        <v>42479238</v>
      </c>
      <c r="P10" s="737">
        <v>23377578</v>
      </c>
      <c r="Q10" s="737">
        <v>5327500</v>
      </c>
      <c r="R10" s="737">
        <v>7827500</v>
      </c>
      <c r="S10" s="1142">
        <v>2500000</v>
      </c>
      <c r="T10" s="978">
        <f>I10-504481-170794</f>
        <v>10211779</v>
      </c>
      <c r="U10" s="737">
        <f>J10</f>
        <v>16020034</v>
      </c>
      <c r="V10" s="737">
        <f>K10</f>
        <v>1500000</v>
      </c>
      <c r="W10" s="737"/>
      <c r="X10" s="737"/>
      <c r="Y10" s="737">
        <f>N10+75672+25619</f>
        <v>24814166</v>
      </c>
      <c r="Z10" s="737">
        <f>O10</f>
        <v>42479238</v>
      </c>
      <c r="AA10" s="737">
        <f>P10+145175+428809</f>
        <v>23951562</v>
      </c>
      <c r="AB10" s="737">
        <f>Q10</f>
        <v>5327500</v>
      </c>
      <c r="AC10" s="737">
        <f>R10</f>
        <v>7827500</v>
      </c>
      <c r="AD10" s="737">
        <f>S10</f>
        <v>2500000</v>
      </c>
    </row>
    <row r="11" spans="1:30" ht="21.75" customHeight="1">
      <c r="A11" s="1051">
        <v>801</v>
      </c>
      <c r="B11" s="1051"/>
      <c r="C11" s="1052" t="s">
        <v>97</v>
      </c>
      <c r="D11" s="1052"/>
      <c r="E11" s="1052"/>
      <c r="F11" s="1053"/>
      <c r="G11" s="1054">
        <v>21095538</v>
      </c>
      <c r="H11" s="1054">
        <v>223138</v>
      </c>
      <c r="I11" s="1054">
        <v>1749708</v>
      </c>
      <c r="J11" s="1054"/>
      <c r="K11" s="1054"/>
      <c r="L11" s="1054"/>
      <c r="M11" s="1054"/>
      <c r="N11" s="1054">
        <v>2913254</v>
      </c>
      <c r="O11" s="1054"/>
      <c r="P11" s="1055">
        <v>16209438</v>
      </c>
      <c r="Q11" s="1055"/>
      <c r="R11" s="1055"/>
      <c r="S11" s="1143"/>
      <c r="T11" s="1056">
        <f>I11-20700-54575-95519-504481</f>
        <v>1074433</v>
      </c>
      <c r="U11" s="1054"/>
      <c r="V11" s="1054"/>
      <c r="W11" s="1054"/>
      <c r="X11" s="1054"/>
      <c r="Y11" s="1054">
        <f>N11+75672+25619</f>
        <v>3014545</v>
      </c>
      <c r="Z11" s="1054"/>
      <c r="AA11" s="1055">
        <f>P11+145175+428809</f>
        <v>16783422</v>
      </c>
      <c r="AB11" s="1055"/>
      <c r="AC11" s="1055"/>
      <c r="AD11" s="1055"/>
    </row>
    <row r="12" spans="1:30" s="234" customFormat="1" ht="23.25" customHeight="1">
      <c r="A12" s="447"/>
      <c r="B12" s="741">
        <v>80110</v>
      </c>
      <c r="C12" s="746" t="s">
        <v>255</v>
      </c>
      <c r="D12" s="742"/>
      <c r="E12" s="738"/>
      <c r="F12" s="739"/>
      <c r="G12" s="740">
        <v>6473043</v>
      </c>
      <c r="H12" s="740">
        <v>52143</v>
      </c>
      <c r="I12" s="743">
        <v>343537</v>
      </c>
      <c r="J12" s="743"/>
      <c r="K12" s="743"/>
      <c r="L12" s="743"/>
      <c r="M12" s="743"/>
      <c r="N12" s="743">
        <v>911604</v>
      </c>
      <c r="O12" s="743"/>
      <c r="P12" s="743">
        <v>5165759</v>
      </c>
      <c r="Q12" s="743"/>
      <c r="R12" s="743"/>
      <c r="S12" s="1144"/>
      <c r="T12" s="979">
        <v>172743</v>
      </c>
      <c r="U12" s="743"/>
      <c r="V12" s="743"/>
      <c r="W12" s="743"/>
      <c r="X12" s="743"/>
      <c r="Y12" s="743">
        <v>937223</v>
      </c>
      <c r="Z12" s="743"/>
      <c r="AA12" s="743">
        <v>5310934</v>
      </c>
      <c r="AB12" s="743"/>
      <c r="AC12" s="743"/>
      <c r="AD12" s="743"/>
    </row>
    <row r="13" spans="1:30" s="234" customFormat="1" ht="52.5" customHeight="1">
      <c r="A13" s="447"/>
      <c r="B13" s="744"/>
      <c r="C13" s="973" t="s">
        <v>437</v>
      </c>
      <c r="D13" s="974" t="s">
        <v>416</v>
      </c>
      <c r="E13" s="981" t="s">
        <v>386</v>
      </c>
      <c r="F13" s="982" t="s">
        <v>415</v>
      </c>
      <c r="G13" s="983">
        <v>6473043</v>
      </c>
      <c r="H13" s="983">
        <v>52143</v>
      </c>
      <c r="I13" s="745">
        <v>343537</v>
      </c>
      <c r="J13" s="745"/>
      <c r="K13" s="745"/>
      <c r="L13" s="745"/>
      <c r="M13" s="745"/>
      <c r="N13" s="745">
        <v>911604</v>
      </c>
      <c r="O13" s="745"/>
      <c r="P13" s="745">
        <v>5165759</v>
      </c>
      <c r="Q13" s="745"/>
      <c r="R13" s="745"/>
      <c r="S13" s="1145"/>
      <c r="T13" s="980">
        <f>I13-20700-54575-95519</f>
        <v>172743</v>
      </c>
      <c r="U13" s="745"/>
      <c r="V13" s="745"/>
      <c r="W13" s="745"/>
      <c r="X13" s="745"/>
      <c r="Y13" s="745">
        <f>N13+25619</f>
        <v>937223</v>
      </c>
      <c r="Z13" s="745"/>
      <c r="AA13" s="745">
        <f>P13+145175</f>
        <v>5310934</v>
      </c>
      <c r="AB13" s="745"/>
      <c r="AC13" s="745"/>
      <c r="AD13" s="745"/>
    </row>
    <row r="14" spans="1:30" s="234" customFormat="1" ht="23.25" customHeight="1">
      <c r="A14" s="447"/>
      <c r="B14" s="741">
        <v>80130</v>
      </c>
      <c r="C14" s="746" t="s">
        <v>144</v>
      </c>
      <c r="D14" s="742"/>
      <c r="E14" s="738"/>
      <c r="F14" s="739"/>
      <c r="G14" s="740">
        <v>9445900</v>
      </c>
      <c r="H14" s="740">
        <v>115900</v>
      </c>
      <c r="I14" s="743">
        <v>674871</v>
      </c>
      <c r="J14" s="743"/>
      <c r="K14" s="743"/>
      <c r="L14" s="743"/>
      <c r="M14" s="743"/>
      <c r="N14" s="743">
        <v>1343120</v>
      </c>
      <c r="O14" s="743"/>
      <c r="P14" s="743">
        <v>7312009</v>
      </c>
      <c r="Q14" s="743"/>
      <c r="R14" s="743"/>
      <c r="S14" s="1144"/>
      <c r="T14" s="979">
        <v>170390</v>
      </c>
      <c r="U14" s="743"/>
      <c r="V14" s="743"/>
      <c r="W14" s="743"/>
      <c r="X14" s="743"/>
      <c r="Y14" s="743">
        <v>1418792</v>
      </c>
      <c r="Z14" s="743"/>
      <c r="AA14" s="743">
        <v>7740818</v>
      </c>
      <c r="AB14" s="743"/>
      <c r="AC14" s="743"/>
      <c r="AD14" s="743"/>
    </row>
    <row r="15" spans="1:30" s="234" customFormat="1" ht="52.5" customHeight="1">
      <c r="A15" s="78"/>
      <c r="B15" s="744"/>
      <c r="C15" s="973" t="s">
        <v>543</v>
      </c>
      <c r="D15" s="974" t="s">
        <v>416</v>
      </c>
      <c r="E15" s="981" t="s">
        <v>386</v>
      </c>
      <c r="F15" s="982" t="s">
        <v>415</v>
      </c>
      <c r="G15" s="983">
        <v>9445900</v>
      </c>
      <c r="H15" s="983">
        <v>115900</v>
      </c>
      <c r="I15" s="745">
        <v>674871</v>
      </c>
      <c r="J15" s="745"/>
      <c r="K15" s="745"/>
      <c r="L15" s="745"/>
      <c r="M15" s="745"/>
      <c r="N15" s="745">
        <v>1343120</v>
      </c>
      <c r="O15" s="745"/>
      <c r="P15" s="745">
        <v>7312009</v>
      </c>
      <c r="Q15" s="745"/>
      <c r="R15" s="745"/>
      <c r="S15" s="1145"/>
      <c r="T15" s="980">
        <f>I15-504481</f>
        <v>170390</v>
      </c>
      <c r="U15" s="745"/>
      <c r="V15" s="745"/>
      <c r="W15" s="745"/>
      <c r="X15" s="745"/>
      <c r="Y15" s="745">
        <f>N15+75672</f>
        <v>1418792</v>
      </c>
      <c r="Z15" s="745"/>
      <c r="AA15" s="745">
        <f>P15+428809</f>
        <v>7740818</v>
      </c>
      <c r="AB15" s="745"/>
      <c r="AC15" s="745"/>
      <c r="AD15" s="745"/>
    </row>
    <row r="23" spans="10:15" ht="14.25">
      <c r="J23" s="1201" t="s">
        <v>562</v>
      </c>
      <c r="K23" s="1201"/>
      <c r="L23" s="1201" t="s">
        <v>559</v>
      </c>
      <c r="O23" s="1201" t="s">
        <v>559</v>
      </c>
    </row>
    <row r="24" spans="10:15" ht="14.25">
      <c r="J24" s="1201" t="s">
        <v>563</v>
      </c>
      <c r="K24" s="1201"/>
      <c r="L24" s="1201" t="s">
        <v>560</v>
      </c>
      <c r="O24" s="1201" t="s">
        <v>560</v>
      </c>
    </row>
    <row r="25" spans="10:15" ht="14.25">
      <c r="J25" s="1201" t="s">
        <v>558</v>
      </c>
      <c r="K25" s="1201"/>
      <c r="L25" s="1201" t="s">
        <v>561</v>
      </c>
      <c r="O25" s="1201" t="s">
        <v>561</v>
      </c>
    </row>
  </sheetData>
  <mergeCells count="6">
    <mergeCell ref="AB7:AD7"/>
    <mergeCell ref="T7:V7"/>
    <mergeCell ref="Y7:AA7"/>
    <mergeCell ref="I7:K7"/>
    <mergeCell ref="N7:P7"/>
    <mergeCell ref="Q7:S7"/>
  </mergeCells>
  <printOptions/>
  <pageMargins left="0.47" right="0.38" top="0.63" bottom="1" header="0.5" footer="0.5"/>
  <pageSetup firstPageNumber="15" useFirstPageNumber="1" horizontalDpi="600" verticalDpi="600" orientation="landscape" paperSize="9" scale="3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I38"/>
  <sheetViews>
    <sheetView zoomScale="90" zoomScaleNormal="90" zoomScaleSheetLayoutView="75" workbookViewId="0" topLeftCell="A1">
      <selection activeCell="F12" sqref="F12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0.00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11.375" style="22" customWidth="1"/>
    <col min="9" max="9" width="9.125" style="22" customWidth="1"/>
    <col min="10" max="16384" width="7.875" style="22" customWidth="1"/>
  </cols>
  <sheetData>
    <row r="1" spans="1:7" ht="12.75" customHeight="1">
      <c r="A1" s="375"/>
      <c r="B1" s="375"/>
      <c r="C1" s="375"/>
      <c r="D1" s="375"/>
      <c r="E1" s="376"/>
      <c r="F1" s="50" t="s">
        <v>382</v>
      </c>
      <c r="G1" s="376"/>
    </row>
    <row r="2" spans="1:7" ht="12.75" customHeight="1">
      <c r="A2" s="375"/>
      <c r="B2" s="375"/>
      <c r="C2" s="375"/>
      <c r="D2" s="375"/>
      <c r="E2" s="375"/>
      <c r="F2" s="22" t="s">
        <v>538</v>
      </c>
      <c r="G2" s="375"/>
    </row>
    <row r="3" spans="1:7" ht="15" customHeight="1">
      <c r="A3" s="375"/>
      <c r="B3" s="375"/>
      <c r="C3" s="377" t="s">
        <v>305</v>
      </c>
      <c r="D3" s="375"/>
      <c r="E3" s="376"/>
      <c r="F3" s="22" t="s">
        <v>67</v>
      </c>
      <c r="G3" s="375"/>
    </row>
    <row r="4" spans="1:7" ht="12.75" customHeight="1">
      <c r="A4" s="375"/>
      <c r="B4" s="375"/>
      <c r="C4" s="375"/>
      <c r="D4" s="375"/>
      <c r="E4" s="376"/>
      <c r="F4" s="22" t="s">
        <v>443</v>
      </c>
      <c r="G4" s="375"/>
    </row>
    <row r="5" spans="1:7" ht="12.75" customHeight="1">
      <c r="A5" s="375"/>
      <c r="B5" s="375"/>
      <c r="C5" s="375"/>
      <c r="D5" s="375"/>
      <c r="E5" s="375"/>
      <c r="F5" s="375"/>
      <c r="G5" s="375"/>
    </row>
    <row r="6" spans="1:7" ht="12.75" customHeight="1" thickBot="1">
      <c r="A6" s="375"/>
      <c r="B6" s="375"/>
      <c r="C6" s="375"/>
      <c r="D6" s="378"/>
      <c r="E6" s="378"/>
      <c r="F6" s="378"/>
      <c r="G6" s="379" t="s">
        <v>68</v>
      </c>
    </row>
    <row r="7" spans="1:7" ht="10.5" customHeight="1" thickTop="1">
      <c r="A7" s="320"/>
      <c r="B7" s="320"/>
      <c r="C7" s="320"/>
      <c r="D7" s="1164" t="s">
        <v>310</v>
      </c>
      <c r="E7" s="380"/>
      <c r="F7" s="380"/>
      <c r="G7" s="380"/>
    </row>
    <row r="8" spans="1:7" ht="57.75" customHeight="1" thickBot="1">
      <c r="A8" s="381" t="s">
        <v>72</v>
      </c>
      <c r="B8" s="381" t="s">
        <v>73</v>
      </c>
      <c r="C8" s="382" t="s">
        <v>306</v>
      </c>
      <c r="D8" s="1178"/>
      <c r="E8" s="383" t="s">
        <v>307</v>
      </c>
      <c r="F8" s="383" t="s">
        <v>134</v>
      </c>
      <c r="G8" s="383" t="s">
        <v>122</v>
      </c>
    </row>
    <row r="9" spans="1:7" ht="11.25" customHeight="1" thickBot="1" thickTop="1">
      <c r="A9" s="236">
        <v>1</v>
      </c>
      <c r="B9" s="236">
        <v>2</v>
      </c>
      <c r="C9" s="236">
        <v>3</v>
      </c>
      <c r="D9" s="236">
        <v>4</v>
      </c>
      <c r="E9" s="236">
        <v>5</v>
      </c>
      <c r="F9" s="236">
        <v>5</v>
      </c>
      <c r="G9" s="236">
        <v>6</v>
      </c>
    </row>
    <row r="10" spans="1:9" ht="18" customHeight="1" thickBot="1" thickTop="1">
      <c r="A10" s="238"/>
      <c r="B10" s="238"/>
      <c r="C10" s="384" t="s">
        <v>308</v>
      </c>
      <c r="D10" s="240">
        <v>16291299</v>
      </c>
      <c r="E10" s="240"/>
      <c r="F10" s="240">
        <f>F12</f>
        <v>789575</v>
      </c>
      <c r="G10" s="240">
        <f>D10+F10</f>
        <v>17080874</v>
      </c>
      <c r="H10" s="47"/>
      <c r="I10" s="47"/>
    </row>
    <row r="11" spans="1:7" ht="14.25" customHeight="1" thickTop="1">
      <c r="A11" s="67"/>
      <c r="B11" s="67"/>
      <c r="C11" s="385" t="s">
        <v>89</v>
      </c>
      <c r="D11" s="386"/>
      <c r="E11" s="386"/>
      <c r="F11" s="386"/>
      <c r="G11" s="386"/>
    </row>
    <row r="12" spans="1:7" s="45" customFormat="1" ht="15" customHeight="1" thickBot="1">
      <c r="A12" s="105"/>
      <c r="B12" s="105"/>
      <c r="C12" s="387" t="s">
        <v>309</v>
      </c>
      <c r="D12" s="106">
        <v>15861299</v>
      </c>
      <c r="E12" s="106"/>
      <c r="F12" s="106">
        <f>F16+F27+F13</f>
        <v>789575</v>
      </c>
      <c r="G12" s="106">
        <f aca="true" t="shared" si="0" ref="G12:G32">D12+F12</f>
        <v>16650874</v>
      </c>
    </row>
    <row r="13" spans="1:7" s="45" customFormat="1" ht="18.75" customHeight="1" thickTop="1">
      <c r="A13" s="72">
        <v>750</v>
      </c>
      <c r="B13" s="72"/>
      <c r="C13" s="89" t="s">
        <v>101</v>
      </c>
      <c r="D13" s="389">
        <v>620000</v>
      </c>
      <c r="E13" s="389"/>
      <c r="F13" s="389">
        <f>F14</f>
        <v>85970</v>
      </c>
      <c r="G13" s="389">
        <f t="shared" si="0"/>
        <v>705970</v>
      </c>
    </row>
    <row r="14" spans="1:7" s="392" customFormat="1" ht="18.75" customHeight="1">
      <c r="A14" s="76"/>
      <c r="B14" s="184">
        <v>75023</v>
      </c>
      <c r="C14" s="78" t="s">
        <v>116</v>
      </c>
      <c r="D14" s="391">
        <v>600000</v>
      </c>
      <c r="E14" s="391"/>
      <c r="F14" s="391">
        <f>F15</f>
        <v>85970</v>
      </c>
      <c r="G14" s="391">
        <f t="shared" si="0"/>
        <v>685970</v>
      </c>
    </row>
    <row r="15" spans="1:7" s="45" customFormat="1" ht="18.75" customHeight="1">
      <c r="A15" s="80"/>
      <c r="B15" s="80"/>
      <c r="C15" s="393" t="s">
        <v>524</v>
      </c>
      <c r="D15" s="394">
        <v>600000</v>
      </c>
      <c r="E15" s="394"/>
      <c r="F15" s="394">
        <v>85970</v>
      </c>
      <c r="G15" s="394">
        <f t="shared" si="0"/>
        <v>685970</v>
      </c>
    </row>
    <row r="16" spans="1:7" s="45" customFormat="1" ht="18.75" customHeight="1">
      <c r="A16" s="72">
        <v>801</v>
      </c>
      <c r="B16" s="72"/>
      <c r="C16" s="388" t="s">
        <v>97</v>
      </c>
      <c r="D16" s="389">
        <v>3340767</v>
      </c>
      <c r="E16" s="389"/>
      <c r="F16" s="389">
        <f>F17+F19+F21+F23+F25</f>
        <v>701905</v>
      </c>
      <c r="G16" s="389">
        <f t="shared" si="0"/>
        <v>4042672</v>
      </c>
    </row>
    <row r="17" spans="1:7" s="392" customFormat="1" ht="18.75" customHeight="1">
      <c r="A17" s="76"/>
      <c r="B17" s="184">
        <v>80101</v>
      </c>
      <c r="C17" s="390" t="s">
        <v>254</v>
      </c>
      <c r="D17" s="391">
        <v>1046449</v>
      </c>
      <c r="E17" s="391"/>
      <c r="F17" s="391">
        <f>F18</f>
        <v>36930</v>
      </c>
      <c r="G17" s="391">
        <f t="shared" si="0"/>
        <v>1083379</v>
      </c>
    </row>
    <row r="18" spans="1:7" s="45" customFormat="1" ht="18.75" customHeight="1">
      <c r="A18" s="80"/>
      <c r="B18" s="80"/>
      <c r="C18" s="393" t="s">
        <v>356</v>
      </c>
      <c r="D18" s="394">
        <v>1046449</v>
      </c>
      <c r="E18" s="394"/>
      <c r="F18" s="394">
        <f>9700+27230</f>
        <v>36930</v>
      </c>
      <c r="G18" s="394">
        <f t="shared" si="0"/>
        <v>1083379</v>
      </c>
    </row>
    <row r="19" spans="1:7" s="392" customFormat="1" ht="18.75" customHeight="1">
      <c r="A19" s="76"/>
      <c r="B19" s="184">
        <v>80104</v>
      </c>
      <c r="C19" s="390" t="s">
        <v>145</v>
      </c>
      <c r="D19" s="391">
        <v>374327</v>
      </c>
      <c r="E19" s="391"/>
      <c r="F19" s="391">
        <f>F20</f>
        <v>3900</v>
      </c>
      <c r="G19" s="391">
        <f t="shared" si="0"/>
        <v>378227</v>
      </c>
    </row>
    <row r="20" spans="1:7" s="45" customFormat="1" ht="18.75" customHeight="1">
      <c r="A20" s="80"/>
      <c r="B20" s="80"/>
      <c r="C20" s="393" t="s">
        <v>154</v>
      </c>
      <c r="D20" s="394">
        <v>374327</v>
      </c>
      <c r="E20" s="394"/>
      <c r="F20" s="394">
        <f>4500-600</f>
        <v>3900</v>
      </c>
      <c r="G20" s="394">
        <f t="shared" si="0"/>
        <v>378227</v>
      </c>
    </row>
    <row r="21" spans="1:7" s="392" customFormat="1" ht="18.75" customHeight="1">
      <c r="A21" s="76"/>
      <c r="B21" s="184">
        <v>80110</v>
      </c>
      <c r="C21" s="390" t="s">
        <v>255</v>
      </c>
      <c r="D21" s="391">
        <v>783682</v>
      </c>
      <c r="E21" s="391"/>
      <c r="F21" s="391">
        <f>F22</f>
        <v>176500</v>
      </c>
      <c r="G21" s="391">
        <f t="shared" si="0"/>
        <v>960182</v>
      </c>
    </row>
    <row r="22" spans="1:7" s="45" customFormat="1" ht="18.75" customHeight="1">
      <c r="A22" s="80"/>
      <c r="B22" s="80"/>
      <c r="C22" s="611" t="s">
        <v>356</v>
      </c>
      <c r="D22" s="612">
        <v>783682</v>
      </c>
      <c r="E22" s="612"/>
      <c r="F22" s="612">
        <f>6500+170000</f>
        <v>176500</v>
      </c>
      <c r="G22" s="612">
        <f t="shared" si="0"/>
        <v>960182</v>
      </c>
    </row>
    <row r="23" spans="1:7" s="392" customFormat="1" ht="18.75" customHeight="1">
      <c r="A23" s="76"/>
      <c r="B23" s="184">
        <v>80120</v>
      </c>
      <c r="C23" s="390" t="s">
        <v>256</v>
      </c>
      <c r="D23" s="391">
        <v>640143</v>
      </c>
      <c r="E23" s="391"/>
      <c r="F23" s="391">
        <f>F24</f>
        <v>279000</v>
      </c>
      <c r="G23" s="391">
        <f>D23+F23</f>
        <v>919143</v>
      </c>
    </row>
    <row r="24" spans="1:7" s="45" customFormat="1" ht="18.75" customHeight="1">
      <c r="A24" s="80"/>
      <c r="B24" s="80"/>
      <c r="C24" s="393" t="s">
        <v>356</v>
      </c>
      <c r="D24" s="394">
        <v>640143</v>
      </c>
      <c r="E24" s="394"/>
      <c r="F24" s="394">
        <f>29000+250000</f>
        <v>279000</v>
      </c>
      <c r="G24" s="394">
        <f>D24+F24</f>
        <v>919143</v>
      </c>
    </row>
    <row r="25" spans="1:7" s="392" customFormat="1" ht="18.75" customHeight="1">
      <c r="A25" s="76"/>
      <c r="B25" s="184">
        <v>80130</v>
      </c>
      <c r="C25" s="390" t="s">
        <v>144</v>
      </c>
      <c r="D25" s="391">
        <v>437166</v>
      </c>
      <c r="E25" s="391"/>
      <c r="F25" s="391">
        <f>F26</f>
        <v>205575</v>
      </c>
      <c r="G25" s="391">
        <f>D25+F25</f>
        <v>642741</v>
      </c>
    </row>
    <row r="26" spans="1:7" s="45" customFormat="1" ht="18.75" customHeight="1">
      <c r="A26" s="80"/>
      <c r="B26" s="80"/>
      <c r="C26" s="611" t="s">
        <v>356</v>
      </c>
      <c r="D26" s="612">
        <v>437166</v>
      </c>
      <c r="E26" s="612"/>
      <c r="F26" s="612">
        <f>25575+180000</f>
        <v>205575</v>
      </c>
      <c r="G26" s="612">
        <f>D26+F26</f>
        <v>642741</v>
      </c>
    </row>
    <row r="27" spans="1:7" s="45" customFormat="1" ht="18.75" customHeight="1">
      <c r="A27" s="72">
        <v>854</v>
      </c>
      <c r="B27" s="72"/>
      <c r="C27" s="388" t="s">
        <v>99</v>
      </c>
      <c r="D27" s="389">
        <v>374943</v>
      </c>
      <c r="E27" s="389"/>
      <c r="F27" s="389">
        <f>F28+F30</f>
        <v>1700</v>
      </c>
      <c r="G27" s="389">
        <f t="shared" si="0"/>
        <v>376643</v>
      </c>
    </row>
    <row r="28" spans="1:7" s="392" customFormat="1" ht="18.75" customHeight="1">
      <c r="A28" s="76"/>
      <c r="B28" s="184">
        <v>85410</v>
      </c>
      <c r="C28" s="390" t="s">
        <v>279</v>
      </c>
      <c r="D28" s="391">
        <v>105000</v>
      </c>
      <c r="E28" s="391"/>
      <c r="F28" s="391">
        <f>F29</f>
        <v>12200</v>
      </c>
      <c r="G28" s="391">
        <f t="shared" si="0"/>
        <v>117200</v>
      </c>
    </row>
    <row r="29" spans="1:7" s="45" customFormat="1" ht="18.75" customHeight="1">
      <c r="A29" s="80"/>
      <c r="B29" s="80"/>
      <c r="C29" s="611" t="s">
        <v>500</v>
      </c>
      <c r="D29" s="394">
        <v>105000</v>
      </c>
      <c r="E29" s="394"/>
      <c r="F29" s="394">
        <v>12200</v>
      </c>
      <c r="G29" s="394">
        <f t="shared" si="0"/>
        <v>117200</v>
      </c>
    </row>
    <row r="30" spans="1:7" s="392" customFormat="1" ht="18.75" customHeight="1">
      <c r="A30" s="76"/>
      <c r="B30" s="184">
        <v>85421</v>
      </c>
      <c r="C30" s="390" t="s">
        <v>338</v>
      </c>
      <c r="D30" s="391">
        <v>15000</v>
      </c>
      <c r="E30" s="391"/>
      <c r="F30" s="391">
        <f>F31</f>
        <v>-10500</v>
      </c>
      <c r="G30" s="391">
        <f t="shared" si="0"/>
        <v>4500</v>
      </c>
    </row>
    <row r="31" spans="1:7" s="45" customFormat="1" ht="18.75" customHeight="1">
      <c r="A31" s="80"/>
      <c r="B31" s="80"/>
      <c r="C31" s="611" t="s">
        <v>521</v>
      </c>
      <c r="D31" s="394">
        <v>15000</v>
      </c>
      <c r="E31" s="394"/>
      <c r="F31" s="394">
        <v>-10500</v>
      </c>
      <c r="G31" s="394">
        <f t="shared" si="0"/>
        <v>4500</v>
      </c>
    </row>
    <row r="32" spans="1:7" s="396" customFormat="1" ht="19.5" customHeight="1">
      <c r="A32" s="395"/>
      <c r="B32" s="395"/>
      <c r="C32" s="397" t="s">
        <v>351</v>
      </c>
      <c r="D32" s="398">
        <v>430000</v>
      </c>
      <c r="E32" s="398"/>
      <c r="F32" s="398"/>
      <c r="G32" s="398">
        <f t="shared" si="0"/>
        <v>430000</v>
      </c>
    </row>
    <row r="36" spans="3:4" ht="14.25">
      <c r="C36" s="1201" t="s">
        <v>562</v>
      </c>
      <c r="D36" s="1201" t="s">
        <v>559</v>
      </c>
    </row>
    <row r="37" spans="3:4" ht="14.25">
      <c r="C37" s="1201" t="s">
        <v>563</v>
      </c>
      <c r="D37" s="1201" t="s">
        <v>560</v>
      </c>
    </row>
    <row r="38" spans="3:4" ht="14.25">
      <c r="C38" s="1201" t="s">
        <v>558</v>
      </c>
      <c r="D38" s="1201" t="s">
        <v>561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6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J47"/>
  <sheetViews>
    <sheetView zoomScale="90" zoomScaleNormal="90" zoomScaleSheetLayoutView="75" workbookViewId="0" topLeftCell="A1">
      <selection activeCell="F6" sqref="F6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8.25390625" style="22" customWidth="1"/>
    <col min="4" max="4" width="66.625" style="22" customWidth="1"/>
    <col min="5" max="5" width="22.75390625" style="22" customWidth="1"/>
    <col min="6" max="6" width="19.00390625" style="22" customWidth="1"/>
    <col min="7" max="7" width="20.375" style="22" customWidth="1"/>
    <col min="8" max="8" width="12.00390625" style="22" customWidth="1"/>
    <col min="9" max="9" width="11.125" style="22" customWidth="1"/>
    <col min="10" max="10" width="15.25390625" style="22" customWidth="1"/>
    <col min="11" max="16384" width="9.125" style="22" customWidth="1"/>
  </cols>
  <sheetData>
    <row r="1" spans="2:6" ht="15" customHeight="1">
      <c r="B1" s="234"/>
      <c r="C1" s="234"/>
      <c r="F1" s="50" t="s">
        <v>344</v>
      </c>
    </row>
    <row r="2" ht="15" customHeight="1">
      <c r="F2" s="22" t="s">
        <v>538</v>
      </c>
    </row>
    <row r="3" spans="4:6" ht="15" customHeight="1">
      <c r="D3" s="3" t="s">
        <v>260</v>
      </c>
      <c r="F3" s="22" t="s">
        <v>67</v>
      </c>
    </row>
    <row r="4" ht="15" customHeight="1">
      <c r="F4" s="22" t="s">
        <v>443</v>
      </c>
    </row>
    <row r="5" ht="17.25" customHeight="1" thickBot="1">
      <c r="G5" s="54" t="s">
        <v>68</v>
      </c>
    </row>
    <row r="6" spans="1:7" ht="67.5" customHeight="1" thickBot="1" thickTop="1">
      <c r="A6" s="235" t="s">
        <v>119</v>
      </c>
      <c r="B6" s="235" t="s">
        <v>73</v>
      </c>
      <c r="C6" s="118" t="s">
        <v>105</v>
      </c>
      <c r="D6" s="118" t="s">
        <v>261</v>
      </c>
      <c r="E6" s="118" t="s">
        <v>262</v>
      </c>
      <c r="F6" s="118" t="s">
        <v>134</v>
      </c>
      <c r="G6" s="117" t="s">
        <v>122</v>
      </c>
    </row>
    <row r="7" spans="1:7" s="237" customFormat="1" ht="15.75" customHeight="1" thickBot="1" thickTop="1">
      <c r="A7" s="236">
        <v>1</v>
      </c>
      <c r="B7" s="236">
        <v>2</v>
      </c>
      <c r="C7" s="236">
        <v>3</v>
      </c>
      <c r="D7" s="236">
        <v>4</v>
      </c>
      <c r="E7" s="236">
        <v>5</v>
      </c>
      <c r="F7" s="236">
        <v>6</v>
      </c>
      <c r="G7" s="210">
        <v>7</v>
      </c>
    </row>
    <row r="8" spans="1:10" ht="24" customHeight="1" thickBot="1" thickTop="1">
      <c r="A8" s="238"/>
      <c r="B8" s="238"/>
      <c r="C8" s="238"/>
      <c r="D8" s="239" t="s">
        <v>263</v>
      </c>
      <c r="E8" s="260">
        <v>897913723</v>
      </c>
      <c r="F8" s="240">
        <f>F10+F24</f>
        <v>323202</v>
      </c>
      <c r="G8" s="240">
        <f>E8+F8</f>
        <v>898236925</v>
      </c>
      <c r="H8" s="47"/>
      <c r="I8" s="47"/>
      <c r="J8" s="47"/>
    </row>
    <row r="9" spans="1:7" ht="13.5" customHeight="1" thickTop="1">
      <c r="A9" s="67"/>
      <c r="B9" s="67"/>
      <c r="C9" s="67"/>
      <c r="D9" s="67" t="s">
        <v>89</v>
      </c>
      <c r="E9" s="261"/>
      <c r="F9" s="241"/>
      <c r="G9" s="241"/>
    </row>
    <row r="10" spans="1:10" ht="19.5" customHeight="1" thickBot="1">
      <c r="A10" s="67"/>
      <c r="B10" s="67"/>
      <c r="C10" s="67"/>
      <c r="D10" s="242" t="s">
        <v>271</v>
      </c>
      <c r="E10" s="262">
        <v>618909278</v>
      </c>
      <c r="F10" s="243">
        <f>F11+F12+F13+F22+F23</f>
        <v>264030</v>
      </c>
      <c r="G10" s="243">
        <f aca="true" t="shared" si="0" ref="G10:G23">E10+F10</f>
        <v>619173308</v>
      </c>
      <c r="H10" s="47"/>
      <c r="J10" s="47"/>
    </row>
    <row r="11" spans="1:7" s="234" customFormat="1" ht="19.5" customHeight="1" thickBot="1">
      <c r="A11" s="85"/>
      <c r="B11" s="85"/>
      <c r="C11" s="85"/>
      <c r="D11" s="244" t="s">
        <v>264</v>
      </c>
      <c r="E11" s="115">
        <v>403289173</v>
      </c>
      <c r="F11" s="71"/>
      <c r="G11" s="245">
        <f t="shared" si="0"/>
        <v>403289173</v>
      </c>
    </row>
    <row r="12" spans="1:7" s="234" customFormat="1" ht="19.5" customHeight="1" thickBot="1" thickTop="1">
      <c r="A12" s="85"/>
      <c r="B12" s="85"/>
      <c r="C12" s="85"/>
      <c r="D12" s="246" t="s">
        <v>265</v>
      </c>
      <c r="E12" s="150">
        <v>107503206</v>
      </c>
      <c r="F12" s="247"/>
      <c r="G12" s="71">
        <f t="shared" si="0"/>
        <v>107503206</v>
      </c>
    </row>
    <row r="13" spans="1:7" s="234" customFormat="1" ht="19.5" customHeight="1" thickBot="1" thickTop="1">
      <c r="A13" s="85"/>
      <c r="B13" s="85"/>
      <c r="C13" s="85"/>
      <c r="D13" s="246" t="s">
        <v>266</v>
      </c>
      <c r="E13" s="115">
        <v>30039170</v>
      </c>
      <c r="F13" s="71">
        <f>F14+F18</f>
        <v>264030</v>
      </c>
      <c r="G13" s="248">
        <f t="shared" si="0"/>
        <v>30303200</v>
      </c>
    </row>
    <row r="14" spans="1:7" ht="19.5" customHeight="1" thickTop="1">
      <c r="A14" s="182">
        <v>801</v>
      </c>
      <c r="B14" s="72"/>
      <c r="C14" s="249"/>
      <c r="D14" s="227" t="s">
        <v>97</v>
      </c>
      <c r="E14" s="232">
        <v>1155343</v>
      </c>
      <c r="F14" s="250">
        <f>F15</f>
        <v>19947</v>
      </c>
      <c r="G14" s="87">
        <f t="shared" si="0"/>
        <v>1175290</v>
      </c>
    </row>
    <row r="15" spans="1:7" ht="20.25" customHeight="1">
      <c r="A15" s="251"/>
      <c r="B15" s="221">
        <v>80195</v>
      </c>
      <c r="C15" s="252"/>
      <c r="D15" s="477" t="s">
        <v>96</v>
      </c>
      <c r="E15" s="424"/>
      <c r="F15" s="253">
        <f>F16</f>
        <v>19947</v>
      </c>
      <c r="G15" s="220">
        <f t="shared" si="0"/>
        <v>19947</v>
      </c>
    </row>
    <row r="16" spans="1:7" ht="29.25" customHeight="1">
      <c r="A16" s="183"/>
      <c r="B16" s="76"/>
      <c r="C16" s="214"/>
      <c r="D16" s="478" t="s">
        <v>444</v>
      </c>
      <c r="E16" s="410"/>
      <c r="F16" s="254">
        <f>F17</f>
        <v>19947</v>
      </c>
      <c r="G16" s="255">
        <f t="shared" si="0"/>
        <v>19947</v>
      </c>
    </row>
    <row r="17" spans="1:7" ht="29.25" customHeight="1">
      <c r="A17" s="85"/>
      <c r="B17" s="85"/>
      <c r="C17" s="256">
        <v>2030</v>
      </c>
      <c r="D17" s="479" t="s">
        <v>341</v>
      </c>
      <c r="E17" s="425"/>
      <c r="F17" s="257">
        <v>19947</v>
      </c>
      <c r="G17" s="257">
        <f t="shared" si="0"/>
        <v>19947</v>
      </c>
    </row>
    <row r="18" spans="1:7" ht="19.5" customHeight="1">
      <c r="A18" s="182">
        <v>852</v>
      </c>
      <c r="B18" s="72"/>
      <c r="C18" s="249"/>
      <c r="D18" s="227" t="s">
        <v>98</v>
      </c>
      <c r="E18" s="232">
        <v>11525460</v>
      </c>
      <c r="F18" s="250">
        <f>F19</f>
        <v>244083</v>
      </c>
      <c r="G18" s="87">
        <f t="shared" si="0"/>
        <v>11769543</v>
      </c>
    </row>
    <row r="19" spans="1:7" ht="20.25" customHeight="1">
      <c r="A19" s="251"/>
      <c r="B19" s="221">
        <v>85295</v>
      </c>
      <c r="C19" s="252"/>
      <c r="D19" s="477" t="s">
        <v>96</v>
      </c>
      <c r="E19" s="424">
        <v>2755917</v>
      </c>
      <c r="F19" s="253">
        <f>F20</f>
        <v>244083</v>
      </c>
      <c r="G19" s="220">
        <f t="shared" si="0"/>
        <v>3000000</v>
      </c>
    </row>
    <row r="20" spans="1:7" ht="28.5" customHeight="1">
      <c r="A20" s="183"/>
      <c r="B20" s="76"/>
      <c r="C20" s="214"/>
      <c r="D20" s="478" t="s">
        <v>376</v>
      </c>
      <c r="E20" s="410">
        <v>2755917</v>
      </c>
      <c r="F20" s="254">
        <f>F21</f>
        <v>244083</v>
      </c>
      <c r="G20" s="255">
        <f t="shared" si="0"/>
        <v>3000000</v>
      </c>
    </row>
    <row r="21" spans="1:7" ht="29.25" customHeight="1">
      <c r="A21" s="85"/>
      <c r="B21" s="85"/>
      <c r="C21" s="256">
        <v>2030</v>
      </c>
      <c r="D21" s="479" t="s">
        <v>341</v>
      </c>
      <c r="E21" s="425">
        <v>2755917</v>
      </c>
      <c r="F21" s="257">
        <v>244083</v>
      </c>
      <c r="G21" s="257">
        <f t="shared" si="0"/>
        <v>3000000</v>
      </c>
    </row>
    <row r="22" spans="1:7" s="234" customFormat="1" ht="29.25" customHeight="1" thickBot="1">
      <c r="A22" s="258"/>
      <c r="B22" s="258"/>
      <c r="C22" s="258"/>
      <c r="D22" s="259" t="s">
        <v>267</v>
      </c>
      <c r="E22" s="115">
        <v>821200</v>
      </c>
      <c r="F22" s="71"/>
      <c r="G22" s="71">
        <f t="shared" si="0"/>
        <v>821200</v>
      </c>
    </row>
    <row r="23" spans="1:7" s="234" customFormat="1" ht="31.5" customHeight="1" thickBot="1" thickTop="1">
      <c r="A23" s="258"/>
      <c r="B23" s="258"/>
      <c r="C23" s="258"/>
      <c r="D23" s="259" t="s">
        <v>268</v>
      </c>
      <c r="E23" s="115">
        <v>77256529</v>
      </c>
      <c r="F23" s="71"/>
      <c r="G23" s="71">
        <f t="shared" si="0"/>
        <v>77256529</v>
      </c>
    </row>
    <row r="24" spans="1:7" s="234" customFormat="1" ht="20.25" customHeight="1" thickBot="1" thickTop="1">
      <c r="A24" s="67"/>
      <c r="B24" s="67"/>
      <c r="C24" s="67"/>
      <c r="D24" s="86" t="s">
        <v>360</v>
      </c>
      <c r="E24" s="631">
        <v>279004445</v>
      </c>
      <c r="F24" s="632">
        <f>F25+F26+F27+F28+F29</f>
        <v>59172</v>
      </c>
      <c r="G24" s="632">
        <f>E24+F24</f>
        <v>279063617</v>
      </c>
    </row>
    <row r="25" spans="1:7" s="234" customFormat="1" ht="19.5" customHeight="1" thickBot="1">
      <c r="A25" s="85"/>
      <c r="B25" s="85"/>
      <c r="C25" s="85"/>
      <c r="D25" s="624" t="s">
        <v>264</v>
      </c>
      <c r="E25" s="150">
        <v>72360210</v>
      </c>
      <c r="F25" s="625"/>
      <c r="G25" s="106">
        <f aca="true" t="shared" si="1" ref="G25:G41">E25+F25</f>
        <v>72360210</v>
      </c>
    </row>
    <row r="26" spans="1:7" s="234" customFormat="1" ht="20.25" customHeight="1" thickTop="1">
      <c r="A26" s="86"/>
      <c r="B26" s="86"/>
      <c r="C26" s="86"/>
      <c r="D26" s="1080" t="s">
        <v>269</v>
      </c>
      <c r="E26" s="1081">
        <v>133820759</v>
      </c>
      <c r="F26" s="1082"/>
      <c r="G26" s="1082">
        <f t="shared" si="1"/>
        <v>133820759</v>
      </c>
    </row>
    <row r="27" spans="1:7" s="234" customFormat="1" ht="19.5" customHeight="1" thickBot="1">
      <c r="A27" s="85"/>
      <c r="B27" s="85"/>
      <c r="C27" s="85"/>
      <c r="D27" s="246" t="s">
        <v>266</v>
      </c>
      <c r="E27" s="150">
        <v>46540946</v>
      </c>
      <c r="F27" s="106"/>
      <c r="G27" s="106">
        <f t="shared" si="1"/>
        <v>46540946</v>
      </c>
    </row>
    <row r="28" spans="1:7" ht="28.5" customHeight="1" thickBot="1" thickTop="1">
      <c r="A28" s="85"/>
      <c r="B28" s="85"/>
      <c r="C28" s="85"/>
      <c r="D28" s="633" t="s">
        <v>267</v>
      </c>
      <c r="E28" s="150">
        <v>4166025</v>
      </c>
      <c r="F28" s="634"/>
      <c r="G28" s="634">
        <f t="shared" si="1"/>
        <v>4166025</v>
      </c>
    </row>
    <row r="29" spans="1:7" ht="30" customHeight="1" thickBot="1" thickTop="1">
      <c r="A29" s="86"/>
      <c r="B29" s="86"/>
      <c r="C29" s="86"/>
      <c r="D29" s="1050" t="s">
        <v>421</v>
      </c>
      <c r="E29" s="627">
        <v>22116505</v>
      </c>
      <c r="F29" s="628">
        <f>F30+F34+F38</f>
        <v>59172</v>
      </c>
      <c r="G29" s="628">
        <f t="shared" si="1"/>
        <v>22175677</v>
      </c>
    </row>
    <row r="30" spans="1:7" ht="19.5" customHeight="1" thickTop="1">
      <c r="A30" s="962">
        <v>700</v>
      </c>
      <c r="B30" s="428"/>
      <c r="C30" s="854"/>
      <c r="D30" s="476" t="s">
        <v>129</v>
      </c>
      <c r="E30" s="250">
        <v>708000</v>
      </c>
      <c r="F30" s="250">
        <f>F31</f>
        <v>1251</v>
      </c>
      <c r="G30" s="87">
        <f t="shared" si="1"/>
        <v>709251</v>
      </c>
    </row>
    <row r="31" spans="1:7" ht="19.5" customHeight="1">
      <c r="A31" s="447"/>
      <c r="B31" s="963">
        <v>70005</v>
      </c>
      <c r="C31" s="252"/>
      <c r="D31" s="477" t="s">
        <v>130</v>
      </c>
      <c r="E31" s="253">
        <v>708000</v>
      </c>
      <c r="F31" s="253">
        <f>F32</f>
        <v>1251</v>
      </c>
      <c r="G31" s="220">
        <f t="shared" si="1"/>
        <v>709251</v>
      </c>
    </row>
    <row r="32" spans="1:7" ht="25.5">
      <c r="A32" s="66"/>
      <c r="B32" s="66"/>
      <c r="C32" s="464"/>
      <c r="D32" s="964" t="s">
        <v>27</v>
      </c>
      <c r="E32" s="254">
        <v>708000</v>
      </c>
      <c r="F32" s="254">
        <f>F33</f>
        <v>1251</v>
      </c>
      <c r="G32" s="255">
        <f t="shared" si="1"/>
        <v>709251</v>
      </c>
    </row>
    <row r="33" spans="1:7" ht="38.25">
      <c r="A33" s="81"/>
      <c r="B33" s="82"/>
      <c r="C33" s="965">
        <v>2110</v>
      </c>
      <c r="D33" s="529" t="s">
        <v>361</v>
      </c>
      <c r="E33" s="84">
        <v>708000</v>
      </c>
      <c r="F33" s="257">
        <v>1251</v>
      </c>
      <c r="G33" s="257">
        <f t="shared" si="1"/>
        <v>709251</v>
      </c>
    </row>
    <row r="34" spans="1:7" ht="19.5" customHeight="1">
      <c r="A34" s="962">
        <v>710</v>
      </c>
      <c r="B34" s="428"/>
      <c r="C34" s="854"/>
      <c r="D34" s="476" t="s">
        <v>312</v>
      </c>
      <c r="E34" s="250">
        <v>562505</v>
      </c>
      <c r="F34" s="250">
        <f>F35</f>
        <v>51730</v>
      </c>
      <c r="G34" s="87">
        <f t="shared" si="1"/>
        <v>614235</v>
      </c>
    </row>
    <row r="35" spans="1:7" ht="19.5" customHeight="1">
      <c r="A35" s="447"/>
      <c r="B35" s="221">
        <v>71015</v>
      </c>
      <c r="C35" s="252"/>
      <c r="D35" s="477" t="s">
        <v>446</v>
      </c>
      <c r="E35" s="253">
        <v>451168</v>
      </c>
      <c r="F35" s="253">
        <f>F36</f>
        <v>51730</v>
      </c>
      <c r="G35" s="220">
        <f t="shared" si="1"/>
        <v>502898</v>
      </c>
    </row>
    <row r="36" spans="1:7" ht="25.5">
      <c r="A36" s="66"/>
      <c r="B36" s="66"/>
      <c r="C36" s="464"/>
      <c r="D36" s="964" t="s">
        <v>28</v>
      </c>
      <c r="E36" s="254">
        <v>451168</v>
      </c>
      <c r="F36" s="254">
        <f>F37</f>
        <v>51730</v>
      </c>
      <c r="G36" s="255">
        <f t="shared" si="1"/>
        <v>502898</v>
      </c>
    </row>
    <row r="37" spans="1:7" ht="38.25">
      <c r="A37" s="82"/>
      <c r="B37" s="82"/>
      <c r="C37" s="965">
        <v>2110</v>
      </c>
      <c r="D37" s="966" t="s">
        <v>361</v>
      </c>
      <c r="E37" s="84">
        <v>451168</v>
      </c>
      <c r="F37" s="257">
        <v>51730</v>
      </c>
      <c r="G37" s="257">
        <f t="shared" si="1"/>
        <v>502898</v>
      </c>
    </row>
    <row r="38" spans="1:7" ht="19.5" customHeight="1">
      <c r="A38" s="73">
        <v>853</v>
      </c>
      <c r="B38" s="73"/>
      <c r="C38" s="73"/>
      <c r="D38" s="92" t="s">
        <v>141</v>
      </c>
      <c r="E38" s="250">
        <v>585369</v>
      </c>
      <c r="F38" s="250">
        <f>F39</f>
        <v>6191</v>
      </c>
      <c r="G38" s="87">
        <f t="shared" si="1"/>
        <v>591560</v>
      </c>
    </row>
    <row r="39" spans="1:7" ht="19.5" customHeight="1">
      <c r="A39" s="447"/>
      <c r="B39" s="77">
        <v>85334</v>
      </c>
      <c r="C39" s="77"/>
      <c r="D39" s="77" t="s">
        <v>372</v>
      </c>
      <c r="E39" s="253">
        <v>33369</v>
      </c>
      <c r="F39" s="253">
        <f>F40</f>
        <v>6191</v>
      </c>
      <c r="G39" s="220">
        <f t="shared" si="1"/>
        <v>39560</v>
      </c>
    </row>
    <row r="40" spans="1:7" ht="19.5" customHeight="1">
      <c r="A40" s="66"/>
      <c r="B40" s="66"/>
      <c r="C40" s="464"/>
      <c r="D40" s="536" t="s">
        <v>374</v>
      </c>
      <c r="E40" s="254">
        <v>33369</v>
      </c>
      <c r="F40" s="254">
        <f>F41</f>
        <v>6191</v>
      </c>
      <c r="G40" s="255">
        <f t="shared" si="1"/>
        <v>39560</v>
      </c>
    </row>
    <row r="41" spans="1:7" ht="38.25">
      <c r="A41" s="82"/>
      <c r="B41" s="82"/>
      <c r="C41" s="965">
        <v>2110</v>
      </c>
      <c r="D41" s="529" t="s">
        <v>361</v>
      </c>
      <c r="E41" s="84">
        <v>33369</v>
      </c>
      <c r="F41" s="257">
        <v>6191</v>
      </c>
      <c r="G41" s="257">
        <f t="shared" si="1"/>
        <v>39560</v>
      </c>
    </row>
    <row r="45" spans="4:5" ht="14.25">
      <c r="D45" s="1201" t="s">
        <v>562</v>
      </c>
      <c r="E45" s="1201" t="s">
        <v>559</v>
      </c>
    </row>
    <row r="46" spans="4:5" ht="14.25">
      <c r="D46" s="1201" t="s">
        <v>563</v>
      </c>
      <c r="E46" s="1201" t="s">
        <v>560</v>
      </c>
    </row>
    <row r="47" spans="4:5" ht="14.25">
      <c r="D47" s="1201" t="s">
        <v>558</v>
      </c>
      <c r="E47" s="1201" t="s">
        <v>561</v>
      </c>
    </row>
  </sheetData>
  <printOptions horizontalCentered="1"/>
  <pageMargins left="0.4724409448818898" right="0.4724409448818898" top="0.6692913385826772" bottom="0.5905511811023623" header="0.5118110236220472" footer="0.3937007874015748"/>
  <pageSetup firstPageNumber="17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L340"/>
  <sheetViews>
    <sheetView zoomScale="90" zoomScaleNormal="90" zoomScaleSheetLayoutView="75" workbookViewId="0" topLeftCell="A1">
      <selection activeCell="G8" sqref="G8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50" t="s">
        <v>345</v>
      </c>
    </row>
    <row r="2" ht="18" customHeight="1">
      <c r="G2" s="22" t="s">
        <v>538</v>
      </c>
    </row>
    <row r="3" ht="18" customHeight="1">
      <c r="G3" s="22" t="s">
        <v>67</v>
      </c>
    </row>
    <row r="4" spans="4:7" ht="18" customHeight="1">
      <c r="D4" s="4" t="s">
        <v>118</v>
      </c>
      <c r="G4" s="22" t="s">
        <v>443</v>
      </c>
    </row>
    <row r="5" ht="17.25" customHeight="1" thickBot="1">
      <c r="H5" s="54" t="s">
        <v>68</v>
      </c>
    </row>
    <row r="6" spans="1:8" ht="66.75" customHeight="1" thickBot="1" thickTop="1">
      <c r="A6" s="116" t="s">
        <v>119</v>
      </c>
      <c r="B6" s="116" t="s">
        <v>73</v>
      </c>
      <c r="C6" s="117" t="s">
        <v>105</v>
      </c>
      <c r="D6" s="117" t="s">
        <v>120</v>
      </c>
      <c r="E6" s="118" t="s">
        <v>121</v>
      </c>
      <c r="F6" s="117" t="s">
        <v>109</v>
      </c>
      <c r="G6" s="117" t="s">
        <v>110</v>
      </c>
      <c r="H6" s="117" t="s">
        <v>122</v>
      </c>
    </row>
    <row r="7" spans="1:10" ht="18.75" customHeight="1" thickBot="1" thickTop="1">
      <c r="A7" s="16">
        <v>1</v>
      </c>
      <c r="B7" s="16">
        <v>2</v>
      </c>
      <c r="C7" s="16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J7" s="47"/>
    </row>
    <row r="8" spans="1:12" ht="21.75" customHeight="1" thickBot="1" thickTop="1">
      <c r="A8" s="85"/>
      <c r="B8" s="120"/>
      <c r="C8" s="120"/>
      <c r="D8" s="121" t="s">
        <v>88</v>
      </c>
      <c r="E8" s="122">
        <v>944854770</v>
      </c>
      <c r="F8" s="122">
        <f>F10+F259+F260</f>
        <v>3678615</v>
      </c>
      <c r="G8" s="122">
        <f>G10+G259+G260</f>
        <v>4001817</v>
      </c>
      <c r="H8" s="122">
        <f>E8+G8-F8</f>
        <v>945177972</v>
      </c>
      <c r="I8" s="47">
        <f>G8-F8</f>
        <v>323202</v>
      </c>
      <c r="J8" s="47">
        <f>I8-'doch Pr'!F8</f>
        <v>0</v>
      </c>
      <c r="K8" s="47"/>
      <c r="L8" s="47"/>
    </row>
    <row r="9" spans="1:10" ht="21" customHeight="1">
      <c r="A9" s="67"/>
      <c r="B9" s="67"/>
      <c r="C9" s="67"/>
      <c r="D9" s="67" t="s">
        <v>89</v>
      </c>
      <c r="E9" s="123"/>
      <c r="F9" s="123"/>
      <c r="G9" s="123"/>
      <c r="H9" s="123"/>
      <c r="J9" s="124"/>
    </row>
    <row r="10" spans="1:12" ht="21" customHeight="1" thickBot="1">
      <c r="A10" s="86"/>
      <c r="B10" s="86"/>
      <c r="C10" s="86"/>
      <c r="D10" s="91" t="s">
        <v>91</v>
      </c>
      <c r="E10" s="88">
        <v>840424188</v>
      </c>
      <c r="F10" s="125">
        <f>F11+F19+F53+F63+F73+F152+F168+F191+F231+F247+F254</f>
        <v>3673328</v>
      </c>
      <c r="G10" s="125">
        <f>G11+G19+G53+G63+G73+G152+G168+G191+G231+G247+G254</f>
        <v>3937358</v>
      </c>
      <c r="H10" s="125">
        <f aca="true" t="shared" si="0" ref="H10:H262">E10+G10-F10</f>
        <v>840688218</v>
      </c>
      <c r="I10" s="47"/>
      <c r="J10" s="47"/>
      <c r="L10" s="47"/>
    </row>
    <row r="11" spans="1:12" ht="21" customHeight="1" thickTop="1">
      <c r="A11" s="89">
        <v>600</v>
      </c>
      <c r="B11" s="89"/>
      <c r="C11" s="89"/>
      <c r="D11" s="89" t="s">
        <v>95</v>
      </c>
      <c r="E11" s="74">
        <v>124332191</v>
      </c>
      <c r="F11" s="75">
        <f>F12</f>
        <v>450000</v>
      </c>
      <c r="G11" s="75">
        <f>G12</f>
        <v>450000</v>
      </c>
      <c r="H11" s="75">
        <f t="shared" si="0"/>
        <v>124332191</v>
      </c>
      <c r="I11" s="47"/>
      <c r="J11" s="47"/>
      <c r="L11" s="47"/>
    </row>
    <row r="12" spans="1:12" s="130" customFormat="1" ht="21" customHeight="1">
      <c r="A12" s="81"/>
      <c r="B12" s="78">
        <v>60015</v>
      </c>
      <c r="C12" s="78"/>
      <c r="D12" s="713" t="s">
        <v>259</v>
      </c>
      <c r="E12" s="136">
        <v>88810356</v>
      </c>
      <c r="F12" s="136">
        <f>F13</f>
        <v>450000</v>
      </c>
      <c r="G12" s="136">
        <f>G13</f>
        <v>450000</v>
      </c>
      <c r="H12" s="136">
        <f t="shared" si="0"/>
        <v>88810356</v>
      </c>
      <c r="I12" s="137"/>
      <c r="J12" s="137"/>
      <c r="L12" s="137"/>
    </row>
    <row r="13" spans="1:12" s="130" customFormat="1" ht="21" customHeight="1">
      <c r="A13" s="204"/>
      <c r="B13" s="205"/>
      <c r="C13" s="108"/>
      <c r="D13" s="98" t="s">
        <v>202</v>
      </c>
      <c r="E13" s="142">
        <v>77685356</v>
      </c>
      <c r="F13" s="142">
        <f>F16+F18</f>
        <v>450000</v>
      </c>
      <c r="G13" s="142">
        <f>G16+G18</f>
        <v>450000</v>
      </c>
      <c r="H13" s="142">
        <f aca="true" t="shared" si="1" ref="H13:H18">E13-F13+G13</f>
        <v>77685356</v>
      </c>
      <c r="I13" s="137"/>
      <c r="J13" s="137"/>
      <c r="L13" s="137"/>
    </row>
    <row r="14" spans="1:12" ht="21" customHeight="1">
      <c r="A14" s="85"/>
      <c r="B14" s="85"/>
      <c r="C14" s="85"/>
      <c r="D14" s="881" t="s">
        <v>378</v>
      </c>
      <c r="E14" s="708">
        <v>4600000</v>
      </c>
      <c r="F14" s="709">
        <v>150000</v>
      </c>
      <c r="G14" s="709"/>
      <c r="H14" s="709">
        <f t="shared" si="1"/>
        <v>4450000</v>
      </c>
      <c r="I14" s="47"/>
      <c r="J14" s="47"/>
      <c r="L14" s="47"/>
    </row>
    <row r="15" spans="1:12" ht="26.25" customHeight="1">
      <c r="A15" s="85"/>
      <c r="B15" s="85"/>
      <c r="C15" s="85"/>
      <c r="D15" s="560" t="s">
        <v>379</v>
      </c>
      <c r="E15" s="708">
        <v>500000</v>
      </c>
      <c r="F15" s="709">
        <v>300000</v>
      </c>
      <c r="G15" s="709"/>
      <c r="H15" s="709">
        <f t="shared" si="1"/>
        <v>200000</v>
      </c>
      <c r="I15" s="47"/>
      <c r="J15" s="47"/>
      <c r="L15" s="47"/>
    </row>
    <row r="16" spans="1:12" ht="21" customHeight="1">
      <c r="A16" s="85"/>
      <c r="B16" s="85"/>
      <c r="C16" s="711">
        <v>6050</v>
      </c>
      <c r="D16" s="711" t="s">
        <v>197</v>
      </c>
      <c r="E16" s="705">
        <v>24285580</v>
      </c>
      <c r="F16" s="706">
        <f>SUM(F14:F15)</f>
        <v>450000</v>
      </c>
      <c r="G16" s="706"/>
      <c r="H16" s="706">
        <f t="shared" si="1"/>
        <v>23835580</v>
      </c>
      <c r="I16" s="47"/>
      <c r="J16" s="47"/>
      <c r="L16" s="47"/>
    </row>
    <row r="17" spans="1:12" ht="28.5" customHeight="1">
      <c r="A17" s="85"/>
      <c r="B17" s="85"/>
      <c r="C17" s="85"/>
      <c r="D17" s="879" t="s">
        <v>457</v>
      </c>
      <c r="E17" s="708">
        <v>4600000</v>
      </c>
      <c r="F17" s="709"/>
      <c r="G17" s="709">
        <v>450000</v>
      </c>
      <c r="H17" s="709">
        <f>E17-F17+G17</f>
        <v>5050000</v>
      </c>
      <c r="I17" s="47"/>
      <c r="J17" s="47"/>
      <c r="L17" s="47"/>
    </row>
    <row r="18" spans="1:12" ht="21" customHeight="1">
      <c r="A18" s="86"/>
      <c r="B18" s="86"/>
      <c r="C18" s="711">
        <v>6052</v>
      </c>
      <c r="D18" s="711" t="s">
        <v>197</v>
      </c>
      <c r="E18" s="315">
        <v>4600000</v>
      </c>
      <c r="F18" s="878"/>
      <c r="G18" s="878">
        <f>G17</f>
        <v>450000</v>
      </c>
      <c r="H18" s="706">
        <f t="shared" si="1"/>
        <v>5050000</v>
      </c>
      <c r="I18" s="47"/>
      <c r="J18" s="47"/>
      <c r="L18" s="47"/>
    </row>
    <row r="19" spans="1:12" ht="21" customHeight="1">
      <c r="A19" s="89">
        <v>750</v>
      </c>
      <c r="B19" s="89"/>
      <c r="C19" s="89"/>
      <c r="D19" s="89" t="s">
        <v>101</v>
      </c>
      <c r="E19" s="74">
        <v>64780641</v>
      </c>
      <c r="F19" s="75">
        <f>F20+F28+F50</f>
        <v>186970</v>
      </c>
      <c r="G19" s="75">
        <f>G20+G28+G50</f>
        <v>620707</v>
      </c>
      <c r="H19" s="75">
        <f t="shared" si="0"/>
        <v>65214378</v>
      </c>
      <c r="I19" s="47"/>
      <c r="J19" s="47"/>
      <c r="L19" s="47"/>
    </row>
    <row r="20" spans="1:12" s="130" customFormat="1" ht="21" customHeight="1">
      <c r="A20" s="81"/>
      <c r="B20" s="78">
        <v>75023</v>
      </c>
      <c r="C20" s="78"/>
      <c r="D20" s="78" t="s">
        <v>116</v>
      </c>
      <c r="E20" s="136">
        <v>61100200</v>
      </c>
      <c r="F20" s="136">
        <f>F21+F24</f>
        <v>185970</v>
      </c>
      <c r="G20" s="136">
        <f>G21+G24</f>
        <v>185970</v>
      </c>
      <c r="H20" s="136">
        <f t="shared" si="0"/>
        <v>61100200</v>
      </c>
      <c r="I20" s="137"/>
      <c r="J20" s="137"/>
      <c r="L20" s="137"/>
    </row>
    <row r="21" spans="1:12" s="130" customFormat="1" ht="21" customHeight="1">
      <c r="A21" s="204"/>
      <c r="B21" s="93"/>
      <c r="C21" s="464"/>
      <c r="D21" s="782" t="s">
        <v>117</v>
      </c>
      <c r="E21" s="524">
        <v>12111000</v>
      </c>
      <c r="F21" s="524"/>
      <c r="G21" s="524">
        <f>G23+G22</f>
        <v>185970</v>
      </c>
      <c r="H21" s="142">
        <f t="shared" si="0"/>
        <v>12296970</v>
      </c>
      <c r="I21" s="137"/>
      <c r="J21" s="137"/>
      <c r="L21" s="137"/>
    </row>
    <row r="22" spans="1:12" s="130" customFormat="1" ht="21" customHeight="1">
      <c r="A22" s="204"/>
      <c r="B22" s="93"/>
      <c r="C22" s="310">
        <v>4210</v>
      </c>
      <c r="D22" s="312" t="s">
        <v>113</v>
      </c>
      <c r="E22" s="159">
        <v>1600000</v>
      </c>
      <c r="F22" s="159"/>
      <c r="G22" s="159">
        <v>100000</v>
      </c>
      <c r="H22" s="415">
        <f>E22-F22+G22</f>
        <v>1700000</v>
      </c>
      <c r="I22" s="137"/>
      <c r="J22" s="137"/>
      <c r="L22" s="137"/>
    </row>
    <row r="23" spans="1:12" s="155" customFormat="1" ht="29.25" customHeight="1">
      <c r="A23" s="203"/>
      <c r="B23" s="167"/>
      <c r="C23" s="82">
        <v>4270</v>
      </c>
      <c r="D23" s="529" t="s">
        <v>522</v>
      </c>
      <c r="E23" s="415">
        <v>600000</v>
      </c>
      <c r="F23" s="415"/>
      <c r="G23" s="415">
        <v>85970</v>
      </c>
      <c r="H23" s="415">
        <f t="shared" si="0"/>
        <v>685970</v>
      </c>
      <c r="I23" s="154"/>
      <c r="J23" s="154"/>
      <c r="L23" s="154"/>
    </row>
    <row r="24" spans="1:12" s="130" customFormat="1" ht="21" customHeight="1">
      <c r="A24" s="204"/>
      <c r="B24" s="213"/>
      <c r="C24" s="108"/>
      <c r="D24" s="571" t="s">
        <v>202</v>
      </c>
      <c r="E24" s="143">
        <v>3349980</v>
      </c>
      <c r="F24" s="143">
        <f>F26</f>
        <v>185970</v>
      </c>
      <c r="G24" s="143"/>
      <c r="H24" s="143">
        <f t="shared" si="0"/>
        <v>3164010</v>
      </c>
      <c r="I24" s="137"/>
      <c r="J24" s="137"/>
      <c r="L24" s="137"/>
    </row>
    <row r="25" spans="1:12" s="155" customFormat="1" ht="25.5">
      <c r="A25" s="203"/>
      <c r="B25" s="167"/>
      <c r="C25" s="81"/>
      <c r="D25" s="928" t="s">
        <v>523</v>
      </c>
      <c r="E25" s="457">
        <v>200000</v>
      </c>
      <c r="F25" s="457">
        <f>100000+85970</f>
        <v>185970</v>
      </c>
      <c r="G25" s="457"/>
      <c r="H25" s="457">
        <f t="shared" si="0"/>
        <v>14030</v>
      </c>
      <c r="I25" s="154"/>
      <c r="J25" s="154"/>
      <c r="L25" s="154"/>
    </row>
    <row r="26" spans="1:12" s="155" customFormat="1" ht="21" customHeight="1">
      <c r="A26" s="222"/>
      <c r="B26" s="313"/>
      <c r="C26" s="82">
        <v>6050</v>
      </c>
      <c r="D26" s="82" t="s">
        <v>197</v>
      </c>
      <c r="E26" s="722">
        <v>2400000</v>
      </c>
      <c r="F26" s="722">
        <f>F25</f>
        <v>185970</v>
      </c>
      <c r="G26" s="722"/>
      <c r="H26" s="722">
        <f t="shared" si="0"/>
        <v>2214030</v>
      </c>
      <c r="I26" s="154"/>
      <c r="J26" s="154"/>
      <c r="L26" s="154"/>
    </row>
    <row r="27" spans="1:12" s="155" customFormat="1" ht="21" customHeight="1">
      <c r="A27" s="1147"/>
      <c r="B27" s="1148"/>
      <c r="C27" s="1075"/>
      <c r="D27" s="1075"/>
      <c r="E27" s="1149"/>
      <c r="F27" s="1149"/>
      <c r="G27" s="1149"/>
      <c r="H27" s="1149"/>
      <c r="I27" s="154"/>
      <c r="J27" s="154"/>
      <c r="L27" s="154"/>
    </row>
    <row r="28" spans="1:12" s="130" customFormat="1" ht="21" customHeight="1">
      <c r="A28" s="81"/>
      <c r="B28" s="78">
        <v>75075</v>
      </c>
      <c r="C28" s="78"/>
      <c r="D28" s="78" t="s">
        <v>448</v>
      </c>
      <c r="E28" s="563">
        <v>1765000</v>
      </c>
      <c r="F28" s="563">
        <f>F29+F32</f>
        <v>1000</v>
      </c>
      <c r="G28" s="563">
        <f>G29+G32</f>
        <v>424900</v>
      </c>
      <c r="H28" s="563">
        <f t="shared" si="0"/>
        <v>2188900</v>
      </c>
      <c r="I28" s="137"/>
      <c r="J28" s="137"/>
      <c r="L28" s="137"/>
    </row>
    <row r="29" spans="1:12" s="130" customFormat="1" ht="21" customHeight="1">
      <c r="A29" s="204"/>
      <c r="B29" s="93"/>
      <c r="C29" s="66"/>
      <c r="D29" s="209" t="s">
        <v>449</v>
      </c>
      <c r="E29" s="524">
        <v>1765000</v>
      </c>
      <c r="F29" s="524">
        <f>SUM(F30:F31)</f>
        <v>1000</v>
      </c>
      <c r="G29" s="524">
        <f>SUM(G30:G31)</f>
        <v>1000</v>
      </c>
      <c r="H29" s="143">
        <f t="shared" si="0"/>
        <v>1765000</v>
      </c>
      <c r="I29" s="137"/>
      <c r="J29" s="137"/>
      <c r="L29" s="137"/>
    </row>
    <row r="30" spans="1:12" s="155" customFormat="1" ht="21" customHeight="1">
      <c r="A30" s="203"/>
      <c r="B30" s="167"/>
      <c r="C30" s="310">
        <v>4110</v>
      </c>
      <c r="D30" s="312" t="s">
        <v>171</v>
      </c>
      <c r="E30" s="153">
        <v>2000</v>
      </c>
      <c r="F30" s="153"/>
      <c r="G30" s="153">
        <v>1000</v>
      </c>
      <c r="H30" s="153">
        <f t="shared" si="0"/>
        <v>3000</v>
      </c>
      <c r="I30" s="154"/>
      <c r="J30" s="154"/>
      <c r="L30" s="154"/>
    </row>
    <row r="31" spans="1:12" s="155" customFormat="1" ht="21" customHeight="1">
      <c r="A31" s="203"/>
      <c r="B31" s="167"/>
      <c r="C31" s="310">
        <v>4210</v>
      </c>
      <c r="D31" s="312" t="s">
        <v>113</v>
      </c>
      <c r="E31" s="749">
        <v>299000</v>
      </c>
      <c r="F31" s="749">
        <v>1000</v>
      </c>
      <c r="G31" s="749"/>
      <c r="H31" s="749">
        <f t="shared" si="0"/>
        <v>298000</v>
      </c>
      <c r="I31" s="154"/>
      <c r="J31" s="154"/>
      <c r="L31" s="154"/>
    </row>
    <row r="32" spans="1:12" s="130" customFormat="1" ht="21" customHeight="1">
      <c r="A32" s="204"/>
      <c r="B32" s="93"/>
      <c r="C32" s="66"/>
      <c r="D32" s="209" t="s">
        <v>509</v>
      </c>
      <c r="E32" s="524"/>
      <c r="F32" s="524"/>
      <c r="G32" s="524">
        <f>SUM(G33:G47)</f>
        <v>423900</v>
      </c>
      <c r="H32" s="261">
        <f aca="true" t="shared" si="2" ref="H32:H46">E32+G32-F32</f>
        <v>423900</v>
      </c>
      <c r="I32" s="137"/>
      <c r="J32" s="137"/>
      <c r="L32" s="137"/>
    </row>
    <row r="33" spans="1:12" s="155" customFormat="1" ht="19.5" customHeight="1">
      <c r="A33" s="203"/>
      <c r="B33" s="167"/>
      <c r="C33" s="310">
        <v>4018</v>
      </c>
      <c r="D33" s="312" t="s">
        <v>65</v>
      </c>
      <c r="E33" s="159"/>
      <c r="F33" s="159"/>
      <c r="G33" s="159">
        <f>39035</f>
        <v>39035</v>
      </c>
      <c r="H33" s="153">
        <f t="shared" si="2"/>
        <v>39035</v>
      </c>
      <c r="I33" s="154"/>
      <c r="J33" s="154"/>
      <c r="L33" s="154"/>
    </row>
    <row r="34" spans="1:12" s="155" customFormat="1" ht="19.5" customHeight="1">
      <c r="A34" s="203"/>
      <c r="B34" s="167"/>
      <c r="C34" s="310">
        <v>4019</v>
      </c>
      <c r="D34" s="312" t="s">
        <v>65</v>
      </c>
      <c r="E34" s="159"/>
      <c r="F34" s="159"/>
      <c r="G34" s="159">
        <v>13012</v>
      </c>
      <c r="H34" s="415">
        <f t="shared" si="2"/>
        <v>13012</v>
      </c>
      <c r="I34" s="154"/>
      <c r="J34" s="154"/>
      <c r="L34" s="154"/>
    </row>
    <row r="35" spans="1:12" s="155" customFormat="1" ht="19.5" customHeight="1">
      <c r="A35" s="203"/>
      <c r="B35" s="167"/>
      <c r="C35" s="310">
        <v>4118</v>
      </c>
      <c r="D35" s="312" t="s">
        <v>171</v>
      </c>
      <c r="E35" s="153"/>
      <c r="F35" s="153"/>
      <c r="G35" s="153">
        <v>8374</v>
      </c>
      <c r="H35" s="415">
        <f t="shared" si="2"/>
        <v>8374</v>
      </c>
      <c r="I35" s="154"/>
      <c r="J35" s="154"/>
      <c r="L35" s="154"/>
    </row>
    <row r="36" spans="1:12" s="155" customFormat="1" ht="19.5" customHeight="1">
      <c r="A36" s="203"/>
      <c r="B36" s="167"/>
      <c r="C36" s="310">
        <v>4119</v>
      </c>
      <c r="D36" s="312" t="s">
        <v>171</v>
      </c>
      <c r="E36" s="749"/>
      <c r="F36" s="749"/>
      <c r="G36" s="749">
        <v>2791</v>
      </c>
      <c r="H36" s="415">
        <f t="shared" si="2"/>
        <v>2791</v>
      </c>
      <c r="I36" s="154"/>
      <c r="J36" s="154"/>
      <c r="L36" s="154"/>
    </row>
    <row r="37" spans="1:12" s="155" customFormat="1" ht="19.5" customHeight="1">
      <c r="A37" s="203"/>
      <c r="B37" s="167"/>
      <c r="C37" s="310">
        <v>4128</v>
      </c>
      <c r="D37" s="312" t="s">
        <v>172</v>
      </c>
      <c r="E37" s="415"/>
      <c r="F37" s="415"/>
      <c r="G37" s="415">
        <v>1191</v>
      </c>
      <c r="H37" s="415">
        <f t="shared" si="2"/>
        <v>1191</v>
      </c>
      <c r="I37" s="154"/>
      <c r="J37" s="154"/>
      <c r="L37" s="154"/>
    </row>
    <row r="38" spans="1:12" s="155" customFormat="1" ht="19.5" customHeight="1">
      <c r="A38" s="203"/>
      <c r="B38" s="167"/>
      <c r="C38" s="310">
        <v>4129</v>
      </c>
      <c r="D38" s="312" t="s">
        <v>172</v>
      </c>
      <c r="E38" s="415"/>
      <c r="F38" s="415"/>
      <c r="G38" s="415">
        <v>397</v>
      </c>
      <c r="H38" s="415">
        <f t="shared" si="2"/>
        <v>397</v>
      </c>
      <c r="I38" s="154"/>
      <c r="J38" s="154"/>
      <c r="L38" s="154"/>
    </row>
    <row r="39" spans="1:12" s="155" customFormat="1" ht="19.5" customHeight="1">
      <c r="A39" s="203"/>
      <c r="B39" s="167"/>
      <c r="C39" s="310">
        <v>4178</v>
      </c>
      <c r="D39" s="312" t="s">
        <v>124</v>
      </c>
      <c r="E39" s="415"/>
      <c r="F39" s="415"/>
      <c r="G39" s="415">
        <v>7950</v>
      </c>
      <c r="H39" s="415">
        <f t="shared" si="2"/>
        <v>7950</v>
      </c>
      <c r="I39" s="154"/>
      <c r="J39" s="154"/>
      <c r="L39" s="154"/>
    </row>
    <row r="40" spans="1:12" s="155" customFormat="1" ht="19.5" customHeight="1">
      <c r="A40" s="203"/>
      <c r="B40" s="167"/>
      <c r="C40" s="310">
        <v>4179</v>
      </c>
      <c r="D40" s="312" t="s">
        <v>124</v>
      </c>
      <c r="E40" s="415"/>
      <c r="F40" s="415"/>
      <c r="G40" s="415">
        <v>2650</v>
      </c>
      <c r="H40" s="415">
        <f t="shared" si="2"/>
        <v>2650</v>
      </c>
      <c r="I40" s="154"/>
      <c r="J40" s="154"/>
      <c r="L40" s="154"/>
    </row>
    <row r="41" spans="1:12" s="155" customFormat="1" ht="19.5" customHeight="1">
      <c r="A41" s="203"/>
      <c r="B41" s="167"/>
      <c r="C41" s="310">
        <v>4218</v>
      </c>
      <c r="D41" s="312" t="s">
        <v>113</v>
      </c>
      <c r="E41" s="415"/>
      <c r="F41" s="415"/>
      <c r="G41" s="415">
        <v>9975</v>
      </c>
      <c r="H41" s="415">
        <f t="shared" si="2"/>
        <v>9975</v>
      </c>
      <c r="I41" s="154"/>
      <c r="J41" s="154"/>
      <c r="L41" s="154"/>
    </row>
    <row r="42" spans="1:12" s="155" customFormat="1" ht="19.5" customHeight="1">
      <c r="A42" s="203"/>
      <c r="B42" s="167"/>
      <c r="C42" s="310">
        <v>4219</v>
      </c>
      <c r="D42" s="312" t="s">
        <v>113</v>
      </c>
      <c r="E42" s="415"/>
      <c r="F42" s="415"/>
      <c r="G42" s="415">
        <v>3325</v>
      </c>
      <c r="H42" s="415">
        <f t="shared" si="2"/>
        <v>3325</v>
      </c>
      <c r="I42" s="154"/>
      <c r="J42" s="154"/>
      <c r="L42" s="154"/>
    </row>
    <row r="43" spans="1:12" s="155" customFormat="1" ht="19.5" customHeight="1">
      <c r="A43" s="203"/>
      <c r="B43" s="167"/>
      <c r="C43" s="310">
        <v>4308</v>
      </c>
      <c r="D43" s="312" t="s">
        <v>114</v>
      </c>
      <c r="E43" s="415"/>
      <c r="F43" s="415"/>
      <c r="G43" s="415">
        <f>196500+36000</f>
        <v>232500</v>
      </c>
      <c r="H43" s="415">
        <f t="shared" si="2"/>
        <v>232500</v>
      </c>
      <c r="I43" s="154"/>
      <c r="J43" s="154"/>
      <c r="L43" s="154"/>
    </row>
    <row r="44" spans="1:12" s="155" customFormat="1" ht="19.5" customHeight="1">
      <c r="A44" s="203"/>
      <c r="B44" s="167"/>
      <c r="C44" s="310">
        <v>4309</v>
      </c>
      <c r="D44" s="312" t="s">
        <v>114</v>
      </c>
      <c r="E44" s="415"/>
      <c r="F44" s="415"/>
      <c r="G44" s="415">
        <f>65500+12000</f>
        <v>77500</v>
      </c>
      <c r="H44" s="415">
        <f t="shared" si="2"/>
        <v>77500</v>
      </c>
      <c r="I44" s="154"/>
      <c r="J44" s="154"/>
      <c r="L44" s="154"/>
    </row>
    <row r="45" spans="1:12" s="155" customFormat="1" ht="19.5" customHeight="1">
      <c r="A45" s="203"/>
      <c r="B45" s="167"/>
      <c r="C45" s="310">
        <v>4418</v>
      </c>
      <c r="D45" s="312" t="s">
        <v>179</v>
      </c>
      <c r="E45" s="415"/>
      <c r="F45" s="415"/>
      <c r="G45" s="415">
        <v>11250</v>
      </c>
      <c r="H45" s="415">
        <f t="shared" si="2"/>
        <v>11250</v>
      </c>
      <c r="I45" s="154"/>
      <c r="J45" s="154"/>
      <c r="L45" s="154"/>
    </row>
    <row r="46" spans="1:12" s="155" customFormat="1" ht="19.5" customHeight="1">
      <c r="A46" s="203"/>
      <c r="B46" s="167"/>
      <c r="C46" s="310">
        <v>4419</v>
      </c>
      <c r="D46" s="312" t="s">
        <v>179</v>
      </c>
      <c r="E46" s="415"/>
      <c r="F46" s="415"/>
      <c r="G46" s="415">
        <v>3750</v>
      </c>
      <c r="H46" s="415">
        <f t="shared" si="2"/>
        <v>3750</v>
      </c>
      <c r="I46" s="154"/>
      <c r="J46" s="154"/>
      <c r="L46" s="154"/>
    </row>
    <row r="47" spans="1:12" s="155" customFormat="1" ht="21" customHeight="1">
      <c r="A47" s="203"/>
      <c r="B47" s="167"/>
      <c r="C47" s="945"/>
      <c r="D47" s="946" t="s">
        <v>303</v>
      </c>
      <c r="E47" s="851"/>
      <c r="F47" s="851"/>
      <c r="G47" s="851">
        <f>SUM(G48:G49)</f>
        <v>10200</v>
      </c>
      <c r="H47" s="851">
        <f>E47-F47+G47</f>
        <v>10200</v>
      </c>
      <c r="I47" s="154"/>
      <c r="J47" s="154"/>
      <c r="L47" s="154"/>
    </row>
    <row r="48" spans="1:12" s="155" customFormat="1" ht="21" customHeight="1">
      <c r="A48" s="203"/>
      <c r="B48" s="167"/>
      <c r="C48" s="310">
        <v>6068</v>
      </c>
      <c r="D48" s="312" t="s">
        <v>151</v>
      </c>
      <c r="E48" s="415"/>
      <c r="F48" s="415"/>
      <c r="G48" s="415">
        <v>7650</v>
      </c>
      <c r="H48" s="415">
        <f>E48-F48+G48</f>
        <v>7650</v>
      </c>
      <c r="I48" s="154"/>
      <c r="J48" s="154"/>
      <c r="L48" s="154"/>
    </row>
    <row r="49" spans="1:12" s="155" customFormat="1" ht="21" customHeight="1">
      <c r="A49" s="203"/>
      <c r="B49" s="313"/>
      <c r="C49" s="310">
        <v>6069</v>
      </c>
      <c r="D49" s="312" t="s">
        <v>151</v>
      </c>
      <c r="E49" s="415"/>
      <c r="F49" s="415"/>
      <c r="G49" s="415">
        <v>2550</v>
      </c>
      <c r="H49" s="415">
        <f>E49-F49+G49</f>
        <v>2550</v>
      </c>
      <c r="I49" s="154"/>
      <c r="J49" s="154"/>
      <c r="L49" s="154"/>
    </row>
    <row r="50" spans="1:12" s="130" customFormat="1" ht="18.75" customHeight="1">
      <c r="A50" s="81"/>
      <c r="B50" s="78">
        <v>75095</v>
      </c>
      <c r="C50" s="78"/>
      <c r="D50" s="78" t="s">
        <v>96</v>
      </c>
      <c r="E50" s="136">
        <v>398441</v>
      </c>
      <c r="F50" s="136"/>
      <c r="G50" s="136">
        <f>G51</f>
        <v>9837</v>
      </c>
      <c r="H50" s="136">
        <f t="shared" si="0"/>
        <v>408278</v>
      </c>
      <c r="I50" s="137"/>
      <c r="J50" s="137"/>
      <c r="L50" s="137"/>
    </row>
    <row r="51" spans="1:12" s="130" customFormat="1" ht="18" customHeight="1">
      <c r="A51" s="204"/>
      <c r="B51" s="93"/>
      <c r="C51" s="464"/>
      <c r="D51" s="782" t="s">
        <v>455</v>
      </c>
      <c r="E51" s="524">
        <v>88441</v>
      </c>
      <c r="F51" s="524"/>
      <c r="G51" s="524">
        <f>G52</f>
        <v>9837</v>
      </c>
      <c r="H51" s="143">
        <f t="shared" si="0"/>
        <v>98278</v>
      </c>
      <c r="I51" s="137"/>
      <c r="J51" s="137"/>
      <c r="L51" s="137"/>
    </row>
    <row r="52" spans="1:12" s="155" customFormat="1" ht="29.25" customHeight="1">
      <c r="A52" s="222"/>
      <c r="B52" s="313"/>
      <c r="C52" s="82">
        <v>4600</v>
      </c>
      <c r="D52" s="529" t="s">
        <v>456</v>
      </c>
      <c r="E52" s="153">
        <v>88441</v>
      </c>
      <c r="F52" s="153"/>
      <c r="G52" s="153">
        <v>9837</v>
      </c>
      <c r="H52" s="153">
        <f t="shared" si="0"/>
        <v>98278</v>
      </c>
      <c r="I52" s="154"/>
      <c r="J52" s="154"/>
      <c r="L52" s="154"/>
    </row>
    <row r="53" spans="1:12" ht="19.5" customHeight="1">
      <c r="A53" s="73">
        <v>754</v>
      </c>
      <c r="B53" s="73"/>
      <c r="C53" s="73"/>
      <c r="D53" s="73" t="s">
        <v>92</v>
      </c>
      <c r="E53" s="74">
        <v>6638000</v>
      </c>
      <c r="F53" s="75">
        <f>F58+F54</f>
        <v>5000</v>
      </c>
      <c r="G53" s="75">
        <f>G58+G54</f>
        <v>5000</v>
      </c>
      <c r="H53" s="75">
        <f t="shared" si="0"/>
        <v>6638000</v>
      </c>
      <c r="I53" s="47"/>
      <c r="J53" s="47"/>
      <c r="L53" s="47"/>
    </row>
    <row r="54" spans="1:12" s="130" customFormat="1" ht="21" customHeight="1">
      <c r="A54" s="81"/>
      <c r="B54" s="78">
        <v>75412</v>
      </c>
      <c r="C54" s="78"/>
      <c r="D54" s="78" t="s">
        <v>173</v>
      </c>
      <c r="E54" s="136">
        <v>65000</v>
      </c>
      <c r="F54" s="136">
        <f>F55</f>
        <v>1000</v>
      </c>
      <c r="G54" s="136">
        <f>G55</f>
        <v>1000</v>
      </c>
      <c r="H54" s="136">
        <f t="shared" si="0"/>
        <v>65000</v>
      </c>
      <c r="I54" s="137"/>
      <c r="J54" s="137"/>
      <c r="L54" s="137"/>
    </row>
    <row r="55" spans="1:12" s="130" customFormat="1" ht="19.5" customHeight="1">
      <c r="A55" s="204"/>
      <c r="B55" s="93"/>
      <c r="C55" s="66"/>
      <c r="D55" s="209" t="s">
        <v>23</v>
      </c>
      <c r="E55" s="524">
        <v>65000</v>
      </c>
      <c r="F55" s="524">
        <f>SUM(F56:F57)</f>
        <v>1000</v>
      </c>
      <c r="G55" s="524">
        <f>SUM(G56:G57)</f>
        <v>1000</v>
      </c>
      <c r="H55" s="143">
        <f t="shared" si="0"/>
        <v>65000</v>
      </c>
      <c r="I55" s="137"/>
      <c r="J55" s="137"/>
      <c r="L55" s="137"/>
    </row>
    <row r="56" spans="1:12" s="155" customFormat="1" ht="21" customHeight="1">
      <c r="A56" s="222"/>
      <c r="B56" s="313"/>
      <c r="C56" s="310">
        <v>4260</v>
      </c>
      <c r="D56" s="312" t="s">
        <v>174</v>
      </c>
      <c r="E56" s="153">
        <v>3000</v>
      </c>
      <c r="F56" s="153"/>
      <c r="G56" s="153">
        <v>1000</v>
      </c>
      <c r="H56" s="153">
        <f t="shared" si="0"/>
        <v>4000</v>
      </c>
      <c r="I56" s="154"/>
      <c r="J56" s="154"/>
      <c r="L56" s="154"/>
    </row>
    <row r="57" spans="1:12" s="155" customFormat="1" ht="21" customHeight="1">
      <c r="A57" s="203"/>
      <c r="B57" s="313"/>
      <c r="C57" s="310">
        <v>4280</v>
      </c>
      <c r="D57" s="312" t="s">
        <v>175</v>
      </c>
      <c r="E57" s="771">
        <v>4000</v>
      </c>
      <c r="F57" s="771">
        <v>1000</v>
      </c>
      <c r="G57" s="771"/>
      <c r="H57" s="415">
        <f t="shared" si="0"/>
        <v>3000</v>
      </c>
      <c r="I57" s="154"/>
      <c r="J57" s="154"/>
      <c r="L57" s="154"/>
    </row>
    <row r="58" spans="1:12" s="130" customFormat="1" ht="19.5" customHeight="1">
      <c r="A58" s="81"/>
      <c r="B58" s="78">
        <v>75495</v>
      </c>
      <c r="C58" s="78"/>
      <c r="D58" s="78" t="s">
        <v>96</v>
      </c>
      <c r="E58" s="136">
        <v>978000</v>
      </c>
      <c r="F58" s="136">
        <f>F59</f>
        <v>4000</v>
      </c>
      <c r="G58" s="136">
        <f>G59</f>
        <v>4000</v>
      </c>
      <c r="H58" s="136">
        <f t="shared" si="0"/>
        <v>978000</v>
      </c>
      <c r="I58" s="137"/>
      <c r="J58" s="137"/>
      <c r="L58" s="137"/>
    </row>
    <row r="59" spans="1:12" s="130" customFormat="1" ht="19.5" customHeight="1">
      <c r="A59" s="204"/>
      <c r="B59" s="205"/>
      <c r="C59" s="108"/>
      <c r="D59" s="209" t="s">
        <v>452</v>
      </c>
      <c r="E59" s="524">
        <v>743000</v>
      </c>
      <c r="F59" s="524">
        <f>F62+F60</f>
        <v>4000</v>
      </c>
      <c r="G59" s="524">
        <f>G62+G60</f>
        <v>4000</v>
      </c>
      <c r="H59" s="524">
        <f t="shared" si="0"/>
        <v>743000</v>
      </c>
      <c r="I59" s="137"/>
      <c r="J59" s="137"/>
      <c r="L59" s="137"/>
    </row>
    <row r="60" spans="1:12" s="155" customFormat="1" ht="19.5" customHeight="1">
      <c r="A60" s="203"/>
      <c r="B60" s="167"/>
      <c r="C60" s="310">
        <v>4210</v>
      </c>
      <c r="D60" s="312" t="s">
        <v>113</v>
      </c>
      <c r="E60" s="159"/>
      <c r="F60" s="159"/>
      <c r="G60" s="159">
        <v>4000</v>
      </c>
      <c r="H60" s="159">
        <f t="shared" si="0"/>
        <v>4000</v>
      </c>
      <c r="I60" s="154"/>
      <c r="J60" s="154"/>
      <c r="L60" s="154"/>
    </row>
    <row r="61" spans="1:12" ht="19.5" customHeight="1">
      <c r="A61" s="85"/>
      <c r="B61" s="85"/>
      <c r="C61" s="530"/>
      <c r="D61" s="860" t="s">
        <v>453</v>
      </c>
      <c r="E61" s="708">
        <v>700000</v>
      </c>
      <c r="F61" s="709">
        <v>4000</v>
      </c>
      <c r="G61" s="709"/>
      <c r="H61" s="709">
        <f>E61-F61+G61</f>
        <v>696000</v>
      </c>
      <c r="I61" s="47"/>
      <c r="J61" s="47"/>
      <c r="L61" s="47"/>
    </row>
    <row r="62" spans="1:12" ht="19.5" customHeight="1">
      <c r="A62" s="85"/>
      <c r="B62" s="85"/>
      <c r="C62" s="82">
        <v>6050</v>
      </c>
      <c r="D62" s="82" t="s">
        <v>197</v>
      </c>
      <c r="E62" s="705">
        <v>700000</v>
      </c>
      <c r="F62" s="706">
        <f>F61</f>
        <v>4000</v>
      </c>
      <c r="G62" s="706"/>
      <c r="H62" s="706">
        <f>E62-F62+G62</f>
        <v>696000</v>
      </c>
      <c r="I62" s="47"/>
      <c r="J62" s="47"/>
      <c r="L62" s="47"/>
    </row>
    <row r="63" spans="1:12" ht="19.5" customHeight="1">
      <c r="A63" s="89">
        <v>758</v>
      </c>
      <c r="B63" s="89"/>
      <c r="C63" s="89"/>
      <c r="D63" s="89" t="s">
        <v>93</v>
      </c>
      <c r="E63" s="74">
        <v>10749679</v>
      </c>
      <c r="F63" s="75">
        <f>F64</f>
        <v>1475420</v>
      </c>
      <c r="G63" s="75"/>
      <c r="H63" s="75">
        <f t="shared" si="0"/>
        <v>9274259</v>
      </c>
      <c r="I63" s="47"/>
      <c r="J63" s="47"/>
      <c r="L63" s="47"/>
    </row>
    <row r="64" spans="1:12" s="130" customFormat="1" ht="19.5" customHeight="1">
      <c r="A64" s="530"/>
      <c r="B64" s="77">
        <v>75818</v>
      </c>
      <c r="C64" s="77"/>
      <c r="D64" s="77" t="s">
        <v>94</v>
      </c>
      <c r="E64" s="136">
        <v>7541856</v>
      </c>
      <c r="F64" s="136">
        <f>F65+F67+F71</f>
        <v>1475420</v>
      </c>
      <c r="G64" s="136"/>
      <c r="H64" s="136">
        <f t="shared" si="0"/>
        <v>6066436</v>
      </c>
      <c r="I64" s="137"/>
      <c r="J64" s="137"/>
      <c r="L64" s="137"/>
    </row>
    <row r="65" spans="1:12" s="130" customFormat="1" ht="19.5" customHeight="1">
      <c r="A65" s="204"/>
      <c r="B65" s="213"/>
      <c r="C65" s="108"/>
      <c r="D65" s="101" t="s">
        <v>426</v>
      </c>
      <c r="E65" s="143">
        <v>4474858</v>
      </c>
      <c r="F65" s="143">
        <f>F66</f>
        <v>599837</v>
      </c>
      <c r="G65" s="143"/>
      <c r="H65" s="143">
        <f t="shared" si="0"/>
        <v>3875021</v>
      </c>
      <c r="I65" s="137"/>
      <c r="J65" s="137"/>
      <c r="L65" s="137"/>
    </row>
    <row r="66" spans="1:12" s="155" customFormat="1" ht="19.5" customHeight="1">
      <c r="A66" s="203"/>
      <c r="B66" s="167"/>
      <c r="C66" s="310">
        <v>4810</v>
      </c>
      <c r="D66" s="312" t="s">
        <v>115</v>
      </c>
      <c r="E66" s="153">
        <v>4474858</v>
      </c>
      <c r="F66" s="153">
        <f>9837+50000+420000+120000</f>
        <v>599837</v>
      </c>
      <c r="G66" s="153"/>
      <c r="H66" s="153">
        <f t="shared" si="0"/>
        <v>3875021</v>
      </c>
      <c r="I66" s="154"/>
      <c r="J66" s="154"/>
      <c r="L66" s="154"/>
    </row>
    <row r="67" spans="1:12" s="130" customFormat="1" ht="27.75" customHeight="1">
      <c r="A67" s="204"/>
      <c r="B67" s="213"/>
      <c r="C67" s="108"/>
      <c r="D67" s="101" t="s">
        <v>321</v>
      </c>
      <c r="E67" s="868">
        <v>2494698</v>
      </c>
      <c r="F67" s="868">
        <f>F68+F70</f>
        <v>622073</v>
      </c>
      <c r="G67" s="868"/>
      <c r="H67" s="868">
        <f t="shared" si="0"/>
        <v>1872625</v>
      </c>
      <c r="I67" s="137"/>
      <c r="J67" s="137"/>
      <c r="L67" s="137"/>
    </row>
    <row r="68" spans="1:12" s="155" customFormat="1" ht="19.5" customHeight="1">
      <c r="A68" s="203"/>
      <c r="B68" s="167"/>
      <c r="C68" s="310">
        <v>4810</v>
      </c>
      <c r="D68" s="312" t="s">
        <v>115</v>
      </c>
      <c r="E68" s="409">
        <v>96727</v>
      </c>
      <c r="F68" s="409">
        <v>51000</v>
      </c>
      <c r="G68" s="409"/>
      <c r="H68" s="409">
        <f t="shared" si="0"/>
        <v>45727</v>
      </c>
      <c r="I68" s="154"/>
      <c r="J68" s="154"/>
      <c r="L68" s="154"/>
    </row>
    <row r="69" spans="1:12" s="155" customFormat="1" ht="27.75" customHeight="1">
      <c r="A69" s="203"/>
      <c r="B69" s="167"/>
      <c r="C69" s="530"/>
      <c r="D69" s="897" t="s">
        <v>462</v>
      </c>
      <c r="E69" s="898">
        <v>2397971</v>
      </c>
      <c r="F69" s="898">
        <v>571073</v>
      </c>
      <c r="G69" s="898"/>
      <c r="H69" s="898">
        <f>E69-F69+G69</f>
        <v>1826898</v>
      </c>
      <c r="I69" s="154"/>
      <c r="J69" s="154"/>
      <c r="L69" s="154"/>
    </row>
    <row r="70" spans="1:12" s="155" customFormat="1" ht="19.5" customHeight="1">
      <c r="A70" s="203"/>
      <c r="B70" s="167"/>
      <c r="C70" s="580">
        <v>6800</v>
      </c>
      <c r="D70" s="529" t="s">
        <v>463</v>
      </c>
      <c r="E70" s="900">
        <v>2397971</v>
      </c>
      <c r="F70" s="900">
        <f>F69</f>
        <v>571073</v>
      </c>
      <c r="G70" s="900"/>
      <c r="H70" s="900">
        <f>E70-F70+G70</f>
        <v>1826898</v>
      </c>
      <c r="I70" s="154"/>
      <c r="J70" s="154"/>
      <c r="L70" s="154"/>
    </row>
    <row r="71" spans="1:12" s="130" customFormat="1" ht="25.5">
      <c r="A71" s="204"/>
      <c r="B71" s="213"/>
      <c r="C71" s="108"/>
      <c r="D71" s="101" t="s">
        <v>501</v>
      </c>
      <c r="E71" s="143">
        <v>522300</v>
      </c>
      <c r="F71" s="143">
        <f>F72</f>
        <v>253510</v>
      </c>
      <c r="G71" s="143"/>
      <c r="H71" s="143">
        <f t="shared" si="0"/>
        <v>268790</v>
      </c>
      <c r="I71" s="137"/>
      <c r="J71" s="137"/>
      <c r="L71" s="137"/>
    </row>
    <row r="72" spans="1:12" s="155" customFormat="1" ht="19.5" customHeight="1">
      <c r="A72" s="203"/>
      <c r="B72" s="313"/>
      <c r="C72" s="310">
        <v>4810</v>
      </c>
      <c r="D72" s="312" t="s">
        <v>115</v>
      </c>
      <c r="E72" s="153">
        <v>522300</v>
      </c>
      <c r="F72" s="153">
        <f>16000+237510</f>
        <v>253510</v>
      </c>
      <c r="G72" s="153"/>
      <c r="H72" s="153">
        <f t="shared" si="0"/>
        <v>268790</v>
      </c>
      <c r="I72" s="154"/>
      <c r="J72" s="154"/>
      <c r="L72" s="154"/>
    </row>
    <row r="73" spans="1:12" ht="18.75" customHeight="1">
      <c r="A73" s="72">
        <v>801</v>
      </c>
      <c r="B73" s="89"/>
      <c r="C73" s="73"/>
      <c r="D73" s="92" t="s">
        <v>97</v>
      </c>
      <c r="E73" s="74">
        <v>353064751</v>
      </c>
      <c r="F73" s="75">
        <f>F74+F96+F102+F111+F122+F132+F136+F146+F149</f>
        <v>1078773</v>
      </c>
      <c r="G73" s="75">
        <f>G74+G96+G102+G111+G122+G132+G136+G146+G149</f>
        <v>1294540</v>
      </c>
      <c r="H73" s="75">
        <f t="shared" si="0"/>
        <v>353280518</v>
      </c>
      <c r="I73" s="47"/>
      <c r="J73" s="47">
        <v>195820</v>
      </c>
      <c r="L73" s="47"/>
    </row>
    <row r="74" spans="1:12" s="95" customFormat="1" ht="18.75" customHeight="1">
      <c r="A74" s="76"/>
      <c r="B74" s="78">
        <v>80101</v>
      </c>
      <c r="C74" s="78"/>
      <c r="D74" s="78" t="s">
        <v>254</v>
      </c>
      <c r="E74" s="563">
        <v>101056131</v>
      </c>
      <c r="F74" s="523">
        <f>F75+F78+F86+F89+F93</f>
        <v>33350</v>
      </c>
      <c r="G74" s="523">
        <f>G75+G78+G86+G89+G93</f>
        <v>156600</v>
      </c>
      <c r="H74" s="523">
        <f t="shared" si="0"/>
        <v>101179381</v>
      </c>
      <c r="I74" s="137"/>
      <c r="J74" s="137"/>
      <c r="L74" s="94"/>
    </row>
    <row r="75" spans="1:12" s="130" customFormat="1" ht="18.75" customHeight="1">
      <c r="A75" s="80"/>
      <c r="B75" s="464"/>
      <c r="C75" s="66"/>
      <c r="D75" s="535" t="s">
        <v>200</v>
      </c>
      <c r="E75" s="142">
        <v>57800250</v>
      </c>
      <c r="F75" s="142"/>
      <c r="G75" s="142">
        <f>SUM(G76:G77)</f>
        <v>77170</v>
      </c>
      <c r="H75" s="142">
        <f>E75+G75-F75</f>
        <v>57877420</v>
      </c>
      <c r="I75" s="137"/>
      <c r="J75" s="137"/>
      <c r="L75" s="137"/>
    </row>
    <row r="76" spans="1:12" s="130" customFormat="1" ht="18.75" customHeight="1">
      <c r="A76" s="80"/>
      <c r="B76" s="66"/>
      <c r="C76" s="313">
        <v>4010</v>
      </c>
      <c r="D76" s="313" t="s">
        <v>65</v>
      </c>
      <c r="E76" s="415">
        <v>53631012</v>
      </c>
      <c r="F76" s="415"/>
      <c r="G76" s="415">
        <v>69170</v>
      </c>
      <c r="H76" s="151">
        <f t="shared" si="0"/>
        <v>53700182</v>
      </c>
      <c r="I76" s="137"/>
      <c r="J76" s="137"/>
      <c r="L76" s="137"/>
    </row>
    <row r="77" spans="1:12" s="157" customFormat="1" ht="18.75" customHeight="1">
      <c r="A77" s="202"/>
      <c r="B77" s="81"/>
      <c r="C77" s="82">
        <v>4170</v>
      </c>
      <c r="D77" s="529" t="s">
        <v>124</v>
      </c>
      <c r="E77" s="151">
        <v>50348</v>
      </c>
      <c r="F77" s="151"/>
      <c r="G77" s="151">
        <v>8000</v>
      </c>
      <c r="H77" s="151">
        <f>E77+G77-F77</f>
        <v>58348</v>
      </c>
      <c r="I77" s="156"/>
      <c r="J77" s="156"/>
      <c r="L77" s="156"/>
    </row>
    <row r="78" spans="1:12" s="95" customFormat="1" ht="18.75" customHeight="1">
      <c r="A78" s="80"/>
      <c r="B78" s="66"/>
      <c r="C78" s="464"/>
      <c r="D78" s="537" t="s">
        <v>117</v>
      </c>
      <c r="E78" s="142">
        <v>12015504</v>
      </c>
      <c r="F78" s="564"/>
      <c r="G78" s="564">
        <f>SUM(G79:G84)</f>
        <v>65080</v>
      </c>
      <c r="H78" s="564">
        <f t="shared" si="0"/>
        <v>12080584</v>
      </c>
      <c r="I78" s="137"/>
      <c r="J78" s="137"/>
      <c r="L78" s="94"/>
    </row>
    <row r="79" spans="1:12" s="95" customFormat="1" ht="18.75" customHeight="1">
      <c r="A79" s="80"/>
      <c r="B79" s="66"/>
      <c r="C79" s="313">
        <v>3020</v>
      </c>
      <c r="D79" s="314" t="s">
        <v>292</v>
      </c>
      <c r="E79" s="415">
        <v>232390</v>
      </c>
      <c r="F79" s="315"/>
      <c r="G79" s="315">
        <v>600</v>
      </c>
      <c r="H79" s="151">
        <f t="shared" si="0"/>
        <v>232990</v>
      </c>
      <c r="I79" s="137"/>
      <c r="J79" s="137"/>
      <c r="L79" s="94"/>
    </row>
    <row r="80" spans="1:12" s="95" customFormat="1" ht="18.75" customHeight="1">
      <c r="A80" s="80"/>
      <c r="B80" s="66"/>
      <c r="C80" s="310">
        <v>4210</v>
      </c>
      <c r="D80" s="312" t="s">
        <v>113</v>
      </c>
      <c r="E80" s="415">
        <v>1222505</v>
      </c>
      <c r="F80" s="315"/>
      <c r="G80" s="315">
        <f>17500-13700</f>
        <v>3800</v>
      </c>
      <c r="H80" s="151">
        <f t="shared" si="0"/>
        <v>1226305</v>
      </c>
      <c r="I80" s="137"/>
      <c r="J80" s="137"/>
      <c r="L80" s="94"/>
    </row>
    <row r="81" spans="1:12" s="95" customFormat="1" ht="18.75" customHeight="1">
      <c r="A81" s="80"/>
      <c r="B81" s="66"/>
      <c r="C81" s="82">
        <v>4260</v>
      </c>
      <c r="D81" s="534" t="s">
        <v>174</v>
      </c>
      <c r="E81" s="415">
        <v>4568018</v>
      </c>
      <c r="F81" s="315"/>
      <c r="G81" s="315">
        <f>90000-77000</f>
        <v>13000</v>
      </c>
      <c r="H81" s="415">
        <f t="shared" si="0"/>
        <v>4581018</v>
      </c>
      <c r="I81" s="137"/>
      <c r="J81" s="137"/>
      <c r="L81" s="94"/>
    </row>
    <row r="82" spans="1:12" s="565" customFormat="1" ht="18.75" customHeight="1">
      <c r="A82" s="202"/>
      <c r="B82" s="81"/>
      <c r="C82" s="82">
        <v>4270</v>
      </c>
      <c r="D82" s="534" t="s">
        <v>354</v>
      </c>
      <c r="E82" s="749">
        <v>1046449</v>
      </c>
      <c r="F82" s="750"/>
      <c r="G82" s="750">
        <f>9700+27230</f>
        <v>36930</v>
      </c>
      <c r="H82" s="750">
        <f t="shared" si="0"/>
        <v>1083379</v>
      </c>
      <c r="I82" s="156"/>
      <c r="J82" s="156"/>
      <c r="L82" s="566"/>
    </row>
    <row r="83" spans="1:12" s="565" customFormat="1" ht="18.75" customHeight="1">
      <c r="A83" s="202"/>
      <c r="B83" s="81"/>
      <c r="C83" s="310">
        <v>4300</v>
      </c>
      <c r="D83" s="312" t="s">
        <v>114</v>
      </c>
      <c r="E83" s="749">
        <v>970602</v>
      </c>
      <c r="F83" s="750"/>
      <c r="G83" s="750">
        <f>21300-13530</f>
        <v>7770</v>
      </c>
      <c r="H83" s="750">
        <f t="shared" si="0"/>
        <v>978372</v>
      </c>
      <c r="I83" s="156"/>
      <c r="J83" s="156"/>
      <c r="L83" s="566"/>
    </row>
    <row r="84" spans="1:12" s="565" customFormat="1" ht="18.75" customHeight="1">
      <c r="A84" s="540"/>
      <c r="B84" s="82"/>
      <c r="C84" s="82">
        <v>4440</v>
      </c>
      <c r="D84" s="534" t="s">
        <v>404</v>
      </c>
      <c r="E84" s="749">
        <v>3453009</v>
      </c>
      <c r="F84" s="750"/>
      <c r="G84" s="750">
        <v>2980</v>
      </c>
      <c r="H84" s="750">
        <f t="shared" si="0"/>
        <v>3455989</v>
      </c>
      <c r="I84" s="156"/>
      <c r="J84" s="156"/>
      <c r="L84" s="566"/>
    </row>
    <row r="85" spans="1:12" s="565" customFormat="1" ht="18.75" customHeight="1">
      <c r="A85" s="1150"/>
      <c r="B85" s="1075"/>
      <c r="C85" s="1075"/>
      <c r="D85" s="1151"/>
      <c r="E85" s="1149"/>
      <c r="F85" s="1152"/>
      <c r="G85" s="1152"/>
      <c r="H85" s="1152"/>
      <c r="I85" s="156"/>
      <c r="J85" s="156"/>
      <c r="L85" s="566"/>
    </row>
    <row r="86" spans="1:12" s="95" customFormat="1" ht="18.75" customHeight="1">
      <c r="A86" s="80"/>
      <c r="B86" s="66"/>
      <c r="C86" s="66"/>
      <c r="D86" s="620" t="s">
        <v>142</v>
      </c>
      <c r="E86" s="862">
        <v>11224640</v>
      </c>
      <c r="F86" s="621"/>
      <c r="G86" s="621">
        <f>SUM(G87:G88)</f>
        <v>13270</v>
      </c>
      <c r="H86" s="862">
        <f>E86+G86-F86</f>
        <v>11237910</v>
      </c>
      <c r="I86" s="137"/>
      <c r="J86" s="137"/>
      <c r="L86" s="94"/>
    </row>
    <row r="87" spans="1:12" s="95" customFormat="1" ht="18.75" customHeight="1">
      <c r="A87" s="80"/>
      <c r="B87" s="66"/>
      <c r="C87" s="82">
        <v>4110</v>
      </c>
      <c r="D87" s="534" t="s">
        <v>171</v>
      </c>
      <c r="E87" s="415">
        <v>9883680</v>
      </c>
      <c r="F87" s="315"/>
      <c r="G87" s="315">
        <v>11600</v>
      </c>
      <c r="H87" s="151">
        <f>E87+G87-F87</f>
        <v>9895280</v>
      </c>
      <c r="I87" s="137"/>
      <c r="J87" s="137"/>
      <c r="L87" s="94"/>
    </row>
    <row r="88" spans="1:12" s="565" customFormat="1" ht="18.75" customHeight="1">
      <c r="A88" s="202"/>
      <c r="B88" s="81"/>
      <c r="C88" s="82">
        <v>4120</v>
      </c>
      <c r="D88" s="534" t="s">
        <v>172</v>
      </c>
      <c r="E88" s="749">
        <v>1340960</v>
      </c>
      <c r="F88" s="750"/>
      <c r="G88" s="750">
        <v>1670</v>
      </c>
      <c r="H88" s="415">
        <f>E88+G88-F88</f>
        <v>1342630</v>
      </c>
      <c r="I88" s="156"/>
      <c r="J88" s="156"/>
      <c r="L88" s="566"/>
    </row>
    <row r="89" spans="1:12" s="95" customFormat="1" ht="18.75" customHeight="1">
      <c r="A89" s="80"/>
      <c r="B89" s="66"/>
      <c r="C89" s="464"/>
      <c r="D89" s="537" t="s">
        <v>403</v>
      </c>
      <c r="E89" s="142">
        <v>403000</v>
      </c>
      <c r="F89" s="564">
        <f>SUM(F90:F92)</f>
        <v>350</v>
      </c>
      <c r="G89" s="564">
        <f>SUM(G90:G92)</f>
        <v>1080</v>
      </c>
      <c r="H89" s="564">
        <f t="shared" si="0"/>
        <v>403730</v>
      </c>
      <c r="I89" s="137"/>
      <c r="J89" s="137"/>
      <c r="L89" s="94"/>
    </row>
    <row r="90" spans="1:12" s="95" customFormat="1" ht="18.75" customHeight="1">
      <c r="A90" s="80"/>
      <c r="B90" s="66"/>
      <c r="C90" s="313">
        <v>4010</v>
      </c>
      <c r="D90" s="313" t="s">
        <v>65</v>
      </c>
      <c r="E90" s="153">
        <v>293723</v>
      </c>
      <c r="F90" s="643"/>
      <c r="G90" s="643">
        <f>13970-13240</f>
        <v>730</v>
      </c>
      <c r="H90" s="151">
        <f>E90+G90-F90</f>
        <v>294453</v>
      </c>
      <c r="I90" s="137"/>
      <c r="J90" s="137"/>
      <c r="L90" s="94"/>
    </row>
    <row r="91" spans="1:12" s="95" customFormat="1" ht="18.75" customHeight="1">
      <c r="A91" s="80"/>
      <c r="B91" s="66"/>
      <c r="C91" s="310">
        <v>4110</v>
      </c>
      <c r="D91" s="312" t="s">
        <v>171</v>
      </c>
      <c r="E91" s="749">
        <v>59060</v>
      </c>
      <c r="F91" s="750">
        <f>2790-2440</f>
        <v>350</v>
      </c>
      <c r="G91" s="750"/>
      <c r="H91" s="415">
        <f t="shared" si="0"/>
        <v>58710</v>
      </c>
      <c r="I91" s="137"/>
      <c r="J91" s="137"/>
      <c r="L91" s="94"/>
    </row>
    <row r="92" spans="1:12" s="95" customFormat="1" ht="18.75" customHeight="1">
      <c r="A92" s="80"/>
      <c r="B92" s="66"/>
      <c r="C92" s="82">
        <v>4120</v>
      </c>
      <c r="D92" s="534" t="s">
        <v>172</v>
      </c>
      <c r="E92" s="415">
        <v>7340</v>
      </c>
      <c r="F92" s="315"/>
      <c r="G92" s="315">
        <v>350</v>
      </c>
      <c r="H92" s="415">
        <f t="shared" si="0"/>
        <v>7690</v>
      </c>
      <c r="I92" s="137"/>
      <c r="J92" s="137"/>
      <c r="L92" s="94"/>
    </row>
    <row r="93" spans="1:12" s="130" customFormat="1" ht="21" customHeight="1">
      <c r="A93" s="80"/>
      <c r="B93" s="66"/>
      <c r="C93" s="66"/>
      <c r="D93" s="571" t="s">
        <v>202</v>
      </c>
      <c r="E93" s="142">
        <v>18344121</v>
      </c>
      <c r="F93" s="142">
        <f>F95</f>
        <v>33000</v>
      </c>
      <c r="G93" s="142"/>
      <c r="H93" s="142">
        <f>E93+G93-F93</f>
        <v>18311121</v>
      </c>
      <c r="I93" s="137"/>
      <c r="J93" s="137"/>
      <c r="L93" s="137"/>
    </row>
    <row r="94" spans="1:12" s="155" customFormat="1" ht="21" customHeight="1">
      <c r="A94" s="203"/>
      <c r="B94" s="167"/>
      <c r="C94" s="167"/>
      <c r="D94" s="879" t="s">
        <v>458</v>
      </c>
      <c r="E94" s="457">
        <v>100000</v>
      </c>
      <c r="F94" s="457">
        <v>33000</v>
      </c>
      <c r="G94" s="457"/>
      <c r="H94" s="457">
        <f>E94+G94-F94</f>
        <v>67000</v>
      </c>
      <c r="I94" s="154"/>
      <c r="J94" s="154"/>
      <c r="L94" s="154"/>
    </row>
    <row r="95" spans="1:12" s="157" customFormat="1" ht="21" customHeight="1">
      <c r="A95" s="202"/>
      <c r="B95" s="82"/>
      <c r="C95" s="82">
        <v>6050</v>
      </c>
      <c r="D95" s="529" t="s">
        <v>197</v>
      </c>
      <c r="E95" s="151">
        <v>17744121</v>
      </c>
      <c r="F95" s="151">
        <f>F94</f>
        <v>33000</v>
      </c>
      <c r="G95" s="151"/>
      <c r="H95" s="151">
        <f>E95+G95-F95</f>
        <v>17711121</v>
      </c>
      <c r="I95" s="156"/>
      <c r="J95" s="156"/>
      <c r="L95" s="156"/>
    </row>
    <row r="96" spans="1:12" s="130" customFormat="1" ht="18.75" customHeight="1">
      <c r="A96" s="76"/>
      <c r="B96" s="77">
        <v>80103</v>
      </c>
      <c r="C96" s="77"/>
      <c r="D96" s="77" t="s">
        <v>323</v>
      </c>
      <c r="E96" s="136">
        <v>1713460</v>
      </c>
      <c r="F96" s="136">
        <f>F97+F99</f>
        <v>990</v>
      </c>
      <c r="G96" s="136">
        <f>G97+G99</f>
        <v>260</v>
      </c>
      <c r="H96" s="136">
        <f t="shared" si="0"/>
        <v>1712730</v>
      </c>
      <c r="I96" s="137"/>
      <c r="J96" s="137"/>
      <c r="L96" s="137"/>
    </row>
    <row r="97" spans="1:12" s="95" customFormat="1" ht="18.75" customHeight="1">
      <c r="A97" s="80"/>
      <c r="B97" s="66"/>
      <c r="C97" s="66"/>
      <c r="D97" s="535" t="s">
        <v>200</v>
      </c>
      <c r="E97" s="142">
        <v>1288600</v>
      </c>
      <c r="F97" s="564">
        <f>F98</f>
        <v>730</v>
      </c>
      <c r="G97" s="564"/>
      <c r="H97" s="142">
        <f t="shared" si="0"/>
        <v>1287870</v>
      </c>
      <c r="I97" s="137"/>
      <c r="J97" s="137"/>
      <c r="L97" s="94"/>
    </row>
    <row r="98" spans="1:12" s="95" customFormat="1" ht="18.75" customHeight="1">
      <c r="A98" s="80"/>
      <c r="B98" s="66"/>
      <c r="C98" s="313">
        <v>4010</v>
      </c>
      <c r="D98" s="313" t="s">
        <v>65</v>
      </c>
      <c r="E98" s="415">
        <v>1201408</v>
      </c>
      <c r="F98" s="315">
        <f>11130-10400</f>
        <v>730</v>
      </c>
      <c r="G98" s="315"/>
      <c r="H98" s="151">
        <f t="shared" si="0"/>
        <v>1200678</v>
      </c>
      <c r="I98" s="137"/>
      <c r="J98" s="137"/>
      <c r="L98" s="94"/>
    </row>
    <row r="99" spans="1:12" s="95" customFormat="1" ht="18.75" customHeight="1">
      <c r="A99" s="80"/>
      <c r="B99" s="66"/>
      <c r="C99" s="464"/>
      <c r="D99" s="537" t="s">
        <v>142</v>
      </c>
      <c r="E99" s="142">
        <v>261960</v>
      </c>
      <c r="F99" s="564">
        <f>SUM(F100:F101)</f>
        <v>260</v>
      </c>
      <c r="G99" s="564">
        <f>SUM(G100:G101)</f>
        <v>260</v>
      </c>
      <c r="H99" s="142">
        <f t="shared" si="0"/>
        <v>261960</v>
      </c>
      <c r="I99" s="137"/>
      <c r="J99" s="137"/>
      <c r="L99" s="94"/>
    </row>
    <row r="100" spans="1:12" s="95" customFormat="1" ht="18.75" customHeight="1">
      <c r="A100" s="80"/>
      <c r="B100" s="66"/>
      <c r="C100" s="82">
        <v>4110</v>
      </c>
      <c r="D100" s="534" t="s">
        <v>171</v>
      </c>
      <c r="E100" s="415">
        <v>230040</v>
      </c>
      <c r="F100" s="315">
        <f>2130-1870</f>
        <v>260</v>
      </c>
      <c r="G100" s="315"/>
      <c r="H100" s="151">
        <f t="shared" si="0"/>
        <v>229780</v>
      </c>
      <c r="I100" s="137"/>
      <c r="J100" s="137"/>
      <c r="L100" s="94"/>
    </row>
    <row r="101" spans="1:12" s="565" customFormat="1" ht="18.75" customHeight="1">
      <c r="A101" s="202"/>
      <c r="B101" s="81"/>
      <c r="C101" s="82">
        <v>4120</v>
      </c>
      <c r="D101" s="534" t="s">
        <v>172</v>
      </c>
      <c r="E101" s="749">
        <v>31920</v>
      </c>
      <c r="F101" s="750"/>
      <c r="G101" s="750">
        <v>260</v>
      </c>
      <c r="H101" s="415">
        <f t="shared" si="0"/>
        <v>32180</v>
      </c>
      <c r="I101" s="156"/>
      <c r="J101" s="156"/>
      <c r="L101" s="566"/>
    </row>
    <row r="102" spans="1:12" s="130" customFormat="1" ht="18.75" customHeight="1">
      <c r="A102" s="76"/>
      <c r="B102" s="77">
        <v>80104</v>
      </c>
      <c r="C102" s="77"/>
      <c r="D102" s="77" t="s">
        <v>145</v>
      </c>
      <c r="E102" s="136">
        <v>49272000</v>
      </c>
      <c r="F102" s="136">
        <f>F103+F108</f>
        <v>4710</v>
      </c>
      <c r="G102" s="136">
        <f>G103+G108</f>
        <v>9210</v>
      </c>
      <c r="H102" s="136">
        <f t="shared" si="0"/>
        <v>49276500</v>
      </c>
      <c r="I102" s="137"/>
      <c r="J102" s="137"/>
      <c r="L102" s="137"/>
    </row>
    <row r="103" spans="1:12" s="130" customFormat="1" ht="19.5" customHeight="1">
      <c r="A103" s="80"/>
      <c r="B103" s="66"/>
      <c r="C103" s="66"/>
      <c r="D103" s="535" t="s">
        <v>117</v>
      </c>
      <c r="E103" s="142">
        <v>6583954</v>
      </c>
      <c r="F103" s="142">
        <f>SUM(F104:F107)</f>
        <v>710</v>
      </c>
      <c r="G103" s="142">
        <f>SUM(G104:G107)</f>
        <v>9210</v>
      </c>
      <c r="H103" s="142">
        <f t="shared" si="0"/>
        <v>6592454</v>
      </c>
      <c r="I103" s="137"/>
      <c r="J103" s="137"/>
      <c r="L103" s="137"/>
    </row>
    <row r="104" spans="1:12" s="155" customFormat="1" ht="21" customHeight="1">
      <c r="A104" s="203"/>
      <c r="B104" s="167"/>
      <c r="C104" s="310">
        <v>4210</v>
      </c>
      <c r="D104" s="312" t="s">
        <v>113</v>
      </c>
      <c r="E104" s="415">
        <v>365488</v>
      </c>
      <c r="F104" s="415"/>
      <c r="G104" s="415">
        <f>13764-9164</f>
        <v>4600</v>
      </c>
      <c r="H104" s="415">
        <f t="shared" si="0"/>
        <v>370088</v>
      </c>
      <c r="I104" s="154"/>
      <c r="J104" s="154"/>
      <c r="L104" s="154"/>
    </row>
    <row r="105" spans="1:12" s="155" customFormat="1" ht="21" customHeight="1">
      <c r="A105" s="203"/>
      <c r="B105" s="167"/>
      <c r="C105" s="310">
        <v>4270</v>
      </c>
      <c r="D105" s="312" t="s">
        <v>146</v>
      </c>
      <c r="E105" s="415">
        <v>374327</v>
      </c>
      <c r="F105" s="415"/>
      <c r="G105" s="415">
        <f>4500-600</f>
        <v>3900</v>
      </c>
      <c r="H105" s="415">
        <f t="shared" si="0"/>
        <v>378227</v>
      </c>
      <c r="I105" s="154"/>
      <c r="J105" s="154"/>
      <c r="L105" s="154"/>
    </row>
    <row r="106" spans="1:12" s="155" customFormat="1" ht="21" customHeight="1">
      <c r="A106" s="203"/>
      <c r="B106" s="167"/>
      <c r="C106" s="310">
        <v>4280</v>
      </c>
      <c r="D106" s="312" t="s">
        <v>175</v>
      </c>
      <c r="E106" s="415">
        <v>30236</v>
      </c>
      <c r="F106" s="415"/>
      <c r="G106" s="415">
        <v>710</v>
      </c>
      <c r="H106" s="415">
        <f t="shared" si="0"/>
        <v>30946</v>
      </c>
      <c r="I106" s="154"/>
      <c r="J106" s="154"/>
      <c r="L106" s="154"/>
    </row>
    <row r="107" spans="1:12" s="155" customFormat="1" ht="21" customHeight="1">
      <c r="A107" s="203"/>
      <c r="B107" s="167"/>
      <c r="C107" s="310">
        <v>4300</v>
      </c>
      <c r="D107" s="312" t="s">
        <v>114</v>
      </c>
      <c r="E107" s="415">
        <v>1271231</v>
      </c>
      <c r="F107" s="415">
        <f>2310-1600</f>
        <v>710</v>
      </c>
      <c r="G107" s="415"/>
      <c r="H107" s="415">
        <f t="shared" si="0"/>
        <v>1270521</v>
      </c>
      <c r="I107" s="154"/>
      <c r="J107" s="154"/>
      <c r="L107" s="154"/>
    </row>
    <row r="108" spans="1:12" s="130" customFormat="1" ht="21" customHeight="1">
      <c r="A108" s="80"/>
      <c r="B108" s="66"/>
      <c r="C108" s="66"/>
      <c r="D108" s="571" t="s">
        <v>202</v>
      </c>
      <c r="E108" s="142">
        <v>1408475</v>
      </c>
      <c r="F108" s="142">
        <f>F110</f>
        <v>4000</v>
      </c>
      <c r="G108" s="142"/>
      <c r="H108" s="142">
        <f>E108+G108-F108</f>
        <v>1404475</v>
      </c>
      <c r="I108" s="137"/>
      <c r="J108" s="137"/>
      <c r="L108" s="137"/>
    </row>
    <row r="109" spans="1:12" s="155" customFormat="1" ht="21" customHeight="1">
      <c r="A109" s="203"/>
      <c r="B109" s="167"/>
      <c r="C109" s="167"/>
      <c r="D109" s="879" t="s">
        <v>303</v>
      </c>
      <c r="E109" s="457">
        <v>13570</v>
      </c>
      <c r="F109" s="457">
        <v>4000</v>
      </c>
      <c r="G109" s="457"/>
      <c r="H109" s="457">
        <f>E109+G109-F109</f>
        <v>9570</v>
      </c>
      <c r="I109" s="154"/>
      <c r="J109" s="154"/>
      <c r="L109" s="154"/>
    </row>
    <row r="110" spans="1:12" s="157" customFormat="1" ht="21" customHeight="1">
      <c r="A110" s="202"/>
      <c r="B110" s="82"/>
      <c r="C110" s="82">
        <v>6060</v>
      </c>
      <c r="D110" s="529" t="s">
        <v>151</v>
      </c>
      <c r="E110" s="151">
        <v>13570</v>
      </c>
      <c r="F110" s="151">
        <f>F109</f>
        <v>4000</v>
      </c>
      <c r="G110" s="151"/>
      <c r="H110" s="151">
        <f>E110+G110-F110</f>
        <v>9570</v>
      </c>
      <c r="I110" s="156"/>
      <c r="J110" s="156"/>
      <c r="L110" s="156"/>
    </row>
    <row r="111" spans="1:12" s="95" customFormat="1" ht="19.5" customHeight="1">
      <c r="A111" s="76"/>
      <c r="B111" s="78">
        <v>80110</v>
      </c>
      <c r="C111" s="78"/>
      <c r="D111" s="78" t="s">
        <v>255</v>
      </c>
      <c r="E111" s="563">
        <v>54386760</v>
      </c>
      <c r="F111" s="523">
        <f>F112+F116+F119</f>
        <v>200794</v>
      </c>
      <c r="G111" s="523">
        <f>G112+G116+G119</f>
        <v>256500</v>
      </c>
      <c r="H111" s="523">
        <f t="shared" si="0"/>
        <v>54442466</v>
      </c>
      <c r="I111" s="137"/>
      <c r="J111" s="137"/>
      <c r="L111" s="94"/>
    </row>
    <row r="112" spans="1:12" s="95" customFormat="1" ht="19.5" customHeight="1">
      <c r="A112" s="80"/>
      <c r="B112" s="464"/>
      <c r="C112" s="464"/>
      <c r="D112" s="537" t="s">
        <v>117</v>
      </c>
      <c r="E112" s="142">
        <v>6681099</v>
      </c>
      <c r="F112" s="564"/>
      <c r="G112" s="564">
        <f>SUM(G113:G114)</f>
        <v>226500</v>
      </c>
      <c r="H112" s="564">
        <f t="shared" si="0"/>
        <v>6907599</v>
      </c>
      <c r="I112" s="137"/>
      <c r="J112" s="137"/>
      <c r="L112" s="94"/>
    </row>
    <row r="113" spans="1:12" s="565" customFormat="1" ht="19.5" customHeight="1">
      <c r="A113" s="202"/>
      <c r="B113" s="81"/>
      <c r="C113" s="310">
        <v>4260</v>
      </c>
      <c r="D113" s="312" t="s">
        <v>174</v>
      </c>
      <c r="E113" s="151">
        <v>2461590</v>
      </c>
      <c r="F113" s="552"/>
      <c r="G113" s="552">
        <v>50000</v>
      </c>
      <c r="H113" s="552">
        <f t="shared" si="0"/>
        <v>2511590</v>
      </c>
      <c r="I113" s="156"/>
      <c r="J113" s="156"/>
      <c r="L113" s="566"/>
    </row>
    <row r="114" spans="1:12" s="565" customFormat="1" ht="19.5" customHeight="1">
      <c r="A114" s="540"/>
      <c r="B114" s="82"/>
      <c r="C114" s="82">
        <v>4270</v>
      </c>
      <c r="D114" s="534" t="s">
        <v>354</v>
      </c>
      <c r="E114" s="151">
        <v>783682</v>
      </c>
      <c r="F114" s="552"/>
      <c r="G114" s="552">
        <f>6500+170000</f>
        <v>176500</v>
      </c>
      <c r="H114" s="552">
        <f>E114+G114-F114</f>
        <v>960182</v>
      </c>
      <c r="I114" s="156"/>
      <c r="J114" s="156"/>
      <c r="L114" s="566"/>
    </row>
    <row r="115" spans="1:12" s="565" customFormat="1" ht="19.5" customHeight="1">
      <c r="A115" s="1150"/>
      <c r="B115" s="1075"/>
      <c r="C115" s="1075"/>
      <c r="D115" s="1151"/>
      <c r="E115" s="1153"/>
      <c r="F115" s="1154"/>
      <c r="G115" s="1154"/>
      <c r="H115" s="1154"/>
      <c r="I115" s="156"/>
      <c r="J115" s="156"/>
      <c r="L115" s="566"/>
    </row>
    <row r="116" spans="1:12" s="565" customFormat="1" ht="19.5" customHeight="1">
      <c r="A116" s="202"/>
      <c r="B116" s="81"/>
      <c r="C116" s="109"/>
      <c r="D116" s="571" t="s">
        <v>407</v>
      </c>
      <c r="E116" s="862">
        <v>2886000</v>
      </c>
      <c r="F116" s="621">
        <f>SUM(F117:F118)</f>
        <v>30000</v>
      </c>
      <c r="G116" s="621">
        <f>SUM(G117:G118)</f>
        <v>30000</v>
      </c>
      <c r="H116" s="621">
        <f t="shared" si="0"/>
        <v>2886000</v>
      </c>
      <c r="I116" s="156"/>
      <c r="J116" s="156"/>
      <c r="L116" s="566"/>
    </row>
    <row r="117" spans="1:12" s="565" customFormat="1" ht="27.75" customHeight="1">
      <c r="A117" s="202"/>
      <c r="B117" s="81"/>
      <c r="C117" s="82">
        <v>2540</v>
      </c>
      <c r="D117" s="529" t="s">
        <v>155</v>
      </c>
      <c r="E117" s="151">
        <v>1850000</v>
      </c>
      <c r="F117" s="552"/>
      <c r="G117" s="552">
        <v>30000</v>
      </c>
      <c r="H117" s="552">
        <f t="shared" si="0"/>
        <v>1880000</v>
      </c>
      <c r="I117" s="156"/>
      <c r="J117" s="156"/>
      <c r="L117" s="566"/>
    </row>
    <row r="118" spans="1:12" s="565" customFormat="1" ht="38.25" customHeight="1">
      <c r="A118" s="202"/>
      <c r="B118" s="81"/>
      <c r="C118" s="82">
        <v>2590</v>
      </c>
      <c r="D118" s="529" t="s">
        <v>496</v>
      </c>
      <c r="E118" s="916">
        <v>1036000</v>
      </c>
      <c r="F118" s="917">
        <v>30000</v>
      </c>
      <c r="G118" s="917"/>
      <c r="H118" s="552">
        <f t="shared" si="0"/>
        <v>1006000</v>
      </c>
      <c r="I118" s="156"/>
      <c r="J118" s="156"/>
      <c r="L118" s="566"/>
    </row>
    <row r="119" spans="1:12" s="130" customFormat="1" ht="21" customHeight="1">
      <c r="A119" s="80"/>
      <c r="B119" s="66"/>
      <c r="C119" s="66"/>
      <c r="D119" s="571" t="s">
        <v>202</v>
      </c>
      <c r="E119" s="142">
        <v>3423537</v>
      </c>
      <c r="F119" s="142">
        <f>F121</f>
        <v>170794</v>
      </c>
      <c r="G119" s="142"/>
      <c r="H119" s="142">
        <f>E119+G119-F119</f>
        <v>3252743</v>
      </c>
      <c r="I119" s="137"/>
      <c r="J119" s="137"/>
      <c r="L119" s="137"/>
    </row>
    <row r="120" spans="1:12" s="155" customFormat="1" ht="21" customHeight="1">
      <c r="A120" s="203"/>
      <c r="B120" s="167"/>
      <c r="C120" s="167"/>
      <c r="D120" s="555" t="s">
        <v>355</v>
      </c>
      <c r="E120" s="457">
        <v>343537</v>
      </c>
      <c r="F120" s="457">
        <f>20700+54575+95519</f>
        <v>170794</v>
      </c>
      <c r="G120" s="457"/>
      <c r="H120" s="457">
        <f>E120+G120-F120</f>
        <v>172743</v>
      </c>
      <c r="I120" s="154"/>
      <c r="J120" s="154"/>
      <c r="L120" s="154"/>
    </row>
    <row r="121" spans="1:12" s="157" customFormat="1" ht="21" customHeight="1">
      <c r="A121" s="202"/>
      <c r="B121" s="82"/>
      <c r="C121" s="82">
        <v>6050</v>
      </c>
      <c r="D121" s="529" t="s">
        <v>197</v>
      </c>
      <c r="E121" s="151">
        <v>3423537</v>
      </c>
      <c r="F121" s="151">
        <f>F120</f>
        <v>170794</v>
      </c>
      <c r="G121" s="151"/>
      <c r="H121" s="151">
        <f>E121+G121-F121</f>
        <v>3252743</v>
      </c>
      <c r="I121" s="156"/>
      <c r="J121" s="156"/>
      <c r="L121" s="156"/>
    </row>
    <row r="122" spans="1:12" s="95" customFormat="1" ht="19.5" customHeight="1">
      <c r="A122" s="76"/>
      <c r="B122" s="77">
        <v>80120</v>
      </c>
      <c r="C122" s="77"/>
      <c r="D122" s="77" t="s">
        <v>256</v>
      </c>
      <c r="E122" s="136">
        <v>49976443</v>
      </c>
      <c r="F122" s="79">
        <f>F123+F126+F129</f>
        <v>89000</v>
      </c>
      <c r="G122" s="79">
        <f>G123+G126+G129</f>
        <v>416000</v>
      </c>
      <c r="H122" s="79">
        <f t="shared" si="0"/>
        <v>50303443</v>
      </c>
      <c r="I122" s="137"/>
      <c r="J122" s="137"/>
      <c r="L122" s="94"/>
    </row>
    <row r="123" spans="1:12" s="95" customFormat="1" ht="19.5" customHeight="1">
      <c r="A123" s="80"/>
      <c r="B123" s="464"/>
      <c r="C123" s="464"/>
      <c r="D123" s="537" t="s">
        <v>117</v>
      </c>
      <c r="E123" s="142">
        <v>5445623</v>
      </c>
      <c r="F123" s="564"/>
      <c r="G123" s="564">
        <f>SUM(G124:G125)</f>
        <v>294000</v>
      </c>
      <c r="H123" s="564">
        <f t="shared" si="0"/>
        <v>5739623</v>
      </c>
      <c r="I123" s="137"/>
      <c r="J123" s="137"/>
      <c r="L123" s="94"/>
    </row>
    <row r="124" spans="1:12" s="157" customFormat="1" ht="19.5" customHeight="1">
      <c r="A124" s="202"/>
      <c r="B124" s="81"/>
      <c r="C124" s="310">
        <v>4260</v>
      </c>
      <c r="D124" s="312" t="s">
        <v>174</v>
      </c>
      <c r="E124" s="151">
        <v>1949760</v>
      </c>
      <c r="F124" s="151"/>
      <c r="G124" s="151">
        <v>15000</v>
      </c>
      <c r="H124" s="151">
        <f t="shared" si="0"/>
        <v>1964760</v>
      </c>
      <c r="I124" s="156"/>
      <c r="J124" s="156"/>
      <c r="L124" s="156"/>
    </row>
    <row r="125" spans="1:12" s="157" customFormat="1" ht="19.5" customHeight="1">
      <c r="A125" s="202"/>
      <c r="B125" s="81"/>
      <c r="C125" s="310">
        <v>4270</v>
      </c>
      <c r="D125" s="312" t="s">
        <v>354</v>
      </c>
      <c r="E125" s="151">
        <v>640143</v>
      </c>
      <c r="F125" s="151"/>
      <c r="G125" s="151">
        <f>29000+250000</f>
        <v>279000</v>
      </c>
      <c r="H125" s="151">
        <f>E125+G125-F125</f>
        <v>919143</v>
      </c>
      <c r="I125" s="156"/>
      <c r="J125" s="156"/>
      <c r="L125" s="156"/>
    </row>
    <row r="126" spans="1:12" s="565" customFormat="1" ht="27" customHeight="1">
      <c r="A126" s="202"/>
      <c r="B126" s="81"/>
      <c r="C126" s="109"/>
      <c r="D126" s="748" t="s">
        <v>409</v>
      </c>
      <c r="E126" s="142">
        <v>4100000</v>
      </c>
      <c r="F126" s="564">
        <f>SUM(F127:F128)</f>
        <v>89000</v>
      </c>
      <c r="G126" s="564">
        <f>SUM(G127:G128)</f>
        <v>89000</v>
      </c>
      <c r="H126" s="564">
        <f aca="true" t="shared" si="3" ref="H126:H135">E126+G126-F126</f>
        <v>4100000</v>
      </c>
      <c r="I126" s="156"/>
      <c r="J126" s="156"/>
      <c r="L126" s="566"/>
    </row>
    <row r="127" spans="1:12" s="565" customFormat="1" ht="27.75" customHeight="1">
      <c r="A127" s="202"/>
      <c r="B127" s="81"/>
      <c r="C127" s="82">
        <v>2540</v>
      </c>
      <c r="D127" s="529" t="s">
        <v>155</v>
      </c>
      <c r="E127" s="151">
        <v>2280000</v>
      </c>
      <c r="F127" s="552"/>
      <c r="G127" s="552">
        <f>98000-9000</f>
        <v>89000</v>
      </c>
      <c r="H127" s="552">
        <f t="shared" si="3"/>
        <v>2369000</v>
      </c>
      <c r="I127" s="156"/>
      <c r="J127" s="156"/>
      <c r="L127" s="566"/>
    </row>
    <row r="128" spans="1:12" s="565" customFormat="1" ht="38.25" customHeight="1">
      <c r="A128" s="202"/>
      <c r="B128" s="81"/>
      <c r="C128" s="82">
        <v>2590</v>
      </c>
      <c r="D128" s="529" t="s">
        <v>496</v>
      </c>
      <c r="E128" s="916">
        <v>1820000</v>
      </c>
      <c r="F128" s="917">
        <v>89000</v>
      </c>
      <c r="G128" s="917"/>
      <c r="H128" s="552">
        <f t="shared" si="3"/>
        <v>1731000</v>
      </c>
      <c r="I128" s="156"/>
      <c r="J128" s="156"/>
      <c r="L128" s="566"/>
    </row>
    <row r="129" spans="1:12" s="130" customFormat="1" ht="21" customHeight="1">
      <c r="A129" s="80"/>
      <c r="B129" s="66"/>
      <c r="C129" s="66"/>
      <c r="D129" s="571" t="s">
        <v>202</v>
      </c>
      <c r="E129" s="142">
        <v>2089220</v>
      </c>
      <c r="F129" s="142"/>
      <c r="G129" s="142">
        <f>G131</f>
        <v>33000</v>
      </c>
      <c r="H129" s="142">
        <f t="shared" si="3"/>
        <v>2122220</v>
      </c>
      <c r="I129" s="137"/>
      <c r="J129" s="137"/>
      <c r="L129" s="137"/>
    </row>
    <row r="130" spans="1:12" s="155" customFormat="1" ht="29.25" customHeight="1">
      <c r="A130" s="203"/>
      <c r="B130" s="167"/>
      <c r="C130" s="167"/>
      <c r="D130" s="882" t="s">
        <v>459</v>
      </c>
      <c r="E130" s="457">
        <v>317000</v>
      </c>
      <c r="F130" s="457"/>
      <c r="G130" s="457">
        <v>33000</v>
      </c>
      <c r="H130" s="457">
        <f t="shared" si="3"/>
        <v>350000</v>
      </c>
      <c r="I130" s="154"/>
      <c r="J130" s="154"/>
      <c r="L130" s="154"/>
    </row>
    <row r="131" spans="1:12" s="157" customFormat="1" ht="21" customHeight="1">
      <c r="A131" s="202"/>
      <c r="B131" s="82"/>
      <c r="C131" s="82">
        <v>6050</v>
      </c>
      <c r="D131" s="529" t="s">
        <v>197</v>
      </c>
      <c r="E131" s="151">
        <v>2089220</v>
      </c>
      <c r="F131" s="151"/>
      <c r="G131" s="151">
        <f>G130</f>
        <v>33000</v>
      </c>
      <c r="H131" s="151">
        <f t="shared" si="3"/>
        <v>2122220</v>
      </c>
      <c r="I131" s="156"/>
      <c r="J131" s="156"/>
      <c r="L131" s="156"/>
    </row>
    <row r="132" spans="1:12" s="95" customFormat="1" ht="18.75" customHeight="1">
      <c r="A132" s="76"/>
      <c r="B132" s="77">
        <v>80123</v>
      </c>
      <c r="C132" s="77"/>
      <c r="D132" s="77" t="s">
        <v>329</v>
      </c>
      <c r="E132" s="136">
        <v>8596000</v>
      </c>
      <c r="F132" s="79"/>
      <c r="G132" s="79">
        <f>G133</f>
        <v>9500</v>
      </c>
      <c r="H132" s="79">
        <f t="shared" si="3"/>
        <v>8605500</v>
      </c>
      <c r="I132" s="137"/>
      <c r="J132" s="137"/>
      <c r="L132" s="94"/>
    </row>
    <row r="133" spans="1:12" s="95" customFormat="1" ht="19.5" customHeight="1">
      <c r="A133" s="80"/>
      <c r="B133" s="464"/>
      <c r="C133" s="464"/>
      <c r="D133" s="537" t="s">
        <v>117</v>
      </c>
      <c r="E133" s="142">
        <v>648900</v>
      </c>
      <c r="F133" s="564"/>
      <c r="G133" s="564">
        <f>SUM(G134:G135)</f>
        <v>9500</v>
      </c>
      <c r="H133" s="564">
        <f t="shared" si="3"/>
        <v>658400</v>
      </c>
      <c r="I133" s="137"/>
      <c r="J133" s="137"/>
      <c r="L133" s="94"/>
    </row>
    <row r="134" spans="1:12" s="565" customFormat="1" ht="18" customHeight="1">
      <c r="A134" s="202"/>
      <c r="B134" s="81"/>
      <c r="C134" s="82">
        <v>4210</v>
      </c>
      <c r="D134" s="918" t="s">
        <v>113</v>
      </c>
      <c r="E134" s="151">
        <v>42290</v>
      </c>
      <c r="F134" s="552"/>
      <c r="G134" s="552">
        <v>1500</v>
      </c>
      <c r="H134" s="552">
        <f t="shared" si="3"/>
        <v>43790</v>
      </c>
      <c r="I134" s="156"/>
      <c r="J134" s="156"/>
      <c r="L134" s="566"/>
    </row>
    <row r="135" spans="1:12" s="157" customFormat="1" ht="21" customHeight="1">
      <c r="A135" s="202"/>
      <c r="B135" s="81"/>
      <c r="C135" s="310">
        <v>4260</v>
      </c>
      <c r="D135" s="312" t="s">
        <v>174</v>
      </c>
      <c r="E135" s="151">
        <v>169830</v>
      </c>
      <c r="F135" s="151"/>
      <c r="G135" s="151">
        <v>8000</v>
      </c>
      <c r="H135" s="151">
        <f t="shared" si="3"/>
        <v>177830</v>
      </c>
      <c r="I135" s="156"/>
      <c r="J135" s="156"/>
      <c r="L135" s="156"/>
    </row>
    <row r="136" spans="1:12" s="95" customFormat="1" ht="19.5" customHeight="1">
      <c r="A136" s="76"/>
      <c r="B136" s="77">
        <v>80130</v>
      </c>
      <c r="C136" s="77"/>
      <c r="D136" s="77" t="s">
        <v>144</v>
      </c>
      <c r="E136" s="136">
        <v>49549723</v>
      </c>
      <c r="F136" s="79">
        <f>F137+F140+F143</f>
        <v>749929</v>
      </c>
      <c r="G136" s="79">
        <f>G137+G140</f>
        <v>425523</v>
      </c>
      <c r="H136" s="79">
        <f aca="true" t="shared" si="4" ref="H136:H142">E136+G136-F136</f>
        <v>49225317</v>
      </c>
      <c r="I136" s="137"/>
      <c r="J136" s="137"/>
      <c r="L136" s="94"/>
    </row>
    <row r="137" spans="1:12" s="95" customFormat="1" ht="19.5" customHeight="1">
      <c r="A137" s="80"/>
      <c r="B137" s="464"/>
      <c r="C137" s="464"/>
      <c r="D137" s="537" t="s">
        <v>117</v>
      </c>
      <c r="E137" s="142">
        <v>4899472</v>
      </c>
      <c r="F137" s="564">
        <f>SUM(F138:F138)</f>
        <v>25500</v>
      </c>
      <c r="G137" s="564">
        <f>G139</f>
        <v>205575</v>
      </c>
      <c r="H137" s="564">
        <f t="shared" si="4"/>
        <v>5079547</v>
      </c>
      <c r="I137" s="137"/>
      <c r="J137" s="137"/>
      <c r="L137" s="94"/>
    </row>
    <row r="138" spans="1:12" s="565" customFormat="1" ht="19.5" customHeight="1">
      <c r="A138" s="202"/>
      <c r="B138" s="81"/>
      <c r="C138" s="82">
        <v>4260</v>
      </c>
      <c r="D138" s="534" t="s">
        <v>174</v>
      </c>
      <c r="E138" s="151">
        <v>1690796</v>
      </c>
      <c r="F138" s="552">
        <f>60500-35000</f>
        <v>25500</v>
      </c>
      <c r="G138" s="552"/>
      <c r="H138" s="552">
        <f t="shared" si="4"/>
        <v>1665296</v>
      </c>
      <c r="I138" s="156"/>
      <c r="J138" s="156"/>
      <c r="L138" s="566"/>
    </row>
    <row r="139" spans="1:12" s="157" customFormat="1" ht="19.5" customHeight="1">
      <c r="A139" s="202"/>
      <c r="B139" s="81"/>
      <c r="C139" s="310">
        <v>4270</v>
      </c>
      <c r="D139" s="312" t="s">
        <v>354</v>
      </c>
      <c r="E139" s="151">
        <v>437166</v>
      </c>
      <c r="F139" s="151"/>
      <c r="G139" s="151">
        <f>25575+180000</f>
        <v>205575</v>
      </c>
      <c r="H139" s="151">
        <f t="shared" si="4"/>
        <v>642741</v>
      </c>
      <c r="I139" s="156"/>
      <c r="J139" s="156"/>
      <c r="L139" s="156"/>
    </row>
    <row r="140" spans="1:12" s="565" customFormat="1" ht="19.5" customHeight="1">
      <c r="A140" s="202"/>
      <c r="B140" s="81"/>
      <c r="C140" s="109"/>
      <c r="D140" s="748" t="s">
        <v>497</v>
      </c>
      <c r="E140" s="142">
        <v>5200000</v>
      </c>
      <c r="F140" s="564">
        <f>SUM(F141:F142)</f>
        <v>219948</v>
      </c>
      <c r="G140" s="564">
        <f>SUM(G141:G142)</f>
        <v>219948</v>
      </c>
      <c r="H140" s="564">
        <f t="shared" si="4"/>
        <v>5200000</v>
      </c>
      <c r="I140" s="156"/>
      <c r="J140" s="156"/>
      <c r="L140" s="566"/>
    </row>
    <row r="141" spans="1:12" s="565" customFormat="1" ht="27.75" customHeight="1">
      <c r="A141" s="540"/>
      <c r="B141" s="82"/>
      <c r="C141" s="82">
        <v>2540</v>
      </c>
      <c r="D141" s="529" t="s">
        <v>155</v>
      </c>
      <c r="E141" s="151">
        <v>4100000</v>
      </c>
      <c r="F141" s="552">
        <v>219948</v>
      </c>
      <c r="G141" s="552"/>
      <c r="H141" s="552">
        <f t="shared" si="4"/>
        <v>3880052</v>
      </c>
      <c r="I141" s="156"/>
      <c r="J141" s="156"/>
      <c r="L141" s="566"/>
    </row>
    <row r="142" spans="1:12" s="565" customFormat="1" ht="38.25" customHeight="1">
      <c r="A142" s="202"/>
      <c r="B142" s="81"/>
      <c r="C142" s="82">
        <v>2590</v>
      </c>
      <c r="D142" s="529" t="s">
        <v>496</v>
      </c>
      <c r="E142" s="151">
        <v>1100000</v>
      </c>
      <c r="F142" s="552"/>
      <c r="G142" s="552">
        <v>219948</v>
      </c>
      <c r="H142" s="552">
        <f t="shared" si="4"/>
        <v>1319948</v>
      </c>
      <c r="I142" s="156"/>
      <c r="J142" s="156"/>
      <c r="L142" s="566"/>
    </row>
    <row r="143" spans="1:12" s="130" customFormat="1" ht="21" customHeight="1">
      <c r="A143" s="80"/>
      <c r="B143" s="66"/>
      <c r="C143" s="66"/>
      <c r="D143" s="571" t="s">
        <v>202</v>
      </c>
      <c r="E143" s="142">
        <v>9988071</v>
      </c>
      <c r="F143" s="142">
        <f>F145</f>
        <v>504481</v>
      </c>
      <c r="G143" s="142"/>
      <c r="H143" s="142">
        <f>E143+G143-F143</f>
        <v>9483590</v>
      </c>
      <c r="I143" s="137"/>
      <c r="J143" s="137"/>
      <c r="L143" s="137"/>
    </row>
    <row r="144" spans="1:12" s="155" customFormat="1" ht="21" customHeight="1">
      <c r="A144" s="203"/>
      <c r="B144" s="167"/>
      <c r="C144" s="167"/>
      <c r="D144" s="555" t="s">
        <v>355</v>
      </c>
      <c r="E144" s="457">
        <v>4107881</v>
      </c>
      <c r="F144" s="457">
        <v>504481</v>
      </c>
      <c r="G144" s="457"/>
      <c r="H144" s="457">
        <f>E144+G144-F144</f>
        <v>3603400</v>
      </c>
      <c r="I144" s="154"/>
      <c r="J144" s="154"/>
      <c r="L144" s="154"/>
    </row>
    <row r="145" spans="1:12" s="157" customFormat="1" ht="21" customHeight="1">
      <c r="A145" s="202"/>
      <c r="B145" s="82"/>
      <c r="C145" s="82">
        <v>6050</v>
      </c>
      <c r="D145" s="529" t="s">
        <v>197</v>
      </c>
      <c r="E145" s="151">
        <v>9188071</v>
      </c>
      <c r="F145" s="151">
        <f>F144</f>
        <v>504481</v>
      </c>
      <c r="G145" s="151"/>
      <c r="H145" s="151">
        <f>E145+G145-F145</f>
        <v>8683590</v>
      </c>
      <c r="I145" s="156"/>
      <c r="J145" s="156"/>
      <c r="L145" s="156"/>
    </row>
    <row r="146" spans="1:12" s="95" customFormat="1" ht="25.5">
      <c r="A146" s="76"/>
      <c r="B146" s="78">
        <v>80140</v>
      </c>
      <c r="C146" s="78"/>
      <c r="D146" s="426" t="s">
        <v>498</v>
      </c>
      <c r="E146" s="563">
        <v>10797620</v>
      </c>
      <c r="F146" s="523"/>
      <c r="G146" s="523">
        <f>G147</f>
        <v>1000</v>
      </c>
      <c r="H146" s="523">
        <f aca="true" t="shared" si="5" ref="H146:H151">E146+G146-F146</f>
        <v>10798620</v>
      </c>
      <c r="I146" s="137"/>
      <c r="J146" s="137"/>
      <c r="L146" s="94"/>
    </row>
    <row r="147" spans="1:12" s="95" customFormat="1" ht="18.75" customHeight="1">
      <c r="A147" s="80"/>
      <c r="B147" s="464"/>
      <c r="C147" s="464"/>
      <c r="D147" s="537" t="s">
        <v>117</v>
      </c>
      <c r="E147" s="142">
        <v>1164200</v>
      </c>
      <c r="F147" s="564"/>
      <c r="G147" s="564">
        <f>G148</f>
        <v>1000</v>
      </c>
      <c r="H147" s="564">
        <f t="shared" si="5"/>
        <v>1165200</v>
      </c>
      <c r="I147" s="137"/>
      <c r="J147" s="137"/>
      <c r="L147" s="94"/>
    </row>
    <row r="148" spans="1:12" s="565" customFormat="1" ht="18.75" customHeight="1">
      <c r="A148" s="202"/>
      <c r="B148" s="82"/>
      <c r="C148" s="82">
        <v>4260</v>
      </c>
      <c r="D148" s="918" t="s">
        <v>174</v>
      </c>
      <c r="E148" s="151">
        <v>335300</v>
      </c>
      <c r="F148" s="552"/>
      <c r="G148" s="552">
        <v>1000</v>
      </c>
      <c r="H148" s="552">
        <f t="shared" si="5"/>
        <v>336300</v>
      </c>
      <c r="I148" s="156"/>
      <c r="J148" s="156"/>
      <c r="L148" s="566"/>
    </row>
    <row r="149" spans="1:12" s="95" customFormat="1" ht="18.75" customHeight="1">
      <c r="A149" s="76"/>
      <c r="B149" s="78">
        <v>80195</v>
      </c>
      <c r="C149" s="78"/>
      <c r="D149" s="78" t="s">
        <v>96</v>
      </c>
      <c r="E149" s="563">
        <v>2896614</v>
      </c>
      <c r="F149" s="523"/>
      <c r="G149" s="523">
        <f>G150</f>
        <v>19947</v>
      </c>
      <c r="H149" s="523">
        <f t="shared" si="5"/>
        <v>2916561</v>
      </c>
      <c r="I149" s="137"/>
      <c r="J149" s="137"/>
      <c r="L149" s="94"/>
    </row>
    <row r="150" spans="1:12" s="95" customFormat="1" ht="27.75" customHeight="1">
      <c r="A150" s="80"/>
      <c r="B150" s="464"/>
      <c r="C150" s="464"/>
      <c r="D150" s="536" t="s">
        <v>445</v>
      </c>
      <c r="E150" s="142"/>
      <c r="F150" s="564"/>
      <c r="G150" s="564">
        <f>G151</f>
        <v>19947</v>
      </c>
      <c r="H150" s="564">
        <f t="shared" si="5"/>
        <v>19947</v>
      </c>
      <c r="I150" s="137"/>
      <c r="J150" s="137"/>
      <c r="L150" s="94"/>
    </row>
    <row r="151" spans="1:12" s="565" customFormat="1" ht="18.75" customHeight="1">
      <c r="A151" s="202"/>
      <c r="B151" s="81"/>
      <c r="C151" s="82">
        <v>4300</v>
      </c>
      <c r="D151" s="534" t="s">
        <v>114</v>
      </c>
      <c r="E151" s="151"/>
      <c r="F151" s="552"/>
      <c r="G151" s="552">
        <v>19947</v>
      </c>
      <c r="H151" s="552">
        <f t="shared" si="5"/>
        <v>19947</v>
      </c>
      <c r="I151" s="156"/>
      <c r="J151" s="156"/>
      <c r="L151" s="566"/>
    </row>
    <row r="152" spans="1:12" ht="21" customHeight="1">
      <c r="A152" s="72">
        <v>851</v>
      </c>
      <c r="B152" s="89"/>
      <c r="C152" s="73"/>
      <c r="D152" s="92" t="s">
        <v>100</v>
      </c>
      <c r="E152" s="74">
        <v>6235000</v>
      </c>
      <c r="F152" s="75">
        <f>F153</f>
        <v>20810</v>
      </c>
      <c r="G152" s="75">
        <f>G153</f>
        <v>20810</v>
      </c>
      <c r="H152" s="75">
        <f t="shared" si="0"/>
        <v>6235000</v>
      </c>
      <c r="I152" s="47"/>
      <c r="J152" s="47"/>
      <c r="L152" s="47"/>
    </row>
    <row r="153" spans="1:12" s="130" customFormat="1" ht="21" customHeight="1">
      <c r="A153" s="76"/>
      <c r="B153" s="78">
        <v>85154</v>
      </c>
      <c r="C153" s="78"/>
      <c r="D153" s="78" t="s">
        <v>123</v>
      </c>
      <c r="E153" s="136">
        <v>4345000</v>
      </c>
      <c r="F153" s="136">
        <f>F154</f>
        <v>20810</v>
      </c>
      <c r="G153" s="136">
        <f>G154</f>
        <v>20810</v>
      </c>
      <c r="H153" s="136">
        <f t="shared" si="0"/>
        <v>4345000</v>
      </c>
      <c r="I153" s="137"/>
      <c r="J153" s="137"/>
      <c r="L153" s="137"/>
    </row>
    <row r="154" spans="1:12" s="130" customFormat="1" ht="29.25" customHeight="1">
      <c r="A154" s="80"/>
      <c r="B154" s="464"/>
      <c r="C154" s="464"/>
      <c r="D154" s="609" t="s">
        <v>430</v>
      </c>
      <c r="E154" s="610">
        <v>4345000</v>
      </c>
      <c r="F154" s="610">
        <f>F155+F157+F164+F166</f>
        <v>20810</v>
      </c>
      <c r="G154" s="610">
        <f>G155+G157+G164+G166</f>
        <v>20810</v>
      </c>
      <c r="H154" s="610">
        <f t="shared" si="0"/>
        <v>4345000</v>
      </c>
      <c r="I154" s="137"/>
      <c r="J154" s="137"/>
      <c r="L154" s="137"/>
    </row>
    <row r="155" spans="1:12" s="157" customFormat="1" ht="28.5" customHeight="1">
      <c r="A155" s="202"/>
      <c r="B155" s="81"/>
      <c r="C155" s="66"/>
      <c r="D155" s="532" t="s">
        <v>507</v>
      </c>
      <c r="E155" s="533">
        <v>408000</v>
      </c>
      <c r="F155" s="533">
        <f>F156</f>
        <v>18000</v>
      </c>
      <c r="G155" s="533"/>
      <c r="H155" s="533">
        <f t="shared" si="0"/>
        <v>390000</v>
      </c>
      <c r="I155" s="156"/>
      <c r="J155" s="156"/>
      <c r="L155" s="156"/>
    </row>
    <row r="156" spans="1:12" s="130" customFormat="1" ht="21" customHeight="1">
      <c r="A156" s="80"/>
      <c r="B156" s="66"/>
      <c r="C156" s="82">
        <v>4170</v>
      </c>
      <c r="D156" s="83" t="s">
        <v>124</v>
      </c>
      <c r="E156" s="84">
        <v>47504</v>
      </c>
      <c r="F156" s="84">
        <v>18000</v>
      </c>
      <c r="G156" s="84"/>
      <c r="H156" s="144">
        <f>E156+G156-F156</f>
        <v>29504</v>
      </c>
      <c r="I156" s="137"/>
      <c r="J156" s="137"/>
      <c r="L156" s="137"/>
    </row>
    <row r="157" spans="1:12" s="157" customFormat="1" ht="74.25" customHeight="1">
      <c r="A157" s="202"/>
      <c r="B157" s="81"/>
      <c r="C157" s="66"/>
      <c r="D157" s="748" t="s">
        <v>429</v>
      </c>
      <c r="E157" s="864">
        <v>1837000</v>
      </c>
      <c r="F157" s="864">
        <f>SUM(F158:F163)</f>
        <v>2810</v>
      </c>
      <c r="G157" s="864">
        <f>SUM(G158:G163)</f>
        <v>2810</v>
      </c>
      <c r="H157" s="864">
        <f t="shared" si="0"/>
        <v>1837000</v>
      </c>
      <c r="I157" s="156"/>
      <c r="J157" s="156"/>
      <c r="L157" s="156"/>
    </row>
    <row r="158" spans="1:12" s="130" customFormat="1" ht="21" customHeight="1">
      <c r="A158" s="203"/>
      <c r="B158" s="167"/>
      <c r="C158" s="534">
        <v>4110</v>
      </c>
      <c r="D158" s="534" t="s">
        <v>171</v>
      </c>
      <c r="E158" s="411">
        <v>52338</v>
      </c>
      <c r="F158" s="411"/>
      <c r="G158" s="411">
        <f>1324-193+84</f>
        <v>1215</v>
      </c>
      <c r="H158" s="151">
        <f>E158-F158+G158</f>
        <v>53553</v>
      </c>
      <c r="I158" s="137"/>
      <c r="J158" s="137"/>
      <c r="L158" s="137"/>
    </row>
    <row r="159" spans="1:12" s="130" customFormat="1" ht="21" customHeight="1">
      <c r="A159" s="203"/>
      <c r="B159" s="167"/>
      <c r="C159" s="82">
        <v>4120</v>
      </c>
      <c r="D159" s="83" t="s">
        <v>172</v>
      </c>
      <c r="E159" s="411">
        <v>7609</v>
      </c>
      <c r="F159" s="411"/>
      <c r="G159" s="411">
        <f>187-23+12</f>
        <v>176</v>
      </c>
      <c r="H159" s="151">
        <f>E159-F159+G159</f>
        <v>7785</v>
      </c>
      <c r="I159" s="137"/>
      <c r="J159" s="137"/>
      <c r="L159" s="137"/>
    </row>
    <row r="160" spans="1:12" s="157" customFormat="1" ht="21" customHeight="1">
      <c r="A160" s="202"/>
      <c r="B160" s="81"/>
      <c r="C160" s="82">
        <v>4170</v>
      </c>
      <c r="D160" s="534" t="s">
        <v>124</v>
      </c>
      <c r="E160" s="151">
        <v>389255</v>
      </c>
      <c r="F160" s="151"/>
      <c r="G160" s="151">
        <f>-1606+216+484+1050</f>
        <v>144</v>
      </c>
      <c r="H160" s="151">
        <f t="shared" si="0"/>
        <v>389399</v>
      </c>
      <c r="I160" s="156"/>
      <c r="J160" s="156"/>
      <c r="L160" s="156"/>
    </row>
    <row r="161" spans="1:12" s="130" customFormat="1" ht="21" customHeight="1">
      <c r="A161" s="76"/>
      <c r="B161" s="447"/>
      <c r="C161" s="82">
        <v>4210</v>
      </c>
      <c r="D161" s="83" t="s">
        <v>113</v>
      </c>
      <c r="E161" s="84">
        <v>147534</v>
      </c>
      <c r="F161" s="84"/>
      <c r="G161" s="84">
        <f>480+500+95</f>
        <v>1075</v>
      </c>
      <c r="H161" s="84">
        <f t="shared" si="0"/>
        <v>148609</v>
      </c>
      <c r="I161" s="137"/>
      <c r="J161" s="137"/>
      <c r="L161" s="137"/>
    </row>
    <row r="162" spans="1:12" s="130" customFormat="1" ht="21" customHeight="1">
      <c r="A162" s="76"/>
      <c r="B162" s="447"/>
      <c r="C162" s="82">
        <v>4300</v>
      </c>
      <c r="D162" s="83" t="s">
        <v>114</v>
      </c>
      <c r="E162" s="84">
        <v>590459</v>
      </c>
      <c r="F162" s="84">
        <f>15750-5440-7500</f>
        <v>2810</v>
      </c>
      <c r="G162" s="84"/>
      <c r="H162" s="84">
        <f t="shared" si="0"/>
        <v>587649</v>
      </c>
      <c r="I162" s="137"/>
      <c r="J162" s="137"/>
      <c r="L162" s="137"/>
    </row>
    <row r="163" spans="1:12" s="130" customFormat="1" ht="21" customHeight="1">
      <c r="A163" s="76"/>
      <c r="B163" s="447"/>
      <c r="C163" s="81">
        <v>4430</v>
      </c>
      <c r="D163" s="865" t="s">
        <v>176</v>
      </c>
      <c r="E163" s="943">
        <v>380</v>
      </c>
      <c r="F163" s="943"/>
      <c r="G163" s="943">
        <v>200</v>
      </c>
      <c r="H163" s="84">
        <f t="shared" si="0"/>
        <v>580</v>
      </c>
      <c r="I163" s="137"/>
      <c r="J163" s="137"/>
      <c r="L163" s="137"/>
    </row>
    <row r="164" spans="1:12" s="130" customFormat="1" ht="21" customHeight="1">
      <c r="A164" s="203"/>
      <c r="B164" s="167"/>
      <c r="C164" s="464"/>
      <c r="D164" s="536" t="s">
        <v>56</v>
      </c>
      <c r="E164" s="473">
        <v>220000</v>
      </c>
      <c r="F164" s="473"/>
      <c r="G164" s="473">
        <f>G165</f>
        <v>12000</v>
      </c>
      <c r="H164" s="787">
        <f t="shared" si="0"/>
        <v>232000</v>
      </c>
      <c r="I164" s="137"/>
      <c r="J164" s="137"/>
      <c r="L164" s="137"/>
    </row>
    <row r="165" spans="1:12" s="130" customFormat="1" ht="21" customHeight="1">
      <c r="A165" s="222"/>
      <c r="B165" s="313"/>
      <c r="C165" s="82">
        <v>4430</v>
      </c>
      <c r="D165" s="83" t="s">
        <v>176</v>
      </c>
      <c r="E165" s="411">
        <v>5000</v>
      </c>
      <c r="F165" s="411"/>
      <c r="G165" s="411">
        <v>12000</v>
      </c>
      <c r="H165" s="151">
        <f t="shared" si="0"/>
        <v>17000</v>
      </c>
      <c r="I165" s="137"/>
      <c r="J165" s="137"/>
      <c r="L165" s="137"/>
    </row>
    <row r="166" spans="1:12" s="130" customFormat="1" ht="21" customHeight="1">
      <c r="A166" s="203"/>
      <c r="B166" s="167"/>
      <c r="C166" s="81"/>
      <c r="D166" s="748" t="s">
        <v>508</v>
      </c>
      <c r="E166" s="944">
        <v>280000</v>
      </c>
      <c r="F166" s="944"/>
      <c r="G166" s="944">
        <f>G167</f>
        <v>6000</v>
      </c>
      <c r="H166" s="864">
        <f t="shared" si="0"/>
        <v>286000</v>
      </c>
      <c r="I166" s="137"/>
      <c r="J166" s="137"/>
      <c r="L166" s="137"/>
    </row>
    <row r="167" spans="1:12" s="130" customFormat="1" ht="21" customHeight="1">
      <c r="A167" s="222"/>
      <c r="B167" s="313"/>
      <c r="C167" s="82">
        <v>4300</v>
      </c>
      <c r="D167" s="83" t="s">
        <v>114</v>
      </c>
      <c r="E167" s="411">
        <v>83000</v>
      </c>
      <c r="F167" s="411"/>
      <c r="G167" s="411">
        <v>6000</v>
      </c>
      <c r="H167" s="151">
        <f t="shared" si="0"/>
        <v>89000</v>
      </c>
      <c r="I167" s="137"/>
      <c r="J167" s="137"/>
      <c r="L167" s="137"/>
    </row>
    <row r="168" spans="1:12" ht="21" customHeight="1">
      <c r="A168" s="428">
        <v>852</v>
      </c>
      <c r="B168" s="73"/>
      <c r="C168" s="73"/>
      <c r="D168" s="92" t="s">
        <v>98</v>
      </c>
      <c r="E168" s="74">
        <v>96469010</v>
      </c>
      <c r="F168" s="75">
        <f>F169+F172+F182+F185</f>
        <v>24302</v>
      </c>
      <c r="G168" s="75">
        <f>G169+G172+G182+G185</f>
        <v>858385</v>
      </c>
      <c r="H168" s="75">
        <f t="shared" si="0"/>
        <v>97303093</v>
      </c>
      <c r="I168" s="47"/>
      <c r="J168" s="47"/>
      <c r="L168" s="47"/>
    </row>
    <row r="169" spans="1:12" s="130" customFormat="1" ht="21" customHeight="1">
      <c r="A169" s="93"/>
      <c r="B169" s="78">
        <v>85201</v>
      </c>
      <c r="C169" s="78"/>
      <c r="D169" s="426" t="s">
        <v>342</v>
      </c>
      <c r="E169" s="987">
        <v>10873282</v>
      </c>
      <c r="F169" s="987"/>
      <c r="G169" s="987">
        <f>G170</f>
        <v>420000</v>
      </c>
      <c r="H169" s="987">
        <f t="shared" si="0"/>
        <v>11293282</v>
      </c>
      <c r="I169" s="137"/>
      <c r="J169" s="137"/>
      <c r="L169" s="137"/>
    </row>
    <row r="170" spans="1:12" s="155" customFormat="1" ht="25.5">
      <c r="A170" s="784"/>
      <c r="B170" s="66"/>
      <c r="C170" s="66"/>
      <c r="D170" s="782" t="s">
        <v>26</v>
      </c>
      <c r="E170" s="985">
        <v>2300000</v>
      </c>
      <c r="F170" s="985"/>
      <c r="G170" s="986">
        <f>G171</f>
        <v>420000</v>
      </c>
      <c r="H170" s="787">
        <f t="shared" si="0"/>
        <v>2720000</v>
      </c>
      <c r="I170" s="154"/>
      <c r="J170" s="154"/>
      <c r="L170" s="154"/>
    </row>
    <row r="171" spans="1:12" s="155" customFormat="1" ht="38.25">
      <c r="A171" s="784"/>
      <c r="B171" s="69"/>
      <c r="C171" s="82">
        <v>2320</v>
      </c>
      <c r="D171" s="529" t="s">
        <v>22</v>
      </c>
      <c r="E171" s="153">
        <v>2300000</v>
      </c>
      <c r="F171" s="153"/>
      <c r="G171" s="153">
        <v>420000</v>
      </c>
      <c r="H171" s="151">
        <f t="shared" si="0"/>
        <v>2720000</v>
      </c>
      <c r="I171" s="154"/>
      <c r="J171" s="154"/>
      <c r="L171" s="154"/>
    </row>
    <row r="172" spans="1:12" s="130" customFormat="1" ht="21" customHeight="1">
      <c r="A172" s="76"/>
      <c r="B172" s="77">
        <v>85202</v>
      </c>
      <c r="C172" s="77"/>
      <c r="D172" s="316" t="s">
        <v>270</v>
      </c>
      <c r="E172" s="136">
        <v>18053561</v>
      </c>
      <c r="F172" s="136">
        <f>F173+F179+F177</f>
        <v>24302</v>
      </c>
      <c r="G172" s="136">
        <f>G173+G179+G177</f>
        <v>143942</v>
      </c>
      <c r="H172" s="136">
        <f t="shared" si="0"/>
        <v>18173201</v>
      </c>
      <c r="I172" s="137"/>
      <c r="J172" s="137"/>
      <c r="L172" s="137"/>
    </row>
    <row r="173" spans="1:12" s="130" customFormat="1" ht="21" customHeight="1">
      <c r="A173" s="204"/>
      <c r="B173" s="213"/>
      <c r="C173" s="213"/>
      <c r="D173" s="699" t="s">
        <v>117</v>
      </c>
      <c r="E173" s="261">
        <v>3702644</v>
      </c>
      <c r="F173" s="261">
        <f>SUM(F174:F176)</f>
        <v>360</v>
      </c>
      <c r="G173" s="261">
        <f>SUM(G174:G176)</f>
        <v>23942</v>
      </c>
      <c r="H173" s="261">
        <f aca="true" t="shared" si="6" ref="H173:H178">E173+G173-F173</f>
        <v>3726226</v>
      </c>
      <c r="I173" s="137"/>
      <c r="J173" s="137"/>
      <c r="L173" s="137"/>
    </row>
    <row r="174" spans="1:12" s="155" customFormat="1" ht="19.5" customHeight="1">
      <c r="A174" s="203"/>
      <c r="B174" s="167"/>
      <c r="C174" s="82">
        <v>3020</v>
      </c>
      <c r="D174" s="901" t="s">
        <v>292</v>
      </c>
      <c r="E174" s="153">
        <v>60310</v>
      </c>
      <c r="F174" s="153">
        <v>360</v>
      </c>
      <c r="G174" s="153"/>
      <c r="H174" s="153">
        <f t="shared" si="6"/>
        <v>59950</v>
      </c>
      <c r="I174" s="154"/>
      <c r="J174" s="154"/>
      <c r="L174" s="154"/>
    </row>
    <row r="175" spans="1:12" s="155" customFormat="1" ht="19.5" customHeight="1">
      <c r="A175" s="203"/>
      <c r="B175" s="167"/>
      <c r="C175" s="82">
        <v>4210</v>
      </c>
      <c r="D175" s="82" t="s">
        <v>113</v>
      </c>
      <c r="E175" s="153">
        <v>488820</v>
      </c>
      <c r="F175" s="153"/>
      <c r="G175" s="153">
        <v>6000</v>
      </c>
      <c r="H175" s="153">
        <f t="shared" si="6"/>
        <v>494820</v>
      </c>
      <c r="I175" s="154"/>
      <c r="J175" s="154"/>
      <c r="L175" s="154"/>
    </row>
    <row r="176" spans="1:12" s="155" customFormat="1" ht="19.5" customHeight="1">
      <c r="A176" s="181"/>
      <c r="B176" s="66"/>
      <c r="C176" s="82">
        <v>4260</v>
      </c>
      <c r="D176" s="529" t="s">
        <v>174</v>
      </c>
      <c r="E176" s="153">
        <v>861000</v>
      </c>
      <c r="F176" s="153"/>
      <c r="G176" s="153">
        <v>17942</v>
      </c>
      <c r="H176" s="153">
        <f t="shared" si="6"/>
        <v>878942</v>
      </c>
      <c r="I176" s="154"/>
      <c r="J176" s="154"/>
      <c r="L176" s="154"/>
    </row>
    <row r="177" spans="1:12" s="155" customFormat="1" ht="25.5">
      <c r="A177" s="181"/>
      <c r="B177" s="66"/>
      <c r="C177" s="66"/>
      <c r="D177" s="536" t="s">
        <v>1</v>
      </c>
      <c r="E177" s="986">
        <v>800000</v>
      </c>
      <c r="F177" s="985"/>
      <c r="G177" s="986">
        <f>G178</f>
        <v>120000</v>
      </c>
      <c r="H177" s="261">
        <f t="shared" si="6"/>
        <v>920000</v>
      </c>
      <c r="I177" s="154"/>
      <c r="J177" s="154"/>
      <c r="L177" s="154"/>
    </row>
    <row r="178" spans="1:12" s="155" customFormat="1" ht="25.5">
      <c r="A178" s="181"/>
      <c r="B178" s="66"/>
      <c r="C178" s="82">
        <v>4330</v>
      </c>
      <c r="D178" s="529" t="s">
        <v>24</v>
      </c>
      <c r="E178" s="153">
        <v>800000</v>
      </c>
      <c r="F178" s="153"/>
      <c r="G178" s="153">
        <v>120000</v>
      </c>
      <c r="H178" s="153">
        <f t="shared" si="6"/>
        <v>920000</v>
      </c>
      <c r="I178" s="154"/>
      <c r="J178" s="154"/>
      <c r="L178" s="154"/>
    </row>
    <row r="179" spans="1:12" s="130" customFormat="1" ht="21" customHeight="1">
      <c r="A179" s="204"/>
      <c r="B179" s="213"/>
      <c r="C179" s="66"/>
      <c r="D179" s="464" t="s">
        <v>202</v>
      </c>
      <c r="E179" s="143">
        <v>3593995</v>
      </c>
      <c r="F179" s="143">
        <f>F181</f>
        <v>23942</v>
      </c>
      <c r="G179" s="143"/>
      <c r="H179" s="143">
        <f t="shared" si="0"/>
        <v>3570053</v>
      </c>
      <c r="I179" s="137"/>
      <c r="J179" s="137"/>
      <c r="L179" s="137"/>
    </row>
    <row r="180" spans="1:12" s="155" customFormat="1" ht="27.75" customHeight="1">
      <c r="A180" s="203"/>
      <c r="B180" s="167"/>
      <c r="C180" s="81"/>
      <c r="D180" s="952" t="s">
        <v>526</v>
      </c>
      <c r="E180" s="457">
        <v>303000</v>
      </c>
      <c r="F180" s="457">
        <v>23942</v>
      </c>
      <c r="G180" s="457"/>
      <c r="H180" s="457">
        <f t="shared" si="0"/>
        <v>279058</v>
      </c>
      <c r="I180" s="154"/>
      <c r="J180" s="154"/>
      <c r="L180" s="154"/>
    </row>
    <row r="181" spans="1:12" s="155" customFormat="1" ht="21" customHeight="1">
      <c r="A181" s="203"/>
      <c r="B181" s="313"/>
      <c r="C181" s="82">
        <v>6050</v>
      </c>
      <c r="D181" s="1146" t="s">
        <v>197</v>
      </c>
      <c r="E181" s="415">
        <v>3317495</v>
      </c>
      <c r="F181" s="415">
        <f>F180</f>
        <v>23942</v>
      </c>
      <c r="G181" s="415"/>
      <c r="H181" s="415">
        <f t="shared" si="0"/>
        <v>3293553</v>
      </c>
      <c r="I181" s="154"/>
      <c r="J181" s="154"/>
      <c r="L181" s="154"/>
    </row>
    <row r="182" spans="1:12" s="155" customFormat="1" ht="21" customHeight="1">
      <c r="A182" s="93"/>
      <c r="B182" s="78">
        <v>85204</v>
      </c>
      <c r="C182" s="78"/>
      <c r="D182" s="426" t="s">
        <v>0</v>
      </c>
      <c r="E182" s="987">
        <v>5750000</v>
      </c>
      <c r="F182" s="143"/>
      <c r="G182" s="987">
        <f>G183</f>
        <v>50000</v>
      </c>
      <c r="H182" s="987">
        <f t="shared" si="0"/>
        <v>5800000</v>
      </c>
      <c r="I182" s="154"/>
      <c r="J182" s="154"/>
      <c r="L182" s="154"/>
    </row>
    <row r="183" spans="1:12" s="155" customFormat="1" ht="25.5">
      <c r="A183" s="784"/>
      <c r="B183" s="66"/>
      <c r="C183" s="464"/>
      <c r="D183" s="536" t="s">
        <v>25</v>
      </c>
      <c r="E183" s="985">
        <v>350000</v>
      </c>
      <c r="F183" s="985"/>
      <c r="G183" s="986">
        <f>G184</f>
        <v>50000</v>
      </c>
      <c r="H183" s="787">
        <f t="shared" si="0"/>
        <v>400000</v>
      </c>
      <c r="I183" s="154"/>
      <c r="J183" s="154"/>
      <c r="L183" s="154"/>
    </row>
    <row r="184" spans="1:12" s="155" customFormat="1" ht="38.25">
      <c r="A184" s="784"/>
      <c r="B184" s="69"/>
      <c r="C184" s="82">
        <v>2320</v>
      </c>
      <c r="D184" s="529" t="s">
        <v>22</v>
      </c>
      <c r="E184" s="153">
        <v>350000</v>
      </c>
      <c r="F184" s="153"/>
      <c r="G184" s="153">
        <v>50000</v>
      </c>
      <c r="H184" s="151">
        <f t="shared" si="0"/>
        <v>400000</v>
      </c>
      <c r="I184" s="154"/>
      <c r="J184" s="154"/>
      <c r="L184" s="154"/>
    </row>
    <row r="185" spans="1:12" s="130" customFormat="1" ht="21" customHeight="1">
      <c r="A185" s="76"/>
      <c r="B185" s="78">
        <v>85295</v>
      </c>
      <c r="C185" s="78"/>
      <c r="D185" s="78" t="s">
        <v>96</v>
      </c>
      <c r="E185" s="136">
        <v>4071368</v>
      </c>
      <c r="F185" s="136"/>
      <c r="G185" s="136">
        <f>G186+G188</f>
        <v>244443</v>
      </c>
      <c r="H185" s="136">
        <f t="shared" si="0"/>
        <v>4315811</v>
      </c>
      <c r="I185" s="137"/>
      <c r="J185" s="137"/>
      <c r="L185" s="137"/>
    </row>
    <row r="186" spans="1:12" s="130" customFormat="1" ht="27.75" customHeight="1">
      <c r="A186" s="204"/>
      <c r="B186" s="205"/>
      <c r="C186" s="205"/>
      <c r="D186" s="458" t="s">
        <v>59</v>
      </c>
      <c r="E186" s="143">
        <v>9451</v>
      </c>
      <c r="F186" s="143"/>
      <c r="G186" s="143">
        <f>G187</f>
        <v>360</v>
      </c>
      <c r="H186" s="533">
        <f t="shared" si="0"/>
        <v>9811</v>
      </c>
      <c r="I186" s="137"/>
      <c r="J186" s="137"/>
      <c r="L186" s="137"/>
    </row>
    <row r="187" spans="1:12" s="155" customFormat="1" ht="21" customHeight="1">
      <c r="A187" s="203"/>
      <c r="B187" s="167"/>
      <c r="C187" s="82">
        <v>3110</v>
      </c>
      <c r="D187" s="83" t="s">
        <v>375</v>
      </c>
      <c r="E187" s="153">
        <v>9451</v>
      </c>
      <c r="F187" s="153"/>
      <c r="G187" s="153">
        <v>360</v>
      </c>
      <c r="H187" s="144">
        <f>E187-F187+G187</f>
        <v>9811</v>
      </c>
      <c r="I187" s="154"/>
      <c r="J187" s="154"/>
      <c r="L187" s="154"/>
    </row>
    <row r="188" spans="1:12" s="130" customFormat="1" ht="19.5" customHeight="1">
      <c r="A188" s="204"/>
      <c r="B188" s="213"/>
      <c r="C188" s="81"/>
      <c r="D188" s="536" t="s">
        <v>428</v>
      </c>
      <c r="E188" s="143">
        <v>2755917</v>
      </c>
      <c r="F188" s="143"/>
      <c r="G188" s="143">
        <f>G189</f>
        <v>244083</v>
      </c>
      <c r="H188" s="533">
        <f t="shared" si="0"/>
        <v>3000000</v>
      </c>
      <c r="I188" s="137"/>
      <c r="J188" s="137"/>
      <c r="L188" s="137"/>
    </row>
    <row r="189" spans="1:12" s="155" customFormat="1" ht="21" customHeight="1">
      <c r="A189" s="222"/>
      <c r="B189" s="313"/>
      <c r="C189" s="82">
        <v>3110</v>
      </c>
      <c r="D189" s="83" t="s">
        <v>375</v>
      </c>
      <c r="E189" s="153">
        <v>2655917</v>
      </c>
      <c r="F189" s="153"/>
      <c r="G189" s="153">
        <v>244083</v>
      </c>
      <c r="H189" s="144">
        <f>E189-F189+G189</f>
        <v>2900000</v>
      </c>
      <c r="I189" s="154"/>
      <c r="J189" s="154"/>
      <c r="L189" s="154"/>
    </row>
    <row r="190" spans="1:12" s="155" customFormat="1" ht="21" customHeight="1">
      <c r="A190" s="1147"/>
      <c r="B190" s="1148"/>
      <c r="C190" s="1075"/>
      <c r="D190" s="1155"/>
      <c r="E190" s="1149"/>
      <c r="F190" s="1149"/>
      <c r="G190" s="1149"/>
      <c r="H190" s="1153"/>
      <c r="I190" s="154"/>
      <c r="J190" s="154"/>
      <c r="L190" s="154"/>
    </row>
    <row r="191" spans="1:12" ht="21" customHeight="1">
      <c r="A191" s="428">
        <v>854</v>
      </c>
      <c r="B191" s="73"/>
      <c r="C191" s="73"/>
      <c r="D191" s="92" t="s">
        <v>99</v>
      </c>
      <c r="E191" s="74">
        <v>43712380</v>
      </c>
      <c r="F191" s="75">
        <f>F192+F197+F201+F206+F210+F213</f>
        <v>30824</v>
      </c>
      <c r="G191" s="75">
        <f>G192+G197+G201+G206+G210+G213</f>
        <v>88514</v>
      </c>
      <c r="H191" s="75">
        <f t="shared" si="0"/>
        <v>43770070</v>
      </c>
      <c r="I191" s="47"/>
      <c r="J191" s="47"/>
      <c r="L191" s="47"/>
    </row>
    <row r="192" spans="1:12" s="95" customFormat="1" ht="18.75" customHeight="1">
      <c r="A192" s="76"/>
      <c r="B192" s="78">
        <v>85401</v>
      </c>
      <c r="C192" s="78"/>
      <c r="D192" s="78" t="s">
        <v>334</v>
      </c>
      <c r="E192" s="563">
        <v>7300000</v>
      </c>
      <c r="F192" s="523">
        <f>F193+F195</f>
        <v>1400</v>
      </c>
      <c r="G192" s="523">
        <f>G193+G195</f>
        <v>1400</v>
      </c>
      <c r="H192" s="79">
        <f t="shared" si="0"/>
        <v>7300000</v>
      </c>
      <c r="I192" s="137"/>
      <c r="J192" s="137"/>
      <c r="L192" s="94"/>
    </row>
    <row r="193" spans="1:12" s="95" customFormat="1" ht="18.75" customHeight="1">
      <c r="A193" s="80"/>
      <c r="B193" s="464"/>
      <c r="C193" s="464"/>
      <c r="D193" s="537" t="s">
        <v>117</v>
      </c>
      <c r="E193" s="142">
        <v>439600</v>
      </c>
      <c r="F193" s="564"/>
      <c r="G193" s="564">
        <f>G194</f>
        <v>1400</v>
      </c>
      <c r="H193" s="207">
        <f>E193+G193-F193</f>
        <v>441000</v>
      </c>
      <c r="I193" s="137"/>
      <c r="J193" s="137"/>
      <c r="L193" s="94"/>
    </row>
    <row r="194" spans="1:12" s="561" customFormat="1" ht="18.75" customHeight="1">
      <c r="A194" s="203"/>
      <c r="B194" s="167"/>
      <c r="C194" s="313">
        <v>3020</v>
      </c>
      <c r="D194" s="314" t="s">
        <v>292</v>
      </c>
      <c r="E194" s="415">
        <v>10120</v>
      </c>
      <c r="F194" s="315"/>
      <c r="G194" s="315">
        <v>1400</v>
      </c>
      <c r="H194" s="315">
        <f>E194+G194-F194</f>
        <v>11520</v>
      </c>
      <c r="I194" s="154"/>
      <c r="J194" s="154"/>
      <c r="L194" s="562"/>
    </row>
    <row r="195" spans="1:12" s="155" customFormat="1" ht="18.75" customHeight="1">
      <c r="A195" s="80"/>
      <c r="B195" s="66"/>
      <c r="C195" s="66"/>
      <c r="D195" s="571" t="s">
        <v>142</v>
      </c>
      <c r="E195" s="142">
        <v>1127500</v>
      </c>
      <c r="F195" s="142">
        <f>F196</f>
        <v>1400</v>
      </c>
      <c r="G195" s="142"/>
      <c r="H195" s="142">
        <f>E195+G195-F195</f>
        <v>1126100</v>
      </c>
      <c r="I195" s="154"/>
      <c r="J195" s="154"/>
      <c r="L195" s="154"/>
    </row>
    <row r="196" spans="1:12" s="155" customFormat="1" ht="18.75" customHeight="1">
      <c r="A196" s="202"/>
      <c r="B196" s="82"/>
      <c r="C196" s="82">
        <v>4110</v>
      </c>
      <c r="D196" s="529" t="s">
        <v>171</v>
      </c>
      <c r="E196" s="151">
        <v>999200</v>
      </c>
      <c r="F196" s="151">
        <v>1400</v>
      </c>
      <c r="G196" s="151"/>
      <c r="H196" s="151">
        <f>E196+G196-F196</f>
        <v>997800</v>
      </c>
      <c r="I196" s="154"/>
      <c r="J196" s="154"/>
      <c r="L196" s="154"/>
    </row>
    <row r="197" spans="1:12" s="95" customFormat="1" ht="18.75" customHeight="1">
      <c r="A197" s="76"/>
      <c r="B197" s="78">
        <v>85403</v>
      </c>
      <c r="C197" s="78"/>
      <c r="D197" s="78" t="s">
        <v>335</v>
      </c>
      <c r="E197" s="563">
        <v>10787676</v>
      </c>
      <c r="F197" s="523"/>
      <c r="G197" s="523">
        <f>G198</f>
        <v>10500</v>
      </c>
      <c r="H197" s="79">
        <f t="shared" si="0"/>
        <v>10798176</v>
      </c>
      <c r="I197" s="137"/>
      <c r="J197" s="137"/>
      <c r="L197" s="94"/>
    </row>
    <row r="198" spans="1:12" s="155" customFormat="1" ht="18.75" customHeight="1">
      <c r="A198" s="202"/>
      <c r="B198" s="530"/>
      <c r="C198" s="530"/>
      <c r="D198" s="464" t="s">
        <v>202</v>
      </c>
      <c r="E198" s="797">
        <v>40057</v>
      </c>
      <c r="F198" s="559"/>
      <c r="G198" s="797">
        <f>G200</f>
        <v>10500</v>
      </c>
      <c r="H198" s="948">
        <f t="shared" si="0"/>
        <v>50557</v>
      </c>
      <c r="I198" s="154"/>
      <c r="J198" s="154"/>
      <c r="L198" s="154"/>
    </row>
    <row r="199" spans="1:12" s="155" customFormat="1" ht="18.75" customHeight="1">
      <c r="A199" s="202"/>
      <c r="B199" s="167"/>
      <c r="C199" s="81"/>
      <c r="D199" s="474" t="s">
        <v>303</v>
      </c>
      <c r="E199" s="583"/>
      <c r="F199" s="583"/>
      <c r="G199" s="583">
        <v>10500</v>
      </c>
      <c r="H199" s="457">
        <f t="shared" si="0"/>
        <v>10500</v>
      </c>
      <c r="I199" s="154"/>
      <c r="J199" s="154"/>
      <c r="L199" s="154"/>
    </row>
    <row r="200" spans="1:12" s="155" customFormat="1" ht="18.75" customHeight="1">
      <c r="A200" s="202"/>
      <c r="B200" s="313"/>
      <c r="C200" s="82">
        <v>6060</v>
      </c>
      <c r="D200" s="534" t="s">
        <v>151</v>
      </c>
      <c r="E200" s="151"/>
      <c r="F200" s="151"/>
      <c r="G200" s="151">
        <f>G199</f>
        <v>10500</v>
      </c>
      <c r="H200" s="415">
        <f t="shared" si="0"/>
        <v>10500</v>
      </c>
      <c r="I200" s="154"/>
      <c r="J200" s="154"/>
      <c r="L200" s="154"/>
    </row>
    <row r="201" spans="1:12" s="95" customFormat="1" ht="18.75" customHeight="1">
      <c r="A201" s="76"/>
      <c r="B201" s="78">
        <v>85410</v>
      </c>
      <c r="C201" s="78"/>
      <c r="D201" s="78" t="s">
        <v>279</v>
      </c>
      <c r="E201" s="563">
        <v>7386200</v>
      </c>
      <c r="F201" s="523">
        <f>F202</f>
        <v>12200</v>
      </c>
      <c r="G201" s="523">
        <f>G202</f>
        <v>12200</v>
      </c>
      <c r="H201" s="523">
        <f t="shared" si="0"/>
        <v>7386200</v>
      </c>
      <c r="I201" s="137"/>
      <c r="J201" s="137"/>
      <c r="L201" s="94"/>
    </row>
    <row r="202" spans="1:12" s="95" customFormat="1" ht="18.75" customHeight="1">
      <c r="A202" s="80"/>
      <c r="B202" s="66"/>
      <c r="C202" s="464"/>
      <c r="D202" s="537" t="s">
        <v>117</v>
      </c>
      <c r="E202" s="142">
        <v>1525500</v>
      </c>
      <c r="F202" s="564">
        <f>SUM(F203:F205)</f>
        <v>12200</v>
      </c>
      <c r="G202" s="564">
        <f>SUM(G203:G205)</f>
        <v>12200</v>
      </c>
      <c r="H202" s="564">
        <f t="shared" si="0"/>
        <v>1525500</v>
      </c>
      <c r="I202" s="137"/>
      <c r="J202" s="137"/>
      <c r="L202" s="94"/>
    </row>
    <row r="203" spans="1:12" s="561" customFormat="1" ht="18.75" customHeight="1">
      <c r="A203" s="203"/>
      <c r="B203" s="167"/>
      <c r="C203" s="313">
        <v>4210</v>
      </c>
      <c r="D203" s="314" t="s">
        <v>113</v>
      </c>
      <c r="E203" s="415">
        <v>241680</v>
      </c>
      <c r="F203" s="315">
        <v>10000</v>
      </c>
      <c r="G203" s="315"/>
      <c r="H203" s="315">
        <f t="shared" si="0"/>
        <v>231680</v>
      </c>
      <c r="I203" s="154"/>
      <c r="J203" s="154"/>
      <c r="L203" s="562"/>
    </row>
    <row r="204" spans="1:12" s="561" customFormat="1" ht="18.75" customHeight="1">
      <c r="A204" s="203"/>
      <c r="B204" s="167"/>
      <c r="C204" s="82">
        <v>4270</v>
      </c>
      <c r="D204" s="534" t="s">
        <v>499</v>
      </c>
      <c r="E204" s="415">
        <v>105000</v>
      </c>
      <c r="F204" s="315"/>
      <c r="G204" s="315">
        <v>12200</v>
      </c>
      <c r="H204" s="415">
        <f t="shared" si="0"/>
        <v>117200</v>
      </c>
      <c r="I204" s="154"/>
      <c r="J204" s="154"/>
      <c r="L204" s="562"/>
    </row>
    <row r="205" spans="1:12" s="155" customFormat="1" ht="18.75" customHeight="1">
      <c r="A205" s="203"/>
      <c r="B205" s="167"/>
      <c r="C205" s="310">
        <v>4300</v>
      </c>
      <c r="D205" s="312" t="s">
        <v>114</v>
      </c>
      <c r="E205" s="415">
        <v>96150</v>
      </c>
      <c r="F205" s="415">
        <v>2200</v>
      </c>
      <c r="G205" s="415"/>
      <c r="H205" s="415">
        <f t="shared" si="0"/>
        <v>93950</v>
      </c>
      <c r="I205" s="154"/>
      <c r="J205" s="154"/>
      <c r="L205" s="154"/>
    </row>
    <row r="206" spans="1:12" s="130" customFormat="1" ht="18.75" customHeight="1">
      <c r="A206" s="76"/>
      <c r="B206" s="77">
        <v>85415</v>
      </c>
      <c r="C206" s="77"/>
      <c r="D206" s="77" t="s">
        <v>253</v>
      </c>
      <c r="E206" s="136">
        <v>1725704</v>
      </c>
      <c r="F206" s="136">
        <f>F207</f>
        <v>224</v>
      </c>
      <c r="G206" s="136">
        <f>G207</f>
        <v>224</v>
      </c>
      <c r="H206" s="136">
        <f t="shared" si="0"/>
        <v>1725704</v>
      </c>
      <c r="I206" s="137"/>
      <c r="J206" s="137"/>
      <c r="L206" s="137"/>
    </row>
    <row r="207" spans="1:12" s="130" customFormat="1" ht="27" customHeight="1">
      <c r="A207" s="80"/>
      <c r="B207" s="464"/>
      <c r="C207" s="464"/>
      <c r="D207" s="536" t="s">
        <v>203</v>
      </c>
      <c r="E207" s="143">
        <v>1063517</v>
      </c>
      <c r="F207" s="143">
        <f>SUM(F208:F209)</f>
        <v>224</v>
      </c>
      <c r="G207" s="143">
        <f>SUM(G208:G209)</f>
        <v>224</v>
      </c>
      <c r="H207" s="143">
        <f t="shared" si="0"/>
        <v>1063517</v>
      </c>
      <c r="I207" s="137"/>
      <c r="J207" s="137"/>
      <c r="L207" s="137"/>
    </row>
    <row r="208" spans="1:12" s="157" customFormat="1" ht="18.75" customHeight="1">
      <c r="A208" s="202"/>
      <c r="B208" s="81"/>
      <c r="C208" s="82">
        <v>3240</v>
      </c>
      <c r="D208" s="534" t="s">
        <v>204</v>
      </c>
      <c r="E208" s="144">
        <v>1041565</v>
      </c>
      <c r="F208" s="144">
        <v>224</v>
      </c>
      <c r="G208" s="144"/>
      <c r="H208" s="144">
        <f t="shared" si="0"/>
        <v>1041341</v>
      </c>
      <c r="I208" s="156"/>
      <c r="J208" s="156"/>
      <c r="L208" s="156"/>
    </row>
    <row r="209" spans="1:12" s="157" customFormat="1" ht="18.75" customHeight="1">
      <c r="A209" s="202"/>
      <c r="B209" s="81"/>
      <c r="C209" s="82">
        <v>3260</v>
      </c>
      <c r="D209" s="534" t="s">
        <v>205</v>
      </c>
      <c r="E209" s="151">
        <v>21952</v>
      </c>
      <c r="F209" s="151"/>
      <c r="G209" s="151">
        <v>224</v>
      </c>
      <c r="H209" s="151">
        <f t="shared" si="0"/>
        <v>22176</v>
      </c>
      <c r="I209" s="156"/>
      <c r="J209" s="156"/>
      <c r="L209" s="156"/>
    </row>
    <row r="210" spans="1:12" s="130" customFormat="1" ht="18.75" customHeight="1">
      <c r="A210" s="76"/>
      <c r="B210" s="77">
        <v>85421</v>
      </c>
      <c r="C210" s="77"/>
      <c r="D210" s="77" t="s">
        <v>338</v>
      </c>
      <c r="E210" s="136">
        <v>570000</v>
      </c>
      <c r="F210" s="136">
        <f>F211</f>
        <v>10500</v>
      </c>
      <c r="G210" s="136"/>
      <c r="H210" s="136">
        <f t="shared" si="0"/>
        <v>559500</v>
      </c>
      <c r="I210" s="137"/>
      <c r="J210" s="137"/>
      <c r="L210" s="137"/>
    </row>
    <row r="211" spans="1:12" s="130" customFormat="1" ht="19.5" customHeight="1">
      <c r="A211" s="80"/>
      <c r="B211" s="464"/>
      <c r="C211" s="464"/>
      <c r="D211" s="537" t="s">
        <v>117</v>
      </c>
      <c r="E211" s="143">
        <v>69550</v>
      </c>
      <c r="F211" s="143">
        <f>F212</f>
        <v>10500</v>
      </c>
      <c r="G211" s="143"/>
      <c r="H211" s="143">
        <f t="shared" si="0"/>
        <v>59050</v>
      </c>
      <c r="I211" s="137"/>
      <c r="J211" s="137"/>
      <c r="L211" s="137"/>
    </row>
    <row r="212" spans="1:12" s="157" customFormat="1" ht="19.5" customHeight="1">
      <c r="A212" s="202"/>
      <c r="B212" s="81"/>
      <c r="C212" s="313">
        <v>4270</v>
      </c>
      <c r="D212" s="766" t="s">
        <v>517</v>
      </c>
      <c r="E212" s="144">
        <v>15000</v>
      </c>
      <c r="F212" s="144">
        <v>10500</v>
      </c>
      <c r="G212" s="144"/>
      <c r="H212" s="144">
        <f t="shared" si="0"/>
        <v>4500</v>
      </c>
      <c r="I212" s="156"/>
      <c r="J212" s="156"/>
      <c r="L212" s="156"/>
    </row>
    <row r="213" spans="1:12" s="95" customFormat="1" ht="18.75" customHeight="1">
      <c r="A213" s="76"/>
      <c r="B213" s="77">
        <v>85495</v>
      </c>
      <c r="C213" s="77"/>
      <c r="D213" s="77" t="s">
        <v>96</v>
      </c>
      <c r="E213" s="136">
        <v>6566458</v>
      </c>
      <c r="F213" s="79">
        <f>F214</f>
        <v>6500</v>
      </c>
      <c r="G213" s="79">
        <f>G214</f>
        <v>64190</v>
      </c>
      <c r="H213" s="79">
        <f aca="true" t="shared" si="7" ref="H213:H227">E213+G213-F213</f>
        <v>6624148</v>
      </c>
      <c r="I213" s="137"/>
      <c r="J213" s="137"/>
      <c r="L213" s="94"/>
    </row>
    <row r="214" spans="1:12" s="95" customFormat="1" ht="18.75" customHeight="1">
      <c r="A214" s="80"/>
      <c r="B214" s="464"/>
      <c r="C214" s="464"/>
      <c r="D214" s="920" t="s">
        <v>349</v>
      </c>
      <c r="E214" s="921">
        <v>6352800</v>
      </c>
      <c r="F214" s="922">
        <f>F215+F217+F225+F228</f>
        <v>6500</v>
      </c>
      <c r="G214" s="922">
        <f>G215+G217+G225+G228</f>
        <v>64190</v>
      </c>
      <c r="H214" s="922">
        <f t="shared" si="7"/>
        <v>6410490</v>
      </c>
      <c r="I214" s="137"/>
      <c r="J214" s="137"/>
      <c r="L214" s="94"/>
    </row>
    <row r="215" spans="1:12" s="95" customFormat="1" ht="18.75" customHeight="1">
      <c r="A215" s="80"/>
      <c r="B215" s="66"/>
      <c r="C215" s="213"/>
      <c r="D215" s="699" t="s">
        <v>200</v>
      </c>
      <c r="E215" s="923">
        <v>4131100</v>
      </c>
      <c r="F215" s="924"/>
      <c r="G215" s="924">
        <f>G216</f>
        <v>23180</v>
      </c>
      <c r="H215" s="924">
        <f>E215-F215+G215</f>
        <v>4154280</v>
      </c>
      <c r="I215" s="137"/>
      <c r="J215" s="137"/>
      <c r="L215" s="94"/>
    </row>
    <row r="216" spans="1:12" s="95" customFormat="1" ht="18.75" customHeight="1">
      <c r="A216" s="80"/>
      <c r="B216" s="66"/>
      <c r="C216" s="313">
        <v>4010</v>
      </c>
      <c r="D216" s="314" t="s">
        <v>65</v>
      </c>
      <c r="E216" s="415">
        <v>3850384</v>
      </c>
      <c r="F216" s="315"/>
      <c r="G216" s="315">
        <v>23180</v>
      </c>
      <c r="H216" s="315">
        <f>E216-F216+G216</f>
        <v>3873564</v>
      </c>
      <c r="I216" s="137"/>
      <c r="J216" s="137"/>
      <c r="L216" s="94"/>
    </row>
    <row r="217" spans="1:12" s="95" customFormat="1" ht="18.75" customHeight="1">
      <c r="A217" s="80"/>
      <c r="B217" s="66"/>
      <c r="C217" s="66"/>
      <c r="D217" s="620" t="s">
        <v>117</v>
      </c>
      <c r="E217" s="862">
        <v>1416400</v>
      </c>
      <c r="F217" s="621">
        <f>SUM(F218:F224)</f>
        <v>6500</v>
      </c>
      <c r="G217" s="621">
        <f>SUM(G218:G224)</f>
        <v>29960</v>
      </c>
      <c r="H217" s="621">
        <f t="shared" si="7"/>
        <v>1439860</v>
      </c>
      <c r="I217" s="137"/>
      <c r="J217" s="137"/>
      <c r="L217" s="94"/>
    </row>
    <row r="218" spans="1:12" s="157" customFormat="1" ht="18.75" customHeight="1">
      <c r="A218" s="202"/>
      <c r="B218" s="81"/>
      <c r="C218" s="82">
        <v>3020</v>
      </c>
      <c r="D218" s="534" t="s">
        <v>292</v>
      </c>
      <c r="E218" s="415">
        <v>32974</v>
      </c>
      <c r="F218" s="315"/>
      <c r="G218" s="315">
        <v>1000</v>
      </c>
      <c r="H218" s="315">
        <f t="shared" si="0"/>
        <v>33974</v>
      </c>
      <c r="I218" s="156"/>
      <c r="J218" s="156"/>
      <c r="L218" s="156"/>
    </row>
    <row r="219" spans="1:12" s="561" customFormat="1" ht="18.75" customHeight="1">
      <c r="A219" s="203"/>
      <c r="B219" s="167"/>
      <c r="C219" s="313">
        <v>4210</v>
      </c>
      <c r="D219" s="314" t="s">
        <v>113</v>
      </c>
      <c r="E219" s="415">
        <v>166938</v>
      </c>
      <c r="F219" s="315"/>
      <c r="G219" s="315">
        <f>12000+900</f>
        <v>12900</v>
      </c>
      <c r="H219" s="315">
        <f t="shared" si="7"/>
        <v>179838</v>
      </c>
      <c r="I219" s="154"/>
      <c r="J219" s="154"/>
      <c r="L219" s="562"/>
    </row>
    <row r="220" spans="1:12" s="95" customFormat="1" ht="18.75" customHeight="1">
      <c r="A220" s="80"/>
      <c r="B220" s="66"/>
      <c r="C220" s="82">
        <v>4220</v>
      </c>
      <c r="D220" s="534" t="s">
        <v>182</v>
      </c>
      <c r="E220" s="144">
        <v>558000</v>
      </c>
      <c r="F220" s="570">
        <v>6500</v>
      </c>
      <c r="G220" s="570"/>
      <c r="H220" s="570">
        <f t="shared" si="7"/>
        <v>551500</v>
      </c>
      <c r="I220" s="137"/>
      <c r="J220" s="137"/>
      <c r="L220" s="94"/>
    </row>
    <row r="221" spans="1:12" s="565" customFormat="1" ht="18.75" customHeight="1">
      <c r="A221" s="540"/>
      <c r="B221" s="82"/>
      <c r="C221" s="82">
        <v>4260</v>
      </c>
      <c r="D221" s="534" t="s">
        <v>174</v>
      </c>
      <c r="E221" s="151">
        <v>361250</v>
      </c>
      <c r="F221" s="552"/>
      <c r="G221" s="552">
        <f>3000+9800</f>
        <v>12800</v>
      </c>
      <c r="H221" s="552">
        <f t="shared" si="7"/>
        <v>374050</v>
      </c>
      <c r="I221" s="156"/>
      <c r="J221" s="156"/>
      <c r="L221" s="566"/>
    </row>
    <row r="222" spans="1:12" s="561" customFormat="1" ht="18.75" customHeight="1">
      <c r="A222" s="203"/>
      <c r="B222" s="167"/>
      <c r="C222" s="313">
        <v>4280</v>
      </c>
      <c r="D222" s="314" t="s">
        <v>175</v>
      </c>
      <c r="E222" s="415">
        <v>10558</v>
      </c>
      <c r="F222" s="315"/>
      <c r="G222" s="315">
        <v>400</v>
      </c>
      <c r="H222" s="315">
        <f t="shared" si="7"/>
        <v>10958</v>
      </c>
      <c r="I222" s="154"/>
      <c r="J222" s="154"/>
      <c r="L222" s="562"/>
    </row>
    <row r="223" spans="1:12" s="95" customFormat="1" ht="18.75" customHeight="1">
      <c r="A223" s="80"/>
      <c r="B223" s="66"/>
      <c r="C223" s="82">
        <v>4300</v>
      </c>
      <c r="D223" s="312" t="s">
        <v>114</v>
      </c>
      <c r="E223" s="144">
        <v>109220</v>
      </c>
      <c r="F223" s="570"/>
      <c r="G223" s="570">
        <f>1000+1000</f>
        <v>2000</v>
      </c>
      <c r="H223" s="570">
        <f t="shared" si="7"/>
        <v>111220</v>
      </c>
      <c r="I223" s="137"/>
      <c r="J223" s="137"/>
      <c r="L223" s="94"/>
    </row>
    <row r="224" spans="1:12" s="565" customFormat="1" ht="18.75" customHeight="1">
      <c r="A224" s="202"/>
      <c r="B224" s="81"/>
      <c r="C224" s="82">
        <v>4440</v>
      </c>
      <c r="D224" s="534" t="s">
        <v>404</v>
      </c>
      <c r="E224" s="151">
        <v>172860</v>
      </c>
      <c r="F224" s="552"/>
      <c r="G224" s="552">
        <v>860</v>
      </c>
      <c r="H224" s="552">
        <f t="shared" si="7"/>
        <v>173720</v>
      </c>
      <c r="I224" s="156"/>
      <c r="J224" s="156"/>
      <c r="L224" s="566"/>
    </row>
    <row r="225" spans="1:12" s="95" customFormat="1" ht="18.75" customHeight="1">
      <c r="A225" s="80"/>
      <c r="B225" s="66"/>
      <c r="C225" s="66"/>
      <c r="D225" s="571" t="s">
        <v>142</v>
      </c>
      <c r="E225" s="862">
        <v>796300</v>
      </c>
      <c r="F225" s="621"/>
      <c r="G225" s="621">
        <f>SUM(G226:G227)</f>
        <v>4550</v>
      </c>
      <c r="H225" s="621">
        <f t="shared" si="7"/>
        <v>800850</v>
      </c>
      <c r="I225" s="137"/>
      <c r="J225" s="137"/>
      <c r="L225" s="94"/>
    </row>
    <row r="226" spans="1:12" s="561" customFormat="1" ht="18.75" customHeight="1">
      <c r="A226" s="203"/>
      <c r="B226" s="167"/>
      <c r="C226" s="82">
        <v>4110</v>
      </c>
      <c r="D226" s="529" t="s">
        <v>171</v>
      </c>
      <c r="E226" s="415">
        <v>700870</v>
      </c>
      <c r="F226" s="315"/>
      <c r="G226" s="315">
        <v>3990</v>
      </c>
      <c r="H226" s="315">
        <f t="shared" si="0"/>
        <v>704860</v>
      </c>
      <c r="I226" s="154"/>
      <c r="J226" s="154"/>
      <c r="L226" s="562"/>
    </row>
    <row r="227" spans="1:12" s="95" customFormat="1" ht="18.75" customHeight="1">
      <c r="A227" s="80"/>
      <c r="B227" s="66"/>
      <c r="C227" s="82">
        <v>4120</v>
      </c>
      <c r="D227" s="534" t="s">
        <v>172</v>
      </c>
      <c r="E227" s="144">
        <v>95430</v>
      </c>
      <c r="F227" s="570"/>
      <c r="G227" s="570">
        <v>560</v>
      </c>
      <c r="H227" s="315">
        <f t="shared" si="7"/>
        <v>95990</v>
      </c>
      <c r="I227" s="137"/>
      <c r="J227" s="137"/>
      <c r="L227" s="94"/>
    </row>
    <row r="228" spans="1:12" s="130" customFormat="1" ht="21" customHeight="1">
      <c r="A228" s="80"/>
      <c r="B228" s="66"/>
      <c r="C228" s="66"/>
      <c r="D228" s="571" t="s">
        <v>202</v>
      </c>
      <c r="E228" s="142">
        <v>9000</v>
      </c>
      <c r="F228" s="142"/>
      <c r="G228" s="142">
        <f>G230</f>
        <v>6500</v>
      </c>
      <c r="H228" s="142">
        <f>E228+G228-F228</f>
        <v>15500</v>
      </c>
      <c r="I228" s="137"/>
      <c r="J228" s="137"/>
      <c r="L228" s="137"/>
    </row>
    <row r="229" spans="1:12" s="155" customFormat="1" ht="21" customHeight="1">
      <c r="A229" s="203"/>
      <c r="B229" s="167"/>
      <c r="C229" s="167"/>
      <c r="D229" s="879" t="s">
        <v>303</v>
      </c>
      <c r="E229" s="457">
        <v>9000</v>
      </c>
      <c r="F229" s="457"/>
      <c r="G229" s="457">
        <v>6500</v>
      </c>
      <c r="H229" s="457">
        <f>E229+G229-F229</f>
        <v>15500</v>
      </c>
      <c r="I229" s="154"/>
      <c r="J229" s="154"/>
      <c r="L229" s="154"/>
    </row>
    <row r="230" spans="1:12" s="157" customFormat="1" ht="21" customHeight="1">
      <c r="A230" s="540"/>
      <c r="B230" s="82"/>
      <c r="C230" s="82">
        <v>6060</v>
      </c>
      <c r="D230" s="529" t="s">
        <v>151</v>
      </c>
      <c r="E230" s="151">
        <v>9000</v>
      </c>
      <c r="F230" s="151"/>
      <c r="G230" s="151">
        <f>G229</f>
        <v>6500</v>
      </c>
      <c r="H230" s="151">
        <f>E230+G230-F230</f>
        <v>15500</v>
      </c>
      <c r="I230" s="156"/>
      <c r="J230" s="156"/>
      <c r="L230" s="156"/>
    </row>
    <row r="231" spans="1:12" ht="19.5" customHeight="1">
      <c r="A231" s="73">
        <v>900</v>
      </c>
      <c r="B231" s="73"/>
      <c r="C231" s="73"/>
      <c r="D231" s="73" t="s">
        <v>377</v>
      </c>
      <c r="E231" s="74">
        <v>63154206</v>
      </c>
      <c r="F231" s="75">
        <f>F232+F237+F243</f>
        <v>400000</v>
      </c>
      <c r="G231" s="75">
        <f>G232+G237+G243</f>
        <v>593173</v>
      </c>
      <c r="H231" s="75">
        <f>E231-F231+G231</f>
        <v>63347379</v>
      </c>
      <c r="I231" s="47"/>
      <c r="J231" s="47"/>
      <c r="L231" s="47"/>
    </row>
    <row r="232" spans="1:12" s="130" customFormat="1" ht="19.5" customHeight="1">
      <c r="A232" s="76"/>
      <c r="B232" s="77">
        <v>90001</v>
      </c>
      <c r="C232" s="77"/>
      <c r="D232" s="77" t="s">
        <v>314</v>
      </c>
      <c r="E232" s="136">
        <v>11312000</v>
      </c>
      <c r="F232" s="136">
        <f>F233</f>
        <v>400000</v>
      </c>
      <c r="G232" s="136"/>
      <c r="H232" s="136">
        <f t="shared" si="0"/>
        <v>10912000</v>
      </c>
      <c r="I232" s="137"/>
      <c r="J232" s="137"/>
      <c r="L232" s="137"/>
    </row>
    <row r="233" spans="1:12" s="130" customFormat="1" ht="19.5" customHeight="1">
      <c r="A233" s="80"/>
      <c r="B233" s="66"/>
      <c r="C233" s="66"/>
      <c r="D233" s="66" t="s">
        <v>202</v>
      </c>
      <c r="E233" s="142">
        <v>8895000</v>
      </c>
      <c r="F233" s="142">
        <f>F236</f>
        <v>400000</v>
      </c>
      <c r="G233" s="142"/>
      <c r="H233" s="142">
        <f>E233+G233-F233</f>
        <v>8495000</v>
      </c>
      <c r="I233" s="137"/>
      <c r="J233" s="137"/>
      <c r="L233" s="137"/>
    </row>
    <row r="234" spans="1:12" s="130" customFormat="1" ht="19.5" customHeight="1">
      <c r="A234" s="80"/>
      <c r="B234" s="66"/>
      <c r="C234" s="66"/>
      <c r="D234" s="719" t="s">
        <v>380</v>
      </c>
      <c r="E234" s="457">
        <v>300000</v>
      </c>
      <c r="F234" s="457">
        <v>200000</v>
      </c>
      <c r="G234" s="457"/>
      <c r="H234" s="457">
        <f>E234-F234+G234</f>
        <v>100000</v>
      </c>
      <c r="I234" s="137"/>
      <c r="J234" s="137"/>
      <c r="L234" s="137"/>
    </row>
    <row r="235" spans="1:12" s="130" customFormat="1" ht="19.5" customHeight="1">
      <c r="A235" s="80"/>
      <c r="B235" s="66"/>
      <c r="C235" s="66"/>
      <c r="D235" s="560" t="s">
        <v>381</v>
      </c>
      <c r="E235" s="460">
        <v>400000</v>
      </c>
      <c r="F235" s="460">
        <v>200000</v>
      </c>
      <c r="G235" s="460"/>
      <c r="H235" s="460">
        <f>E235+G235-F235</f>
        <v>200000</v>
      </c>
      <c r="I235" s="137"/>
      <c r="J235" s="137"/>
      <c r="L235" s="137"/>
    </row>
    <row r="236" spans="1:12" s="157" customFormat="1" ht="19.5" customHeight="1">
      <c r="A236" s="202"/>
      <c r="B236" s="82"/>
      <c r="C236" s="82">
        <v>6050</v>
      </c>
      <c r="D236" s="529" t="s">
        <v>197</v>
      </c>
      <c r="E236" s="151">
        <v>8895000</v>
      </c>
      <c r="F236" s="151">
        <f>SUM(F234:F235)</f>
        <v>400000</v>
      </c>
      <c r="G236" s="151"/>
      <c r="H236" s="151">
        <f>E236+G236-F236</f>
        <v>8495000</v>
      </c>
      <c r="I236" s="156"/>
      <c r="J236" s="156"/>
      <c r="L236" s="156"/>
    </row>
    <row r="237" spans="1:12" s="157" customFormat="1" ht="19.5" customHeight="1">
      <c r="A237" s="202"/>
      <c r="B237" s="78">
        <v>90002</v>
      </c>
      <c r="C237" s="78"/>
      <c r="D237" s="78" t="s">
        <v>315</v>
      </c>
      <c r="E237" s="884">
        <v>15979206</v>
      </c>
      <c r="F237" s="884"/>
      <c r="G237" s="884">
        <f>G238</f>
        <v>193173</v>
      </c>
      <c r="H237" s="136">
        <f t="shared" si="0"/>
        <v>16172379</v>
      </c>
      <c r="I237" s="156"/>
      <c r="J237" s="156"/>
      <c r="L237" s="156"/>
    </row>
    <row r="238" spans="1:12" s="157" customFormat="1" ht="19.5" customHeight="1">
      <c r="A238" s="202"/>
      <c r="B238" s="530"/>
      <c r="C238" s="530"/>
      <c r="D238" s="720" t="s">
        <v>427</v>
      </c>
      <c r="E238" s="142">
        <v>11559206</v>
      </c>
      <c r="F238" s="142"/>
      <c r="G238" s="142">
        <f>G240+G242</f>
        <v>193173</v>
      </c>
      <c r="H238" s="142">
        <f>E238+G238-F238</f>
        <v>11752379</v>
      </c>
      <c r="I238" s="156"/>
      <c r="J238" s="156"/>
      <c r="L238" s="156"/>
    </row>
    <row r="239" spans="1:12" s="157" customFormat="1" ht="19.5" customHeight="1">
      <c r="A239" s="202"/>
      <c r="B239" s="784"/>
      <c r="C239" s="66"/>
      <c r="D239" s="891" t="s">
        <v>461</v>
      </c>
      <c r="E239" s="457">
        <v>5123857</v>
      </c>
      <c r="F239" s="457"/>
      <c r="G239" s="457">
        <v>118753</v>
      </c>
      <c r="H239" s="457">
        <f>E239-F239+G239</f>
        <v>5242610</v>
      </c>
      <c r="I239" s="156"/>
      <c r="J239" s="156"/>
      <c r="L239" s="156"/>
    </row>
    <row r="240" spans="1:12" s="157" customFormat="1" ht="19.5" customHeight="1">
      <c r="A240" s="202"/>
      <c r="B240" s="784"/>
      <c r="C240" s="82">
        <v>6058</v>
      </c>
      <c r="D240" s="892" t="s">
        <v>197</v>
      </c>
      <c r="E240" s="722">
        <v>5123857</v>
      </c>
      <c r="F240" s="722"/>
      <c r="G240" s="722">
        <f>G239</f>
        <v>118753</v>
      </c>
      <c r="H240" s="722">
        <f>E240-F240+G240</f>
        <v>5242610</v>
      </c>
      <c r="I240" s="156"/>
      <c r="J240" s="156"/>
      <c r="L240" s="156"/>
    </row>
    <row r="241" spans="1:12" s="157" customFormat="1" ht="19.5" customHeight="1">
      <c r="A241" s="202"/>
      <c r="B241" s="784"/>
      <c r="C241" s="66"/>
      <c r="D241" s="891" t="s">
        <v>461</v>
      </c>
      <c r="E241" s="457">
        <v>3210949</v>
      </c>
      <c r="F241" s="457"/>
      <c r="G241" s="457">
        <v>74420</v>
      </c>
      <c r="H241" s="457">
        <f>E241-F241+G241</f>
        <v>3285369</v>
      </c>
      <c r="I241" s="156"/>
      <c r="J241" s="156"/>
      <c r="L241" s="156"/>
    </row>
    <row r="242" spans="1:12" s="157" customFormat="1" ht="19.5" customHeight="1">
      <c r="A242" s="202"/>
      <c r="B242" s="869"/>
      <c r="C242" s="82">
        <v>6059</v>
      </c>
      <c r="D242" s="892" t="s">
        <v>197</v>
      </c>
      <c r="E242" s="722">
        <v>3210949</v>
      </c>
      <c r="F242" s="722"/>
      <c r="G242" s="722">
        <f>G241</f>
        <v>74420</v>
      </c>
      <c r="H242" s="722">
        <f>E242-F242+G242</f>
        <v>3285369</v>
      </c>
      <c r="I242" s="156"/>
      <c r="J242" s="156"/>
      <c r="L242" s="156"/>
    </row>
    <row r="243" spans="1:12" s="130" customFormat="1" ht="21" customHeight="1">
      <c r="A243" s="76"/>
      <c r="B243" s="77">
        <v>90095</v>
      </c>
      <c r="C243" s="77"/>
      <c r="D243" s="673" t="s">
        <v>96</v>
      </c>
      <c r="E243" s="136">
        <v>14746000</v>
      </c>
      <c r="F243" s="136"/>
      <c r="G243" s="136">
        <f>G244</f>
        <v>400000</v>
      </c>
      <c r="H243" s="136">
        <f t="shared" si="0"/>
        <v>15146000</v>
      </c>
      <c r="I243" s="137"/>
      <c r="J243" s="137"/>
      <c r="L243" s="137"/>
    </row>
    <row r="244" spans="1:12" s="130" customFormat="1" ht="19.5" customHeight="1">
      <c r="A244" s="80"/>
      <c r="B244" s="66"/>
      <c r="C244" s="66"/>
      <c r="D244" s="66" t="s">
        <v>202</v>
      </c>
      <c r="E244" s="142">
        <v>14596000</v>
      </c>
      <c r="F244" s="142"/>
      <c r="G244" s="142">
        <f>G246</f>
        <v>400000</v>
      </c>
      <c r="H244" s="142">
        <f>E244+G244-F244</f>
        <v>14996000</v>
      </c>
      <c r="I244" s="137"/>
      <c r="J244" s="137"/>
      <c r="L244" s="137"/>
    </row>
    <row r="245" spans="1:12" s="130" customFormat="1" ht="19.5" customHeight="1">
      <c r="A245" s="80"/>
      <c r="B245" s="66"/>
      <c r="C245" s="66"/>
      <c r="D245" s="719" t="s">
        <v>460</v>
      </c>
      <c r="E245" s="457">
        <v>900000</v>
      </c>
      <c r="F245" s="457"/>
      <c r="G245" s="457">
        <v>400000</v>
      </c>
      <c r="H245" s="457">
        <f>E245-F245+G245</f>
        <v>1300000</v>
      </c>
      <c r="I245" s="137"/>
      <c r="J245" s="137"/>
      <c r="L245" s="137"/>
    </row>
    <row r="246" spans="1:12" s="130" customFormat="1" ht="19.5" customHeight="1">
      <c r="A246" s="863"/>
      <c r="B246" s="69"/>
      <c r="C246" s="82">
        <v>6050</v>
      </c>
      <c r="D246" s="529" t="s">
        <v>197</v>
      </c>
      <c r="E246" s="722">
        <v>12546000</v>
      </c>
      <c r="F246" s="722"/>
      <c r="G246" s="722">
        <f>G245</f>
        <v>400000</v>
      </c>
      <c r="H246" s="722">
        <f>E246+G246-F246</f>
        <v>12946000</v>
      </c>
      <c r="I246" s="137"/>
      <c r="J246" s="137"/>
      <c r="L246" s="137"/>
    </row>
    <row r="247" spans="1:12" s="130" customFormat="1" ht="19.5" customHeight="1">
      <c r="A247" s="73">
        <v>921</v>
      </c>
      <c r="B247" s="73"/>
      <c r="C247" s="73"/>
      <c r="D247" s="73" t="s">
        <v>317</v>
      </c>
      <c r="E247" s="74">
        <v>15140586</v>
      </c>
      <c r="F247" s="74">
        <f>F248</f>
        <v>1200</v>
      </c>
      <c r="G247" s="74">
        <f>G248</f>
        <v>6200</v>
      </c>
      <c r="H247" s="75">
        <f t="shared" si="0"/>
        <v>15145586</v>
      </c>
      <c r="I247" s="137"/>
      <c r="J247" s="137"/>
      <c r="L247" s="137"/>
    </row>
    <row r="248" spans="1:12" s="130" customFormat="1" ht="19.5" customHeight="1">
      <c r="A248" s="93"/>
      <c r="B248" s="78">
        <v>92105</v>
      </c>
      <c r="C248" s="78"/>
      <c r="D248" s="78" t="s">
        <v>450</v>
      </c>
      <c r="E248" s="563">
        <v>821586</v>
      </c>
      <c r="F248" s="136">
        <f>F249</f>
        <v>1200</v>
      </c>
      <c r="G248" s="136">
        <f>G249+G252</f>
        <v>6200</v>
      </c>
      <c r="H248" s="563">
        <f t="shared" si="0"/>
        <v>826586</v>
      </c>
      <c r="I248" s="137"/>
      <c r="J248" s="137"/>
      <c r="L248" s="137"/>
    </row>
    <row r="249" spans="1:12" s="130" customFormat="1" ht="19.5" customHeight="1">
      <c r="A249" s="93"/>
      <c r="B249" s="66"/>
      <c r="C249" s="464"/>
      <c r="D249" s="101" t="s">
        <v>451</v>
      </c>
      <c r="E249" s="261">
        <v>25586</v>
      </c>
      <c r="F249" s="524">
        <f>SUM(F250:F251)</f>
        <v>1200</v>
      </c>
      <c r="G249" s="524">
        <f>SUM(G250:G251)</f>
        <v>1200</v>
      </c>
      <c r="H249" s="261">
        <f t="shared" si="0"/>
        <v>25586</v>
      </c>
      <c r="I249" s="137"/>
      <c r="J249" s="137"/>
      <c r="L249" s="137"/>
    </row>
    <row r="250" spans="1:12" s="130" customFormat="1" ht="19.5" customHeight="1">
      <c r="A250" s="203"/>
      <c r="B250" s="167"/>
      <c r="C250" s="310">
        <v>4210</v>
      </c>
      <c r="D250" s="312" t="s">
        <v>113</v>
      </c>
      <c r="E250" s="144">
        <v>2370</v>
      </c>
      <c r="F250" s="153">
        <v>1200</v>
      </c>
      <c r="G250" s="153"/>
      <c r="H250" s="144">
        <f t="shared" si="0"/>
        <v>1170</v>
      </c>
      <c r="I250" s="137"/>
      <c r="J250" s="137"/>
      <c r="L250" s="137"/>
    </row>
    <row r="251" spans="1:12" s="130" customFormat="1" ht="19.5" customHeight="1">
      <c r="A251" s="222"/>
      <c r="B251" s="313"/>
      <c r="C251" s="310">
        <v>4300</v>
      </c>
      <c r="D251" s="312" t="s">
        <v>114</v>
      </c>
      <c r="E251" s="584">
        <v>10863</v>
      </c>
      <c r="F251" s="749"/>
      <c r="G251" s="749">
        <v>1200</v>
      </c>
      <c r="H251" s="584">
        <f t="shared" si="0"/>
        <v>12063</v>
      </c>
      <c r="I251" s="137"/>
      <c r="J251" s="137"/>
      <c r="L251" s="137"/>
    </row>
    <row r="252" spans="1:12" s="130" customFormat="1" ht="19.5" customHeight="1">
      <c r="A252" s="93"/>
      <c r="B252" s="66"/>
      <c r="C252" s="66"/>
      <c r="D252" s="101" t="s">
        <v>14</v>
      </c>
      <c r="E252" s="261"/>
      <c r="F252" s="524"/>
      <c r="G252" s="524">
        <f>G253</f>
        <v>5000</v>
      </c>
      <c r="H252" s="261">
        <f t="shared" si="0"/>
        <v>5000</v>
      </c>
      <c r="I252" s="137"/>
      <c r="J252" s="137"/>
      <c r="L252" s="137"/>
    </row>
    <row r="253" spans="1:12" s="130" customFormat="1" ht="19.5" customHeight="1">
      <c r="A253" s="203"/>
      <c r="B253" s="167"/>
      <c r="C253" s="310">
        <v>4300</v>
      </c>
      <c r="D253" s="312" t="s">
        <v>114</v>
      </c>
      <c r="E253" s="144"/>
      <c r="F253" s="153"/>
      <c r="G253" s="153">
        <v>5000</v>
      </c>
      <c r="H253" s="144">
        <f t="shared" si="0"/>
        <v>5000</v>
      </c>
      <c r="I253" s="137"/>
      <c r="J253" s="137"/>
      <c r="L253" s="137"/>
    </row>
    <row r="254" spans="1:12" ht="21" customHeight="1">
      <c r="A254" s="72">
        <v>926</v>
      </c>
      <c r="B254" s="89"/>
      <c r="C254" s="73"/>
      <c r="D254" s="92" t="s">
        <v>318</v>
      </c>
      <c r="E254" s="74">
        <v>19758114</v>
      </c>
      <c r="F254" s="75">
        <f>F255</f>
        <v>29</v>
      </c>
      <c r="G254" s="75">
        <f>G255</f>
        <v>29</v>
      </c>
      <c r="H254" s="75">
        <f t="shared" si="0"/>
        <v>19758114</v>
      </c>
      <c r="I254" s="47"/>
      <c r="J254" s="47"/>
      <c r="L254" s="47"/>
    </row>
    <row r="255" spans="1:12" s="130" customFormat="1" ht="18.75" customHeight="1">
      <c r="A255" s="76"/>
      <c r="B255" s="78">
        <v>92605</v>
      </c>
      <c r="C255" s="78"/>
      <c r="D255" s="78" t="s">
        <v>333</v>
      </c>
      <c r="E255" s="563">
        <v>3840000</v>
      </c>
      <c r="F255" s="563">
        <f>F256</f>
        <v>29</v>
      </c>
      <c r="G255" s="563">
        <f>G256</f>
        <v>29</v>
      </c>
      <c r="H255" s="563">
        <f t="shared" si="0"/>
        <v>3840000</v>
      </c>
      <c r="I255" s="137"/>
      <c r="J255" s="137"/>
      <c r="L255" s="137"/>
    </row>
    <row r="256" spans="1:12" s="130" customFormat="1" ht="18.75" customHeight="1">
      <c r="A256" s="80"/>
      <c r="B256" s="66"/>
      <c r="C256" s="579"/>
      <c r="D256" s="644" t="s">
        <v>156</v>
      </c>
      <c r="E256" s="261">
        <v>800000</v>
      </c>
      <c r="F256" s="261">
        <f>SUM(F257:F258)</f>
        <v>29</v>
      </c>
      <c r="G256" s="261">
        <f>SUM(G257:G258)</f>
        <v>29</v>
      </c>
      <c r="H256" s="261">
        <f t="shared" si="0"/>
        <v>800000</v>
      </c>
      <c r="I256" s="137"/>
      <c r="J256" s="137"/>
      <c r="L256" s="137"/>
    </row>
    <row r="257" spans="1:12" s="157" customFormat="1" ht="18.75" customHeight="1">
      <c r="A257" s="202"/>
      <c r="B257" s="81"/>
      <c r="C257" s="580">
        <v>4110</v>
      </c>
      <c r="D257" s="581" t="s">
        <v>171</v>
      </c>
      <c r="E257" s="144">
        <v>107407</v>
      </c>
      <c r="F257" s="144">
        <v>29</v>
      </c>
      <c r="G257" s="144"/>
      <c r="H257" s="144">
        <f t="shared" si="0"/>
        <v>107378</v>
      </c>
      <c r="I257" s="156"/>
      <c r="J257" s="156"/>
      <c r="L257" s="156"/>
    </row>
    <row r="258" spans="1:12" s="157" customFormat="1" ht="18.75" customHeight="1">
      <c r="A258" s="202"/>
      <c r="B258" s="81"/>
      <c r="C258" s="695">
        <v>4170</v>
      </c>
      <c r="D258" s="695" t="s">
        <v>124</v>
      </c>
      <c r="E258" s="584">
        <v>624624</v>
      </c>
      <c r="F258" s="584"/>
      <c r="G258" s="584">
        <v>29</v>
      </c>
      <c r="H258" s="584">
        <f t="shared" si="0"/>
        <v>624653</v>
      </c>
      <c r="I258" s="156"/>
      <c r="J258" s="156"/>
      <c r="L258" s="156"/>
    </row>
    <row r="259" spans="1:12" ht="27.75" customHeight="1" thickBot="1">
      <c r="A259" s="66"/>
      <c r="B259" s="66"/>
      <c r="C259" s="66"/>
      <c r="D259" s="636" t="s">
        <v>64</v>
      </c>
      <c r="E259" s="772">
        <v>5057548</v>
      </c>
      <c r="F259" s="772"/>
      <c r="G259" s="772"/>
      <c r="H259" s="772">
        <f t="shared" si="0"/>
        <v>5057548</v>
      </c>
      <c r="I259" s="47"/>
      <c r="J259" s="47"/>
      <c r="L259" s="47"/>
    </row>
    <row r="260" spans="1:12" ht="20.25" customHeight="1" thickBot="1" thickTop="1">
      <c r="A260" s="66"/>
      <c r="B260" s="66"/>
      <c r="C260" s="66"/>
      <c r="D260" s="990" t="s">
        <v>126</v>
      </c>
      <c r="E260" s="991">
        <v>99373034</v>
      </c>
      <c r="F260" s="991">
        <f>F261+F262</f>
        <v>5287</v>
      </c>
      <c r="G260" s="991">
        <f>G261+G262</f>
        <v>64459</v>
      </c>
      <c r="H260" s="991">
        <f t="shared" si="0"/>
        <v>99432206</v>
      </c>
      <c r="I260" s="47">
        <f>G260-F260</f>
        <v>59172</v>
      </c>
      <c r="J260" s="47"/>
      <c r="L260" s="47"/>
    </row>
    <row r="261" spans="1:12" s="192" customFormat="1" ht="21" customHeight="1" thickBot="1">
      <c r="A261" s="167"/>
      <c r="B261" s="167"/>
      <c r="C261" s="167"/>
      <c r="D261" s="160" t="s">
        <v>127</v>
      </c>
      <c r="E261" s="191">
        <v>77259529</v>
      </c>
      <c r="F261" s="191"/>
      <c r="G261" s="191"/>
      <c r="H261" s="191">
        <f t="shared" si="0"/>
        <v>77259529</v>
      </c>
      <c r="I261" s="193"/>
      <c r="J261" s="193"/>
      <c r="L261" s="193"/>
    </row>
    <row r="262" spans="1:12" s="192" customFormat="1" ht="29.25" customHeight="1" thickBot="1" thickTop="1">
      <c r="A262" s="313"/>
      <c r="B262" s="313"/>
      <c r="C262" s="313"/>
      <c r="D262" s="636" t="s">
        <v>128</v>
      </c>
      <c r="E262" s="971">
        <v>22113505</v>
      </c>
      <c r="F262" s="971">
        <f>F267+F263+F281</f>
        <v>5287</v>
      </c>
      <c r="G262" s="971">
        <f>G267+G263+G281</f>
        <v>64459</v>
      </c>
      <c r="H262" s="971">
        <f t="shared" si="0"/>
        <v>22172677</v>
      </c>
      <c r="I262" s="193"/>
      <c r="J262" s="193"/>
      <c r="L262" s="193"/>
    </row>
    <row r="263" spans="1:12" s="192" customFormat="1" ht="19.5" customHeight="1" thickTop="1">
      <c r="A263" s="89">
        <v>700</v>
      </c>
      <c r="B263" s="89"/>
      <c r="C263" s="89"/>
      <c r="D263" s="89" t="s">
        <v>129</v>
      </c>
      <c r="E263" s="75">
        <v>708000</v>
      </c>
      <c r="F263" s="75"/>
      <c r="G263" s="75">
        <f>G264</f>
        <v>1251</v>
      </c>
      <c r="H263" s="602">
        <f>E263+G263-F263</f>
        <v>709251</v>
      </c>
      <c r="I263" s="193"/>
      <c r="J263" s="193"/>
      <c r="L263" s="193"/>
    </row>
    <row r="264" spans="1:12" s="192" customFormat="1" ht="19.5" customHeight="1">
      <c r="A264" s="530"/>
      <c r="B264" s="78">
        <v>70005</v>
      </c>
      <c r="C264" s="78"/>
      <c r="D264" s="78" t="s">
        <v>130</v>
      </c>
      <c r="E264" s="136">
        <v>708000</v>
      </c>
      <c r="F264" s="136"/>
      <c r="G264" s="136">
        <f>G265</f>
        <v>1251</v>
      </c>
      <c r="H264" s="308">
        <f>E264+G264-F264</f>
        <v>709251</v>
      </c>
      <c r="I264" s="193"/>
      <c r="J264" s="193"/>
      <c r="L264" s="193"/>
    </row>
    <row r="265" spans="1:12" s="192" customFormat="1" ht="19.5" customHeight="1">
      <c r="A265" s="80"/>
      <c r="B265" s="464"/>
      <c r="C265" s="464"/>
      <c r="D265" s="792" t="s">
        <v>29</v>
      </c>
      <c r="E265" s="142">
        <v>708000</v>
      </c>
      <c r="F265" s="142"/>
      <c r="G265" s="142">
        <f>G266</f>
        <v>1251</v>
      </c>
      <c r="H265" s="520">
        <f>E265+G265-F265</f>
        <v>709251</v>
      </c>
      <c r="I265" s="193"/>
      <c r="J265" s="193"/>
      <c r="L265" s="193"/>
    </row>
    <row r="266" spans="1:12" s="192" customFormat="1" ht="19.5" customHeight="1">
      <c r="A266" s="203"/>
      <c r="B266" s="167"/>
      <c r="C266" s="310">
        <v>4300</v>
      </c>
      <c r="D266" s="312" t="s">
        <v>114</v>
      </c>
      <c r="E266" s="153">
        <v>244330</v>
      </c>
      <c r="F266" s="153"/>
      <c r="G266" s="153">
        <v>1251</v>
      </c>
      <c r="H266" s="414">
        <f>E266+G266-F266</f>
        <v>245581</v>
      </c>
      <c r="I266" s="193"/>
      <c r="J266" s="193"/>
      <c r="L266" s="193"/>
    </row>
    <row r="267" spans="1:12" s="192" customFormat="1" ht="18.75" customHeight="1">
      <c r="A267" s="72">
        <v>710</v>
      </c>
      <c r="B267" s="89"/>
      <c r="C267" s="89"/>
      <c r="D267" s="629" t="s">
        <v>312</v>
      </c>
      <c r="E267" s="602">
        <v>562505</v>
      </c>
      <c r="F267" s="602">
        <f>F268</f>
        <v>5287</v>
      </c>
      <c r="G267" s="602">
        <f>G268</f>
        <v>57017</v>
      </c>
      <c r="H267" s="602">
        <f aca="true" t="shared" si="8" ref="H267:H284">E267+G267-F267</f>
        <v>614235</v>
      </c>
      <c r="I267" s="193"/>
      <c r="J267" s="193"/>
      <c r="L267" s="193"/>
    </row>
    <row r="268" spans="1:12" s="192" customFormat="1" ht="18.75" customHeight="1">
      <c r="A268" s="140"/>
      <c r="B268" s="78">
        <v>71015</v>
      </c>
      <c r="C268" s="78"/>
      <c r="D268" s="316" t="s">
        <v>446</v>
      </c>
      <c r="E268" s="308">
        <v>451168</v>
      </c>
      <c r="F268" s="308">
        <f>F269+F272</f>
        <v>5287</v>
      </c>
      <c r="G268" s="308">
        <f>G269+G272</f>
        <v>57017</v>
      </c>
      <c r="H268" s="308">
        <f t="shared" si="8"/>
        <v>502898</v>
      </c>
      <c r="I268" s="193"/>
      <c r="J268" s="193"/>
      <c r="L268" s="193"/>
    </row>
    <row r="269" spans="1:12" s="192" customFormat="1" ht="18.75" customHeight="1">
      <c r="A269" s="167"/>
      <c r="B269" s="167"/>
      <c r="C269" s="791"/>
      <c r="D269" s="792" t="s">
        <v>200</v>
      </c>
      <c r="E269" s="520">
        <v>325900</v>
      </c>
      <c r="F269" s="520">
        <f>SUM(F270:F271)</f>
        <v>5287</v>
      </c>
      <c r="G269" s="520"/>
      <c r="H269" s="520">
        <f t="shared" si="8"/>
        <v>320613</v>
      </c>
      <c r="I269" s="193"/>
      <c r="J269" s="193"/>
      <c r="L269" s="193"/>
    </row>
    <row r="270" spans="1:12" s="155" customFormat="1" ht="18.75" customHeight="1">
      <c r="A270" s="152"/>
      <c r="B270" s="152"/>
      <c r="C270" s="82">
        <v>4020</v>
      </c>
      <c r="D270" s="580" t="s">
        <v>447</v>
      </c>
      <c r="E270" s="414">
        <v>187900</v>
      </c>
      <c r="F270" s="414">
        <v>3000</v>
      </c>
      <c r="G270" s="414"/>
      <c r="H270" s="414">
        <f t="shared" si="8"/>
        <v>184900</v>
      </c>
      <c r="I270" s="154"/>
      <c r="J270" s="154"/>
      <c r="L270" s="154"/>
    </row>
    <row r="271" spans="1:12" s="155" customFormat="1" ht="18.75" customHeight="1">
      <c r="A271" s="152"/>
      <c r="B271" s="152"/>
      <c r="C271" s="480">
        <v>4040</v>
      </c>
      <c r="D271" s="695" t="s">
        <v>147</v>
      </c>
      <c r="E271" s="875">
        <v>21000</v>
      </c>
      <c r="F271" s="875">
        <v>2287</v>
      </c>
      <c r="G271" s="875"/>
      <c r="H271" s="414">
        <f t="shared" si="8"/>
        <v>18713</v>
      </c>
      <c r="I271" s="154"/>
      <c r="J271" s="154"/>
      <c r="L271" s="154"/>
    </row>
    <row r="272" spans="1:12" s="192" customFormat="1" ht="18.75" customHeight="1">
      <c r="A272" s="93"/>
      <c r="B272" s="579"/>
      <c r="C272" s="579"/>
      <c r="D272" s="644" t="s">
        <v>117</v>
      </c>
      <c r="E272" s="429">
        <v>60068</v>
      </c>
      <c r="F272" s="429"/>
      <c r="G272" s="429">
        <f>SUM(G273:G279)</f>
        <v>57017</v>
      </c>
      <c r="H272" s="520">
        <f t="shared" si="8"/>
        <v>117085</v>
      </c>
      <c r="I272" s="193"/>
      <c r="J272" s="193"/>
      <c r="L272" s="193"/>
    </row>
    <row r="273" spans="1:12" s="192" customFormat="1" ht="18.75" customHeight="1">
      <c r="A273" s="93"/>
      <c r="B273" s="579"/>
      <c r="C273" s="313">
        <v>3020</v>
      </c>
      <c r="D273" s="312" t="s">
        <v>292</v>
      </c>
      <c r="E273" s="84"/>
      <c r="F273" s="84"/>
      <c r="G273" s="84">
        <v>6000</v>
      </c>
      <c r="H273" s="414">
        <f t="shared" si="8"/>
        <v>6000</v>
      </c>
      <c r="I273" s="193"/>
      <c r="J273" s="193"/>
      <c r="L273" s="193"/>
    </row>
    <row r="274" spans="1:12" s="155" customFormat="1" ht="21" customHeight="1">
      <c r="A274" s="152"/>
      <c r="B274" s="152"/>
      <c r="C274" s="313">
        <v>4210</v>
      </c>
      <c r="D274" s="312" t="s">
        <v>113</v>
      </c>
      <c r="E274" s="84">
        <v>9500</v>
      </c>
      <c r="F274" s="84"/>
      <c r="G274" s="84">
        <f>19730+1500</f>
        <v>21230</v>
      </c>
      <c r="H274" s="414">
        <f t="shared" si="8"/>
        <v>30730</v>
      </c>
      <c r="I274" s="154"/>
      <c r="J274" s="154"/>
      <c r="L274" s="154"/>
    </row>
    <row r="275" spans="1:12" s="155" customFormat="1" ht="21" customHeight="1">
      <c r="A275" s="152"/>
      <c r="B275" s="152"/>
      <c r="C275" s="313">
        <v>4260</v>
      </c>
      <c r="D275" s="312" t="s">
        <v>174</v>
      </c>
      <c r="E275" s="84">
        <v>7000</v>
      </c>
      <c r="F275" s="84"/>
      <c r="G275" s="84">
        <v>4500</v>
      </c>
      <c r="H275" s="414">
        <f t="shared" si="8"/>
        <v>11500</v>
      </c>
      <c r="I275" s="154"/>
      <c r="J275" s="154"/>
      <c r="L275" s="154"/>
    </row>
    <row r="276" spans="1:12" s="449" customFormat="1" ht="20.25" customHeight="1">
      <c r="A276" s="427"/>
      <c r="B276" s="427"/>
      <c r="C276" s="313">
        <v>4300</v>
      </c>
      <c r="D276" s="312" t="s">
        <v>114</v>
      </c>
      <c r="E276" s="84">
        <v>31218</v>
      </c>
      <c r="F276" s="84"/>
      <c r="G276" s="84">
        <f>20000+3000</f>
        <v>23000</v>
      </c>
      <c r="H276" s="414">
        <f t="shared" si="8"/>
        <v>54218</v>
      </c>
      <c r="I276" s="448"/>
      <c r="J276" s="448"/>
      <c r="L276" s="448"/>
    </row>
    <row r="277" spans="1:12" s="449" customFormat="1" ht="20.25" customHeight="1">
      <c r="A277" s="427"/>
      <c r="B277" s="427"/>
      <c r="C277" s="82">
        <v>4410</v>
      </c>
      <c r="D277" s="83" t="s">
        <v>179</v>
      </c>
      <c r="E277" s="554">
        <v>1400</v>
      </c>
      <c r="F277" s="554"/>
      <c r="G277" s="554">
        <v>787</v>
      </c>
      <c r="H277" s="414">
        <f t="shared" si="8"/>
        <v>2187</v>
      </c>
      <c r="I277" s="448"/>
      <c r="J277" s="448"/>
      <c r="L277" s="448"/>
    </row>
    <row r="278" spans="1:12" s="449" customFormat="1" ht="20.25" customHeight="1">
      <c r="A278" s="427"/>
      <c r="B278" s="427"/>
      <c r="C278" s="82">
        <v>4430</v>
      </c>
      <c r="D278" s="83" t="s">
        <v>176</v>
      </c>
      <c r="E278" s="554"/>
      <c r="F278" s="554"/>
      <c r="G278" s="554">
        <v>800</v>
      </c>
      <c r="H278" s="414">
        <f t="shared" si="8"/>
        <v>800</v>
      </c>
      <c r="I278" s="448"/>
      <c r="J278" s="448"/>
      <c r="L278" s="448"/>
    </row>
    <row r="279" spans="1:12" s="449" customFormat="1" ht="20.25" customHeight="1">
      <c r="A279" s="701"/>
      <c r="B279" s="701"/>
      <c r="C279" s="82">
        <v>4440</v>
      </c>
      <c r="D279" s="83" t="s">
        <v>404</v>
      </c>
      <c r="E279" s="554">
        <v>9600</v>
      </c>
      <c r="F279" s="554"/>
      <c r="G279" s="554">
        <v>700</v>
      </c>
      <c r="H279" s="414">
        <f t="shared" si="8"/>
        <v>10300</v>
      </c>
      <c r="I279" s="448"/>
      <c r="J279" s="448"/>
      <c r="L279" s="448"/>
    </row>
    <row r="280" spans="1:12" s="449" customFormat="1" ht="20.25" customHeight="1">
      <c r="A280" s="1156"/>
      <c r="B280" s="1156"/>
      <c r="C280" s="1068"/>
      <c r="D280" s="1157"/>
      <c r="E280" s="1158"/>
      <c r="F280" s="1158"/>
      <c r="G280" s="1158"/>
      <c r="H280" s="1159"/>
      <c r="I280" s="448"/>
      <c r="J280" s="448"/>
      <c r="L280" s="448"/>
    </row>
    <row r="281" spans="1:12" s="192" customFormat="1" ht="19.5" customHeight="1">
      <c r="A281" s="428">
        <v>853</v>
      </c>
      <c r="B281" s="73"/>
      <c r="C281" s="73"/>
      <c r="D281" s="629" t="s">
        <v>141</v>
      </c>
      <c r="E281" s="75">
        <v>585369</v>
      </c>
      <c r="F281" s="75"/>
      <c r="G281" s="602">
        <f>G282</f>
        <v>6191</v>
      </c>
      <c r="H281" s="602">
        <f t="shared" si="8"/>
        <v>591560</v>
      </c>
      <c r="I281" s="193"/>
      <c r="J281" s="193"/>
      <c r="L281" s="193"/>
    </row>
    <row r="282" spans="1:12" s="192" customFormat="1" ht="19.5" customHeight="1">
      <c r="A282" s="140"/>
      <c r="B282" s="78">
        <v>85334</v>
      </c>
      <c r="C282" s="78"/>
      <c r="D282" s="316" t="s">
        <v>372</v>
      </c>
      <c r="E282" s="136">
        <v>33369</v>
      </c>
      <c r="F282" s="136"/>
      <c r="G282" s="308">
        <f>G283</f>
        <v>6191</v>
      </c>
      <c r="H282" s="308">
        <f t="shared" si="8"/>
        <v>39560</v>
      </c>
      <c r="I282" s="193"/>
      <c r="J282" s="193"/>
      <c r="L282" s="193"/>
    </row>
    <row r="283" spans="1:12" s="192" customFormat="1" ht="19.5" customHeight="1">
      <c r="A283" s="167"/>
      <c r="B283" s="167"/>
      <c r="C283" s="791"/>
      <c r="D283" s="792" t="s">
        <v>373</v>
      </c>
      <c r="E283" s="142">
        <v>33369</v>
      </c>
      <c r="F283" s="142"/>
      <c r="G283" s="520">
        <f>G284</f>
        <v>6191</v>
      </c>
      <c r="H283" s="520">
        <f t="shared" si="8"/>
        <v>39560</v>
      </c>
      <c r="I283" s="193"/>
      <c r="J283" s="193"/>
      <c r="L283" s="193"/>
    </row>
    <row r="284" spans="1:12" s="192" customFormat="1" ht="19.5" customHeight="1">
      <c r="A284" s="310"/>
      <c r="B284" s="310"/>
      <c r="C284" s="82">
        <v>3110</v>
      </c>
      <c r="D284" s="580" t="s">
        <v>375</v>
      </c>
      <c r="E284" s="153">
        <v>11577</v>
      </c>
      <c r="F284" s="153"/>
      <c r="G284" s="414">
        <v>6191</v>
      </c>
      <c r="H284" s="414">
        <f t="shared" si="8"/>
        <v>17768</v>
      </c>
      <c r="I284" s="193"/>
      <c r="J284" s="193"/>
      <c r="L284" s="193"/>
    </row>
    <row r="285" spans="1:12" s="95" customFormat="1" ht="18.75" customHeight="1">
      <c r="A285" s="22"/>
      <c r="B285" s="22"/>
      <c r="C285" s="22"/>
      <c r="D285" s="22"/>
      <c r="E285" s="22"/>
      <c r="F285" s="22"/>
      <c r="G285" s="22"/>
      <c r="H285" s="22"/>
      <c r="I285" s="94"/>
      <c r="J285" s="94"/>
      <c r="L285" s="94"/>
    </row>
    <row r="286" spans="1:12" s="45" customFormat="1" ht="18.75" customHeight="1">
      <c r="A286" s="22"/>
      <c r="B286" s="22"/>
      <c r="C286" s="22"/>
      <c r="D286" s="22"/>
      <c r="E286" s="22"/>
      <c r="F286" s="22"/>
      <c r="G286" s="22"/>
      <c r="H286" s="22"/>
      <c r="I286" s="126"/>
      <c r="J286" s="126"/>
      <c r="L286" s="126"/>
    </row>
    <row r="287" spans="1:12" s="45" customFormat="1" ht="18.75" customHeight="1">
      <c r="A287" s="22"/>
      <c r="B287" s="22"/>
      <c r="C287" s="22"/>
      <c r="D287" s="1201" t="s">
        <v>562</v>
      </c>
      <c r="E287" s="1201" t="s">
        <v>559</v>
      </c>
      <c r="F287" s="22"/>
      <c r="G287" s="22"/>
      <c r="H287" s="22"/>
      <c r="I287" s="126"/>
      <c r="J287" s="126"/>
      <c r="L287" s="126"/>
    </row>
    <row r="288" spans="4:12" ht="21" customHeight="1">
      <c r="D288" s="1201" t="s">
        <v>563</v>
      </c>
      <c r="E288" s="1201" t="s">
        <v>560</v>
      </c>
      <c r="I288" s="47"/>
      <c r="J288" s="47"/>
      <c r="L288" s="47"/>
    </row>
    <row r="289" spans="4:12" ht="21" customHeight="1">
      <c r="D289" s="1201" t="s">
        <v>558</v>
      </c>
      <c r="E289" s="1201" t="s">
        <v>561</v>
      </c>
      <c r="I289" s="47"/>
      <c r="J289" s="47"/>
      <c r="L289" s="47"/>
    </row>
    <row r="290" ht="18.75" customHeight="1"/>
    <row r="291" ht="18.75" customHeight="1"/>
    <row r="292" spans="9:12" ht="21" customHeight="1">
      <c r="I292" s="47"/>
      <c r="J292" s="47"/>
      <c r="L292" s="47"/>
    </row>
    <row r="293" ht="18.75" customHeight="1"/>
    <row r="294" ht="19.5" customHeight="1"/>
    <row r="295" ht="19.5" customHeight="1"/>
    <row r="296" ht="19.5" customHeight="1"/>
    <row r="297" ht="18.75" customHeight="1"/>
    <row r="298" ht="18.75" customHeight="1"/>
    <row r="299" ht="28.5" customHeight="1"/>
    <row r="300" spans="1:9" s="33" customFormat="1" ht="18.75" customHeight="1">
      <c r="A300" s="22"/>
      <c r="B300" s="22"/>
      <c r="C300" s="22"/>
      <c r="D300" s="22"/>
      <c r="E300" s="22"/>
      <c r="F300" s="22"/>
      <c r="G300" s="22"/>
      <c r="H300" s="22"/>
      <c r="I300" s="127"/>
    </row>
    <row r="301" spans="1:9" s="33" customFormat="1" ht="18.75" customHeight="1">
      <c r="A301" s="22"/>
      <c r="B301" s="22"/>
      <c r="C301" s="22"/>
      <c r="D301" s="22"/>
      <c r="E301" s="22"/>
      <c r="F301" s="22"/>
      <c r="G301" s="22"/>
      <c r="H301" s="22"/>
      <c r="I301" s="127"/>
    </row>
    <row r="302" spans="1:9" s="33" customFormat="1" ht="18.75" customHeight="1">
      <c r="A302" s="22"/>
      <c r="B302" s="22"/>
      <c r="C302" s="22"/>
      <c r="D302" s="22"/>
      <c r="E302" s="22"/>
      <c r="F302" s="22"/>
      <c r="G302" s="22"/>
      <c r="H302" s="22"/>
      <c r="I302" s="127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spans="1:9" s="33" customFormat="1" ht="19.5" customHeight="1">
      <c r="A311" s="22"/>
      <c r="B311" s="22"/>
      <c r="C311" s="22"/>
      <c r="D311" s="22"/>
      <c r="E311" s="22"/>
      <c r="F311" s="22"/>
      <c r="G311" s="22"/>
      <c r="H311" s="22"/>
      <c r="I311" s="128"/>
    </row>
    <row r="312" spans="1:9" s="33" customFormat="1" ht="18.75" customHeight="1">
      <c r="A312" s="22"/>
      <c r="B312" s="22"/>
      <c r="C312" s="22"/>
      <c r="D312" s="22"/>
      <c r="E312" s="22"/>
      <c r="F312" s="22"/>
      <c r="G312" s="22"/>
      <c r="H312" s="22"/>
      <c r="I312" s="127"/>
    </row>
    <row r="313" spans="1:9" s="33" customFormat="1" ht="18.75" customHeight="1">
      <c r="A313" s="22"/>
      <c r="B313" s="22"/>
      <c r="C313" s="22"/>
      <c r="D313" s="22"/>
      <c r="E313" s="22"/>
      <c r="F313" s="22"/>
      <c r="G313" s="22"/>
      <c r="H313" s="22"/>
      <c r="I313" s="127"/>
    </row>
    <row r="314" spans="1:9" s="33" customFormat="1" ht="18.75" customHeight="1">
      <c r="A314" s="22"/>
      <c r="B314" s="22"/>
      <c r="C314" s="22"/>
      <c r="D314" s="22"/>
      <c r="E314" s="22"/>
      <c r="F314" s="22"/>
      <c r="G314" s="22"/>
      <c r="H314" s="22"/>
      <c r="I314" s="127"/>
    </row>
    <row r="315" ht="19.5" customHeight="1"/>
    <row r="316" ht="18.75" customHeight="1"/>
    <row r="317" spans="1:9" s="33" customFormat="1" ht="18.75" customHeight="1">
      <c r="A317" s="22"/>
      <c r="B317" s="22"/>
      <c r="C317" s="22"/>
      <c r="D317" s="22"/>
      <c r="E317" s="22"/>
      <c r="F317" s="22"/>
      <c r="G317" s="22"/>
      <c r="H317" s="22"/>
      <c r="I317" s="127"/>
    </row>
    <row r="318" ht="18.75" customHeight="1"/>
    <row r="319" spans="1:9" s="33" customFormat="1" ht="18.75" customHeight="1">
      <c r="A319" s="22"/>
      <c r="B319" s="22"/>
      <c r="C319" s="22"/>
      <c r="D319" s="22"/>
      <c r="E319" s="22"/>
      <c r="F319" s="22"/>
      <c r="G319" s="22"/>
      <c r="H319" s="22"/>
      <c r="I319" s="127"/>
    </row>
    <row r="320" spans="1:9" s="33" customFormat="1" ht="27" customHeight="1">
      <c r="A320" s="22"/>
      <c r="B320" s="22"/>
      <c r="C320" s="22"/>
      <c r="D320" s="22"/>
      <c r="E320" s="22"/>
      <c r="F320" s="22"/>
      <c r="G320" s="22"/>
      <c r="H320" s="22"/>
      <c r="I320" s="127"/>
    </row>
    <row r="321" spans="1:9" s="33" customFormat="1" ht="18.75" customHeight="1">
      <c r="A321" s="22"/>
      <c r="B321" s="22"/>
      <c r="C321" s="22"/>
      <c r="D321" s="22"/>
      <c r="E321" s="22"/>
      <c r="F321" s="22"/>
      <c r="G321" s="22"/>
      <c r="H321" s="22"/>
      <c r="I321" s="127"/>
    </row>
    <row r="322" spans="1:9" s="33" customFormat="1" ht="19.5" customHeight="1">
      <c r="A322" s="22"/>
      <c r="B322" s="22"/>
      <c r="C322" s="22"/>
      <c r="D322" s="22"/>
      <c r="E322" s="22"/>
      <c r="F322" s="22"/>
      <c r="G322" s="22"/>
      <c r="H322" s="22"/>
      <c r="I322" s="127"/>
    </row>
    <row r="323" ht="19.5" customHeight="1"/>
    <row r="324" ht="19.5" customHeight="1"/>
    <row r="325" ht="19.5" customHeight="1"/>
    <row r="326" ht="19.5" customHeight="1"/>
    <row r="327" ht="19.5" customHeight="1"/>
    <row r="328" spans="1:9" s="33" customFormat="1" ht="18.75" customHeight="1">
      <c r="A328" s="22"/>
      <c r="B328" s="22"/>
      <c r="C328" s="22"/>
      <c r="D328" s="22"/>
      <c r="E328" s="22"/>
      <c r="F328" s="22"/>
      <c r="G328" s="22"/>
      <c r="H328" s="22"/>
      <c r="I328" s="127"/>
    </row>
    <row r="329" spans="1:9" s="33" customFormat="1" ht="19.5" customHeight="1">
      <c r="A329" s="22"/>
      <c r="B329" s="22"/>
      <c r="C329" s="22"/>
      <c r="D329" s="22"/>
      <c r="E329" s="22"/>
      <c r="F329" s="22"/>
      <c r="G329" s="22"/>
      <c r="H329" s="22"/>
      <c r="I329" s="127"/>
    </row>
    <row r="330" ht="19.5" customHeight="1"/>
    <row r="331" ht="18.75" customHeight="1"/>
    <row r="332" ht="18" customHeight="1"/>
    <row r="333" ht="28.5" customHeight="1"/>
    <row r="334" ht="20.25" customHeight="1"/>
    <row r="335" ht="18" customHeight="1"/>
    <row r="336" ht="19.5" customHeight="1"/>
    <row r="337" ht="20.25" customHeight="1"/>
    <row r="338" ht="20.25" customHeight="1"/>
    <row r="339" ht="20.25" customHeight="1"/>
    <row r="340" spans="1:8" s="33" customFormat="1" ht="27" customHeight="1">
      <c r="A340" s="22"/>
      <c r="B340" s="22"/>
      <c r="C340" s="22"/>
      <c r="D340" s="22"/>
      <c r="E340" s="22"/>
      <c r="F340" s="22"/>
      <c r="G340" s="22"/>
      <c r="H340" s="22"/>
    </row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27.75" customHeight="1"/>
    <row r="361" ht="20.25" customHeight="1"/>
    <row r="362" ht="20.25" customHeight="1"/>
    <row r="363" ht="19.5" customHeight="1"/>
    <row r="364" ht="25.5" customHeight="1"/>
    <row r="365" ht="26.25" customHeight="1"/>
    <row r="366" ht="19.5" customHeight="1"/>
    <row r="367" ht="18.75" customHeight="1"/>
    <row r="368" ht="18" customHeight="1"/>
    <row r="369" ht="19.5" customHeight="1"/>
    <row r="370" ht="19.5" customHeight="1"/>
    <row r="371" ht="20.25" customHeight="1"/>
    <row r="372" ht="19.5" customHeight="1"/>
    <row r="373" ht="19.5" customHeight="1"/>
    <row r="374" ht="20.25" customHeight="1"/>
    <row r="375" ht="18" customHeight="1"/>
    <row r="376" ht="19.5" customHeight="1"/>
    <row r="377" ht="19.5" customHeight="1"/>
  </sheetData>
  <printOptions horizontalCentered="1"/>
  <pageMargins left="0.3937007874015748" right="0.3937007874015748" top="0.61" bottom="0.47" header="0.5118110236220472" footer="0.31496062992125984"/>
  <pageSetup firstPageNumber="19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L413"/>
  <sheetViews>
    <sheetView zoomScaleSheetLayoutView="75" workbookViewId="0" topLeftCell="A1">
      <selection activeCell="F4" sqref="F4"/>
    </sheetView>
  </sheetViews>
  <sheetFormatPr defaultColWidth="9.00390625" defaultRowHeight="12.75"/>
  <cols>
    <col min="1" max="1" width="7.875" style="107" customWidth="1"/>
    <col min="2" max="2" width="8.00390625" style="0" customWidth="1"/>
    <col min="3" max="3" width="8.125" style="0" customWidth="1"/>
    <col min="4" max="4" width="68.625" style="0" customWidth="1"/>
    <col min="5" max="8" width="14.75390625" style="0" customWidth="1"/>
    <col min="9" max="9" width="11.125" style="0" customWidth="1"/>
    <col min="10" max="10" width="12.125" style="0" customWidth="1"/>
    <col min="11" max="11" width="13.00390625" style="0" customWidth="1"/>
  </cols>
  <sheetData>
    <row r="1" spans="1:7" ht="18.75" customHeight="1">
      <c r="A1" s="49"/>
      <c r="G1" s="50" t="s">
        <v>346</v>
      </c>
    </row>
    <row r="2" spans="1:7" ht="18.75" customHeight="1">
      <c r="A2" s="51"/>
      <c r="G2" s="22" t="s">
        <v>538</v>
      </c>
    </row>
    <row r="3" spans="1:7" ht="19.5" customHeight="1">
      <c r="A3" s="51"/>
      <c r="C3" s="1"/>
      <c r="D3" s="4" t="s">
        <v>102</v>
      </c>
      <c r="E3" s="4"/>
      <c r="G3" s="22" t="s">
        <v>67</v>
      </c>
    </row>
    <row r="4" spans="1:7" ht="19.5" customHeight="1">
      <c r="A4" s="49"/>
      <c r="C4" s="1"/>
      <c r="D4" s="4" t="s">
        <v>103</v>
      </c>
      <c r="E4" s="4"/>
      <c r="F4" s="52"/>
      <c r="G4" s="22" t="s">
        <v>443</v>
      </c>
    </row>
    <row r="5" ht="11.25" customHeight="1">
      <c r="A5" s="49"/>
    </row>
    <row r="6" spans="1:8" ht="15" customHeight="1" thickBot="1">
      <c r="A6" s="53"/>
      <c r="H6" s="54" t="s">
        <v>68</v>
      </c>
    </row>
    <row r="7" spans="1:10" ht="23.25" customHeight="1" thickTop="1">
      <c r="A7" s="1183" t="s">
        <v>72</v>
      </c>
      <c r="B7" s="1185" t="s">
        <v>104</v>
      </c>
      <c r="C7" s="1185" t="s">
        <v>105</v>
      </c>
      <c r="D7" s="1181" t="s">
        <v>106</v>
      </c>
      <c r="E7" s="1187" t="s">
        <v>107</v>
      </c>
      <c r="F7" s="1188"/>
      <c r="G7" s="1179" t="s">
        <v>108</v>
      </c>
      <c r="H7" s="1180"/>
      <c r="J7" s="52"/>
    </row>
    <row r="8" spans="1:8" ht="24.75" customHeight="1" thickBot="1">
      <c r="A8" s="1184"/>
      <c r="B8" s="1186"/>
      <c r="C8" s="1186"/>
      <c r="D8" s="1182"/>
      <c r="E8" s="55" t="s">
        <v>109</v>
      </c>
      <c r="F8" s="56" t="s">
        <v>110</v>
      </c>
      <c r="G8" s="55" t="s">
        <v>109</v>
      </c>
      <c r="H8" s="56" t="s">
        <v>110</v>
      </c>
    </row>
    <row r="9" spans="1:8" ht="15.75" customHeight="1" thickBot="1" thickTop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9">
        <v>6</v>
      </c>
      <c r="G9" s="59">
        <v>7</v>
      </c>
      <c r="H9" s="59">
        <v>8</v>
      </c>
    </row>
    <row r="10" spans="1:12" ht="19.5" customHeight="1" thickBot="1" thickTop="1">
      <c r="A10" s="60"/>
      <c r="B10" s="60"/>
      <c r="C10" s="60"/>
      <c r="D10" s="61" t="s">
        <v>111</v>
      </c>
      <c r="E10" s="62"/>
      <c r="F10" s="62">
        <f>F11+F262+F273+F282+F296+F311</f>
        <v>323202</v>
      </c>
      <c r="G10" s="62">
        <f>G11+G262+G273+G282+G296+G311</f>
        <v>3925840</v>
      </c>
      <c r="H10" s="62">
        <f>H11+H262+H273+H282+H296+H311</f>
        <v>4249042</v>
      </c>
      <c r="I10" s="52"/>
      <c r="J10" s="52"/>
      <c r="K10" s="52"/>
      <c r="L10" s="52"/>
    </row>
    <row r="11" spans="1:11" ht="22.5" customHeight="1">
      <c r="A11" s="63"/>
      <c r="B11" s="63"/>
      <c r="C11" s="63"/>
      <c r="D11" s="64" t="s">
        <v>90</v>
      </c>
      <c r="E11" s="65"/>
      <c r="F11" s="65">
        <f>F12+F24+F72+F78+F104+F179+F190+F230</f>
        <v>323202</v>
      </c>
      <c r="G11" s="65">
        <f>G12+G24+G72+G78+G104+G179+G190+G230</f>
        <v>3896251</v>
      </c>
      <c r="H11" s="65">
        <f>H12+H24+H72+H78+H104+H179+H190+H230</f>
        <v>2596226</v>
      </c>
      <c r="I11" s="52"/>
      <c r="K11" s="52"/>
    </row>
    <row r="12" spans="1:9" ht="21" customHeight="1">
      <c r="A12" s="108"/>
      <c r="B12" s="108"/>
      <c r="C12" s="109"/>
      <c r="D12" s="110" t="s">
        <v>454</v>
      </c>
      <c r="E12" s="110"/>
      <c r="F12" s="111"/>
      <c r="G12" s="112">
        <f>G13</f>
        <v>5000</v>
      </c>
      <c r="H12" s="112">
        <f>H13</f>
        <v>5000</v>
      </c>
      <c r="I12" s="52"/>
    </row>
    <row r="13" spans="1:9" ht="19.5" customHeight="1" thickBot="1">
      <c r="A13" s="113"/>
      <c r="B13" s="113"/>
      <c r="C13" s="113"/>
      <c r="D13" s="114" t="s">
        <v>112</v>
      </c>
      <c r="E13" s="114"/>
      <c r="F13" s="115"/>
      <c r="G13" s="115">
        <f>G14</f>
        <v>5000</v>
      </c>
      <c r="H13" s="115">
        <f>H14</f>
        <v>5000</v>
      </c>
      <c r="I13" s="52"/>
    </row>
    <row r="14" spans="1:11" ht="18" customHeight="1" thickTop="1">
      <c r="A14" s="89">
        <v>754</v>
      </c>
      <c r="B14" s="89"/>
      <c r="C14" s="89"/>
      <c r="D14" s="89" t="s">
        <v>92</v>
      </c>
      <c r="E14" s="89"/>
      <c r="F14" s="525"/>
      <c r="G14" s="75">
        <f>G15+G19</f>
        <v>5000</v>
      </c>
      <c r="H14" s="75">
        <f>H15+H19</f>
        <v>5000</v>
      </c>
      <c r="I14" s="52"/>
      <c r="K14" s="52"/>
    </row>
    <row r="15" spans="1:11" ht="18" customHeight="1">
      <c r="A15" s="81"/>
      <c r="B15" s="78">
        <v>75412</v>
      </c>
      <c r="C15" s="78"/>
      <c r="D15" s="78" t="s">
        <v>173</v>
      </c>
      <c r="E15" s="136"/>
      <c r="F15" s="136"/>
      <c r="G15" s="136">
        <f>G16</f>
        <v>1000</v>
      </c>
      <c r="H15" s="136">
        <f>H16</f>
        <v>1000</v>
      </c>
      <c r="I15" s="52"/>
      <c r="K15" s="52"/>
    </row>
    <row r="16" spans="1:11" ht="18" customHeight="1">
      <c r="A16" s="204"/>
      <c r="B16" s="93"/>
      <c r="C16" s="66"/>
      <c r="D16" s="209" t="s">
        <v>23</v>
      </c>
      <c r="E16" s="524"/>
      <c r="F16" s="524"/>
      <c r="G16" s="524">
        <f>SUM(G17:G18)</f>
        <v>1000</v>
      </c>
      <c r="H16" s="524">
        <f>SUM(H17:H18)</f>
        <v>1000</v>
      </c>
      <c r="I16" s="52"/>
      <c r="K16" s="52"/>
    </row>
    <row r="17" spans="1:11" ht="18" customHeight="1">
      <c r="A17" s="203"/>
      <c r="B17" s="167"/>
      <c r="C17" s="310">
        <v>4260</v>
      </c>
      <c r="D17" s="312" t="s">
        <v>174</v>
      </c>
      <c r="E17" s="153"/>
      <c r="F17" s="153"/>
      <c r="G17" s="153"/>
      <c r="H17" s="153">
        <v>1000</v>
      </c>
      <c r="I17" s="52"/>
      <c r="K17" s="52"/>
    </row>
    <row r="18" spans="1:11" ht="18" customHeight="1">
      <c r="A18" s="203"/>
      <c r="B18" s="313"/>
      <c r="C18" s="310">
        <v>4280</v>
      </c>
      <c r="D18" s="312" t="s">
        <v>175</v>
      </c>
      <c r="E18" s="749"/>
      <c r="F18" s="749"/>
      <c r="G18" s="771">
        <v>1000</v>
      </c>
      <c r="H18" s="771"/>
      <c r="I18" s="52"/>
      <c r="K18" s="52"/>
    </row>
    <row r="19" spans="1:11" s="147" customFormat="1" ht="18" customHeight="1">
      <c r="A19" s="81"/>
      <c r="B19" s="78">
        <v>75495</v>
      </c>
      <c r="C19" s="78"/>
      <c r="D19" s="78" t="s">
        <v>96</v>
      </c>
      <c r="E19" s="78"/>
      <c r="F19" s="523"/>
      <c r="G19" s="136">
        <f>G20</f>
        <v>4000</v>
      </c>
      <c r="H19" s="136">
        <f>H20</f>
        <v>4000</v>
      </c>
      <c r="I19" s="146"/>
      <c r="K19" s="146"/>
    </row>
    <row r="20" spans="1:11" s="147" customFormat="1" ht="18" customHeight="1">
      <c r="A20" s="204"/>
      <c r="B20" s="205"/>
      <c r="C20" s="108"/>
      <c r="D20" s="209" t="s">
        <v>452</v>
      </c>
      <c r="E20" s="524"/>
      <c r="F20" s="524"/>
      <c r="G20" s="524">
        <f>G23+G21</f>
        <v>4000</v>
      </c>
      <c r="H20" s="524">
        <f>H23+H21</f>
        <v>4000</v>
      </c>
      <c r="I20" s="146"/>
      <c r="K20" s="146"/>
    </row>
    <row r="21" spans="1:11" s="147" customFormat="1" ht="18" customHeight="1">
      <c r="A21" s="203"/>
      <c r="B21" s="167"/>
      <c r="C21" s="310">
        <v>4210</v>
      </c>
      <c r="D21" s="312" t="s">
        <v>113</v>
      </c>
      <c r="E21" s="159"/>
      <c r="F21" s="159"/>
      <c r="G21" s="159"/>
      <c r="H21" s="159">
        <v>4000</v>
      </c>
      <c r="I21" s="146"/>
      <c r="K21" s="146"/>
    </row>
    <row r="22" spans="1:11" s="147" customFormat="1" ht="18" customHeight="1">
      <c r="A22" s="203"/>
      <c r="B22" s="85"/>
      <c r="C22" s="530"/>
      <c r="D22" s="860" t="s">
        <v>453</v>
      </c>
      <c r="E22" s="709"/>
      <c r="F22" s="709"/>
      <c r="G22" s="709">
        <v>4000</v>
      </c>
      <c r="H22" s="709"/>
      <c r="I22" s="146"/>
      <c r="K22" s="146"/>
    </row>
    <row r="23" spans="1:11" s="147" customFormat="1" ht="18" customHeight="1">
      <c r="A23" s="203"/>
      <c r="B23" s="85"/>
      <c r="C23" s="82">
        <v>6050</v>
      </c>
      <c r="D23" s="82" t="s">
        <v>197</v>
      </c>
      <c r="E23" s="706"/>
      <c r="F23" s="706"/>
      <c r="G23" s="706">
        <f>G22</f>
        <v>4000</v>
      </c>
      <c r="H23" s="706"/>
      <c r="I23" s="146"/>
      <c r="K23" s="146"/>
    </row>
    <row r="24" spans="1:10" ht="19.5" customHeight="1">
      <c r="A24" s="67"/>
      <c r="B24" s="67"/>
      <c r="C24" s="68"/>
      <c r="D24" s="64" t="s">
        <v>2</v>
      </c>
      <c r="E24" s="65"/>
      <c r="F24" s="65">
        <f>F25+F35</f>
        <v>323202</v>
      </c>
      <c r="G24" s="65">
        <f>G49</f>
        <v>1475420</v>
      </c>
      <c r="H24" s="65">
        <f>H49</f>
        <v>476000</v>
      </c>
      <c r="I24" s="146"/>
      <c r="J24" s="52"/>
    </row>
    <row r="25" spans="1:9" ht="18.75" customHeight="1" thickBot="1">
      <c r="A25" s="67"/>
      <c r="B25" s="67"/>
      <c r="C25" s="68"/>
      <c r="D25" s="263" t="s">
        <v>272</v>
      </c>
      <c r="E25" s="263"/>
      <c r="F25" s="264">
        <f>F26</f>
        <v>264030</v>
      </c>
      <c r="G25" s="265"/>
      <c r="H25" s="265"/>
      <c r="I25" s="52"/>
    </row>
    <row r="26" spans="1:9" ht="18.75" customHeight="1" thickBot="1">
      <c r="A26" s="67"/>
      <c r="B26" s="67"/>
      <c r="C26" s="68"/>
      <c r="D26" s="225" t="s">
        <v>266</v>
      </c>
      <c r="E26" s="225"/>
      <c r="F26" s="230">
        <f>F27+F31</f>
        <v>264030</v>
      </c>
      <c r="G26" s="230"/>
      <c r="H26" s="230"/>
      <c r="I26" s="52"/>
    </row>
    <row r="27" spans="1:9" ht="18.75" customHeight="1" thickTop="1">
      <c r="A27" s="182">
        <v>801</v>
      </c>
      <c r="B27" s="72"/>
      <c r="C27" s="249"/>
      <c r="D27" s="227" t="s">
        <v>97</v>
      </c>
      <c r="E27" s="250"/>
      <c r="F27" s="250">
        <f>F28</f>
        <v>19947</v>
      </c>
      <c r="G27" s="250"/>
      <c r="H27" s="765"/>
      <c r="I27" s="52"/>
    </row>
    <row r="28" spans="1:9" ht="18.75" customHeight="1">
      <c r="A28" s="251"/>
      <c r="B28" s="221">
        <v>80195</v>
      </c>
      <c r="C28" s="252"/>
      <c r="D28" s="477" t="s">
        <v>96</v>
      </c>
      <c r="E28" s="253"/>
      <c r="F28" s="253">
        <f>F29</f>
        <v>19947</v>
      </c>
      <c r="G28" s="253"/>
      <c r="H28" s="220"/>
      <c r="I28" s="52"/>
    </row>
    <row r="29" spans="1:9" ht="27" customHeight="1">
      <c r="A29" s="183"/>
      <c r="B29" s="76"/>
      <c r="C29" s="214"/>
      <c r="D29" s="478" t="s">
        <v>444</v>
      </c>
      <c r="E29" s="254"/>
      <c r="F29" s="254">
        <f>F30</f>
        <v>19947</v>
      </c>
      <c r="G29" s="254"/>
      <c r="H29" s="255"/>
      <c r="I29" s="52"/>
    </row>
    <row r="30" spans="1:9" ht="26.25" customHeight="1">
      <c r="A30" s="86"/>
      <c r="B30" s="86"/>
      <c r="C30" s="256">
        <v>2030</v>
      </c>
      <c r="D30" s="479" t="s">
        <v>341</v>
      </c>
      <c r="E30" s="257"/>
      <c r="F30" s="257">
        <v>19947</v>
      </c>
      <c r="G30" s="257"/>
      <c r="H30" s="770"/>
      <c r="I30" s="52"/>
    </row>
    <row r="31" spans="1:9" ht="18.75" customHeight="1">
      <c r="A31" s="182">
        <v>852</v>
      </c>
      <c r="B31" s="72"/>
      <c r="C31" s="249"/>
      <c r="D31" s="227" t="s">
        <v>98</v>
      </c>
      <c r="E31" s="1043"/>
      <c r="F31" s="232">
        <f>F32</f>
        <v>244083</v>
      </c>
      <c r="G31" s="231"/>
      <c r="H31" s="1044"/>
      <c r="I31" s="52"/>
    </row>
    <row r="32" spans="1:9" s="309" customFormat="1" ht="18.75" customHeight="1">
      <c r="A32" s="251"/>
      <c r="B32" s="221">
        <v>85295</v>
      </c>
      <c r="C32" s="252"/>
      <c r="D32" s="477" t="s">
        <v>96</v>
      </c>
      <c r="E32" s="477"/>
      <c r="F32" s="233">
        <f>F33</f>
        <v>244083</v>
      </c>
      <c r="G32" s="233"/>
      <c r="H32" s="233"/>
      <c r="I32" s="451"/>
    </row>
    <row r="33" spans="1:9" s="449" customFormat="1" ht="25.5" customHeight="1">
      <c r="A33" s="183"/>
      <c r="B33" s="76"/>
      <c r="C33" s="214"/>
      <c r="D33" s="478" t="s">
        <v>376</v>
      </c>
      <c r="E33" s="478"/>
      <c r="F33" s="450">
        <f>F34</f>
        <v>244083</v>
      </c>
      <c r="G33" s="450"/>
      <c r="H33" s="450"/>
      <c r="I33" s="448"/>
    </row>
    <row r="34" spans="1:11" s="147" customFormat="1" ht="25.5" customHeight="1">
      <c r="A34" s="85"/>
      <c r="B34" s="85"/>
      <c r="C34" s="256">
        <v>2030</v>
      </c>
      <c r="D34" s="479" t="s">
        <v>341</v>
      </c>
      <c r="E34" s="312"/>
      <c r="F34" s="159">
        <v>244083</v>
      </c>
      <c r="G34" s="159"/>
      <c r="H34" s="159"/>
      <c r="I34" s="146"/>
      <c r="K34" s="146"/>
    </row>
    <row r="35" spans="1:9" ht="16.5" customHeight="1" thickBot="1">
      <c r="A35" s="67"/>
      <c r="B35" s="67"/>
      <c r="C35" s="68"/>
      <c r="D35" s="263" t="s">
        <v>525</v>
      </c>
      <c r="E35" s="263"/>
      <c r="F35" s="264">
        <f>F36</f>
        <v>59172</v>
      </c>
      <c r="G35" s="265"/>
      <c r="H35" s="265"/>
      <c r="I35" s="52"/>
    </row>
    <row r="36" spans="1:11" s="147" customFormat="1" ht="25.5" customHeight="1" thickBot="1">
      <c r="A36" s="86"/>
      <c r="B36" s="86"/>
      <c r="C36" s="86"/>
      <c r="D36" s="967" t="s">
        <v>421</v>
      </c>
      <c r="E36" s="968"/>
      <c r="F36" s="968">
        <f>F37+F41+F45</f>
        <v>59172</v>
      </c>
      <c r="G36" s="968"/>
      <c r="H36" s="968"/>
      <c r="I36" s="146"/>
      <c r="K36" s="146"/>
    </row>
    <row r="37" spans="1:11" s="147" customFormat="1" ht="19.5" customHeight="1" thickTop="1">
      <c r="A37" s="962">
        <v>700</v>
      </c>
      <c r="B37" s="428"/>
      <c r="C37" s="854"/>
      <c r="D37" s="476" t="s">
        <v>129</v>
      </c>
      <c r="E37" s="250"/>
      <c r="F37" s="250">
        <f>F38</f>
        <v>1251</v>
      </c>
      <c r="G37" s="250"/>
      <c r="H37" s="87"/>
      <c r="I37" s="146"/>
      <c r="K37" s="146"/>
    </row>
    <row r="38" spans="1:11" s="147" customFormat="1" ht="19.5" customHeight="1">
      <c r="A38" s="447"/>
      <c r="B38" s="963">
        <v>70005</v>
      </c>
      <c r="C38" s="252"/>
      <c r="D38" s="477" t="s">
        <v>130</v>
      </c>
      <c r="E38" s="253"/>
      <c r="F38" s="253">
        <f>F39</f>
        <v>1251</v>
      </c>
      <c r="G38" s="253"/>
      <c r="H38" s="220"/>
      <c r="I38" s="146"/>
      <c r="K38" s="146"/>
    </row>
    <row r="39" spans="1:11" s="147" customFormat="1" ht="25.5" customHeight="1">
      <c r="A39" s="66"/>
      <c r="B39" s="66"/>
      <c r="C39" s="464"/>
      <c r="D39" s="964" t="s">
        <v>27</v>
      </c>
      <c r="E39" s="254"/>
      <c r="F39" s="254">
        <f>F40</f>
        <v>1251</v>
      </c>
      <c r="G39" s="254"/>
      <c r="H39" s="255"/>
      <c r="I39" s="146"/>
      <c r="K39" s="146"/>
    </row>
    <row r="40" spans="1:11" s="147" customFormat="1" ht="25.5" customHeight="1">
      <c r="A40" s="81"/>
      <c r="B40" s="82"/>
      <c r="C40" s="965">
        <v>2110</v>
      </c>
      <c r="D40" s="529" t="s">
        <v>361</v>
      </c>
      <c r="E40" s="257"/>
      <c r="F40" s="257">
        <v>1251</v>
      </c>
      <c r="G40" s="257"/>
      <c r="H40" s="257"/>
      <c r="I40" s="146"/>
      <c r="K40" s="146"/>
    </row>
    <row r="41" spans="1:11" s="147" customFormat="1" ht="16.5" customHeight="1">
      <c r="A41" s="962">
        <v>710</v>
      </c>
      <c r="B41" s="428"/>
      <c r="C41" s="854"/>
      <c r="D41" s="476" t="s">
        <v>312</v>
      </c>
      <c r="E41" s="250"/>
      <c r="F41" s="250">
        <f>F42</f>
        <v>51730</v>
      </c>
      <c r="G41" s="250"/>
      <c r="H41" s="87"/>
      <c r="I41" s="146"/>
      <c r="K41" s="146"/>
    </row>
    <row r="42" spans="1:11" s="147" customFormat="1" ht="17.25" customHeight="1">
      <c r="A42" s="447"/>
      <c r="B42" s="963">
        <v>71015</v>
      </c>
      <c r="C42" s="252"/>
      <c r="D42" s="477" t="s">
        <v>446</v>
      </c>
      <c r="E42" s="253"/>
      <c r="F42" s="253">
        <f>F43</f>
        <v>51730</v>
      </c>
      <c r="G42" s="253"/>
      <c r="H42" s="220"/>
      <c r="I42" s="146"/>
      <c r="K42" s="146"/>
    </row>
    <row r="43" spans="1:11" s="147" customFormat="1" ht="25.5" customHeight="1">
      <c r="A43" s="66"/>
      <c r="B43" s="66"/>
      <c r="C43" s="464"/>
      <c r="D43" s="964" t="s">
        <v>28</v>
      </c>
      <c r="E43" s="254"/>
      <c r="F43" s="254">
        <f>F44</f>
        <v>51730</v>
      </c>
      <c r="G43" s="254"/>
      <c r="H43" s="255"/>
      <c r="I43" s="146"/>
      <c r="K43" s="146"/>
    </row>
    <row r="44" spans="1:11" s="147" customFormat="1" ht="25.5" customHeight="1">
      <c r="A44" s="82"/>
      <c r="B44" s="82"/>
      <c r="C44" s="965">
        <v>2110</v>
      </c>
      <c r="D44" s="966" t="s">
        <v>361</v>
      </c>
      <c r="E44" s="257"/>
      <c r="F44" s="257">
        <v>51730</v>
      </c>
      <c r="G44" s="257"/>
      <c r="H44" s="257"/>
      <c r="I44" s="146"/>
      <c r="K44" s="146"/>
    </row>
    <row r="45" spans="1:11" s="147" customFormat="1" ht="19.5" customHeight="1">
      <c r="A45" s="962">
        <v>853</v>
      </c>
      <c r="B45" s="428"/>
      <c r="C45" s="854"/>
      <c r="D45" s="476" t="s">
        <v>141</v>
      </c>
      <c r="E45" s="250"/>
      <c r="F45" s="250">
        <f>F46</f>
        <v>6191</v>
      </c>
      <c r="G45" s="250"/>
      <c r="H45" s="87"/>
      <c r="I45" s="146"/>
      <c r="K45" s="146"/>
    </row>
    <row r="46" spans="1:11" s="147" customFormat="1" ht="16.5" customHeight="1">
      <c r="A46" s="447"/>
      <c r="B46" s="963">
        <v>85334</v>
      </c>
      <c r="C46" s="252"/>
      <c r="D46" s="477" t="s">
        <v>372</v>
      </c>
      <c r="E46" s="253"/>
      <c r="F46" s="253">
        <f>F47</f>
        <v>6191</v>
      </c>
      <c r="G46" s="253"/>
      <c r="H46" s="220"/>
      <c r="I46" s="146"/>
      <c r="K46" s="146"/>
    </row>
    <row r="47" spans="1:11" s="147" customFormat="1" ht="16.5" customHeight="1">
      <c r="A47" s="66"/>
      <c r="B47" s="66"/>
      <c r="C47" s="464"/>
      <c r="D47" s="536" t="s">
        <v>374</v>
      </c>
      <c r="E47" s="254"/>
      <c r="F47" s="254">
        <f>F48</f>
        <v>6191</v>
      </c>
      <c r="G47" s="254"/>
      <c r="H47" s="255"/>
      <c r="I47" s="146"/>
      <c r="K47" s="146"/>
    </row>
    <row r="48" spans="1:11" s="147" customFormat="1" ht="25.5" customHeight="1">
      <c r="A48" s="81"/>
      <c r="B48" s="81"/>
      <c r="C48" s="965">
        <v>2110</v>
      </c>
      <c r="D48" s="529" t="s">
        <v>361</v>
      </c>
      <c r="E48" s="257"/>
      <c r="F48" s="257">
        <v>6191</v>
      </c>
      <c r="G48" s="257"/>
      <c r="H48" s="257"/>
      <c r="I48" s="146"/>
      <c r="K48" s="146"/>
    </row>
    <row r="49" spans="1:9" s="130" customFormat="1" ht="19.5" customHeight="1" thickBot="1">
      <c r="A49" s="148"/>
      <c r="B49" s="148"/>
      <c r="C49" s="148"/>
      <c r="D49" s="149" t="s">
        <v>91</v>
      </c>
      <c r="E49" s="149"/>
      <c r="F49" s="150"/>
      <c r="G49" s="150">
        <f>G50+G60</f>
        <v>1475420</v>
      </c>
      <c r="H49" s="150">
        <f>H50+H60+H65</f>
        <v>476000</v>
      </c>
      <c r="I49" s="137"/>
    </row>
    <row r="50" spans="1:9" ht="16.5" customHeight="1" thickTop="1">
      <c r="A50" s="72">
        <v>758</v>
      </c>
      <c r="B50" s="89"/>
      <c r="C50" s="73"/>
      <c r="D50" s="73" t="s">
        <v>93</v>
      </c>
      <c r="E50" s="73"/>
      <c r="F50" s="87"/>
      <c r="G50" s="87">
        <f>G51</f>
        <v>1475420</v>
      </c>
      <c r="H50" s="87"/>
      <c r="I50" s="52"/>
    </row>
    <row r="51" spans="1:9" s="147" customFormat="1" ht="17.25" customHeight="1">
      <c r="A51" s="140"/>
      <c r="B51" s="141">
        <v>75818</v>
      </c>
      <c r="C51" s="141"/>
      <c r="D51" s="141" t="s">
        <v>94</v>
      </c>
      <c r="E51" s="141"/>
      <c r="F51" s="145"/>
      <c r="G51" s="145">
        <f>G52+G54+G58</f>
        <v>1475420</v>
      </c>
      <c r="H51" s="145"/>
      <c r="I51" s="146"/>
    </row>
    <row r="52" spans="1:9" s="224" customFormat="1" ht="19.5" customHeight="1">
      <c r="A52" s="404"/>
      <c r="B52" s="405"/>
      <c r="C52" s="405"/>
      <c r="D52" s="635" t="s">
        <v>426</v>
      </c>
      <c r="E52" s="407"/>
      <c r="F52" s="408"/>
      <c r="G52" s="408">
        <f>G53</f>
        <v>599837</v>
      </c>
      <c r="H52" s="408"/>
      <c r="I52" s="208"/>
    </row>
    <row r="53" spans="1:9" s="155" customFormat="1" ht="19.5" customHeight="1">
      <c r="A53" s="406"/>
      <c r="B53" s="152"/>
      <c r="C53" s="310">
        <v>4810</v>
      </c>
      <c r="D53" s="310" t="s">
        <v>115</v>
      </c>
      <c r="E53" s="310"/>
      <c r="F53" s="409"/>
      <c r="G53" s="409">
        <f>9837+420000+120000+50000</f>
        <v>599837</v>
      </c>
      <c r="H53" s="409"/>
      <c r="I53" s="154"/>
    </row>
    <row r="54" spans="1:9" s="224" customFormat="1" ht="27.75" customHeight="1">
      <c r="A54" s="404"/>
      <c r="B54" s="405"/>
      <c r="C54" s="405"/>
      <c r="D54" s="866" t="s">
        <v>425</v>
      </c>
      <c r="E54" s="867"/>
      <c r="F54" s="868"/>
      <c r="G54" s="868">
        <f>G55+G57</f>
        <v>622073</v>
      </c>
      <c r="H54" s="868"/>
      <c r="I54" s="208"/>
    </row>
    <row r="55" spans="1:9" s="155" customFormat="1" ht="18.75" customHeight="1">
      <c r="A55" s="406"/>
      <c r="B55" s="152"/>
      <c r="C55" s="310">
        <v>4810</v>
      </c>
      <c r="D55" s="310" t="s">
        <v>115</v>
      </c>
      <c r="E55" s="310"/>
      <c r="F55" s="409"/>
      <c r="G55" s="409">
        <f>51000</f>
        <v>51000</v>
      </c>
      <c r="H55" s="409"/>
      <c r="I55" s="154"/>
    </row>
    <row r="56" spans="1:9" s="155" customFormat="1" ht="27" customHeight="1">
      <c r="A56" s="406"/>
      <c r="B56" s="152"/>
      <c r="C56" s="81"/>
      <c r="D56" s="928" t="s">
        <v>462</v>
      </c>
      <c r="E56" s="1045"/>
      <c r="F56" s="1046"/>
      <c r="G56" s="1046">
        <f>193173+377900</f>
        <v>571073</v>
      </c>
      <c r="H56" s="1046"/>
      <c r="I56" s="154"/>
    </row>
    <row r="57" spans="1:9" s="155" customFormat="1" ht="18.75" customHeight="1">
      <c r="A57" s="1047"/>
      <c r="B57" s="310"/>
      <c r="C57" s="580">
        <v>6800</v>
      </c>
      <c r="D57" s="529" t="s">
        <v>463</v>
      </c>
      <c r="E57" s="899"/>
      <c r="F57" s="900"/>
      <c r="G57" s="900">
        <f>G56</f>
        <v>571073</v>
      </c>
      <c r="H57" s="900"/>
      <c r="I57" s="154"/>
    </row>
    <row r="58" spans="1:9" s="155" customFormat="1" ht="25.5">
      <c r="A58" s="406"/>
      <c r="B58" s="152"/>
      <c r="C58" s="108"/>
      <c r="D58" s="101" t="s">
        <v>501</v>
      </c>
      <c r="E58" s="261"/>
      <c r="F58" s="261"/>
      <c r="G58" s="261">
        <f>G59</f>
        <v>253510</v>
      </c>
      <c r="H58" s="261"/>
      <c r="I58" s="154"/>
    </row>
    <row r="59" spans="1:9" s="155" customFormat="1" ht="18.75" customHeight="1">
      <c r="A59" s="406"/>
      <c r="B59" s="152"/>
      <c r="C59" s="310">
        <v>4810</v>
      </c>
      <c r="D59" s="312" t="s">
        <v>115</v>
      </c>
      <c r="E59" s="153"/>
      <c r="F59" s="153"/>
      <c r="G59" s="153">
        <f>16000+237510</f>
        <v>253510</v>
      </c>
      <c r="H59" s="153"/>
      <c r="I59" s="154"/>
    </row>
    <row r="60" spans="1:9" s="155" customFormat="1" ht="18.75" customHeight="1">
      <c r="A60" s="72">
        <v>851</v>
      </c>
      <c r="B60" s="89"/>
      <c r="C60" s="73"/>
      <c r="D60" s="92" t="s">
        <v>100</v>
      </c>
      <c r="E60" s="74"/>
      <c r="F60" s="75"/>
      <c r="G60" s="75"/>
      <c r="H60" s="75">
        <f>H61</f>
        <v>6000</v>
      </c>
      <c r="I60" s="154"/>
    </row>
    <row r="61" spans="1:9" s="155" customFormat="1" ht="18.75" customHeight="1">
      <c r="A61" s="76"/>
      <c r="B61" s="78">
        <v>85154</v>
      </c>
      <c r="C61" s="78"/>
      <c r="D61" s="78" t="s">
        <v>123</v>
      </c>
      <c r="E61" s="136"/>
      <c r="F61" s="136"/>
      <c r="G61" s="136"/>
      <c r="H61" s="136">
        <f>H62</f>
        <v>6000</v>
      </c>
      <c r="I61" s="154"/>
    </row>
    <row r="62" spans="1:9" s="155" customFormat="1" ht="25.5">
      <c r="A62" s="80"/>
      <c r="B62" s="464"/>
      <c r="C62" s="464"/>
      <c r="D62" s="538" t="s">
        <v>430</v>
      </c>
      <c r="E62" s="539"/>
      <c r="F62" s="539"/>
      <c r="G62" s="539"/>
      <c r="H62" s="539">
        <f>H63</f>
        <v>6000</v>
      </c>
      <c r="I62" s="154"/>
    </row>
    <row r="63" spans="1:9" s="155" customFormat="1" ht="18.75" customHeight="1">
      <c r="A63" s="203"/>
      <c r="B63" s="167"/>
      <c r="C63" s="81"/>
      <c r="D63" s="748" t="s">
        <v>508</v>
      </c>
      <c r="E63" s="944"/>
      <c r="F63" s="944"/>
      <c r="G63" s="944"/>
      <c r="H63" s="864">
        <f>H64</f>
        <v>6000</v>
      </c>
      <c r="I63" s="154"/>
    </row>
    <row r="64" spans="1:9" s="155" customFormat="1" ht="18.75" customHeight="1">
      <c r="A64" s="222"/>
      <c r="B64" s="313"/>
      <c r="C64" s="82">
        <v>4300</v>
      </c>
      <c r="D64" s="83" t="s">
        <v>114</v>
      </c>
      <c r="E64" s="411"/>
      <c r="F64" s="411"/>
      <c r="G64" s="411"/>
      <c r="H64" s="151">
        <v>6000</v>
      </c>
      <c r="I64" s="154"/>
    </row>
    <row r="65" spans="1:9" s="155" customFormat="1" ht="18.75" customHeight="1">
      <c r="A65" s="428">
        <v>852</v>
      </c>
      <c r="B65" s="73"/>
      <c r="C65" s="73"/>
      <c r="D65" s="92" t="s">
        <v>98</v>
      </c>
      <c r="E65" s="74"/>
      <c r="F65" s="75"/>
      <c r="G65" s="75"/>
      <c r="H65" s="75">
        <f>H66+H69</f>
        <v>470000</v>
      </c>
      <c r="I65" s="154"/>
    </row>
    <row r="66" spans="1:9" s="155" customFormat="1" ht="18.75" customHeight="1">
      <c r="A66" s="93"/>
      <c r="B66" s="78">
        <v>85201</v>
      </c>
      <c r="C66" s="78"/>
      <c r="D66" s="426" t="s">
        <v>342</v>
      </c>
      <c r="E66" s="136"/>
      <c r="F66" s="136"/>
      <c r="G66" s="136"/>
      <c r="H66" s="136">
        <f>H67</f>
        <v>420000</v>
      </c>
      <c r="I66" s="154"/>
    </row>
    <row r="67" spans="1:9" s="155" customFormat="1" ht="25.5">
      <c r="A67" s="784"/>
      <c r="B67" s="66"/>
      <c r="C67" s="66"/>
      <c r="D67" s="782" t="s">
        <v>26</v>
      </c>
      <c r="E67" s="985"/>
      <c r="F67" s="986"/>
      <c r="G67" s="985"/>
      <c r="H67" s="986">
        <f>H68</f>
        <v>420000</v>
      </c>
      <c r="I67" s="154"/>
    </row>
    <row r="68" spans="1:9" s="155" customFormat="1" ht="25.5">
      <c r="A68" s="784"/>
      <c r="B68" s="69"/>
      <c r="C68" s="82">
        <v>2320</v>
      </c>
      <c r="D68" s="529" t="s">
        <v>22</v>
      </c>
      <c r="E68" s="153"/>
      <c r="F68" s="153"/>
      <c r="G68" s="153"/>
      <c r="H68" s="153">
        <v>420000</v>
      </c>
      <c r="I68" s="154"/>
    </row>
    <row r="69" spans="1:9" s="155" customFormat="1" ht="18.75" customHeight="1">
      <c r="A69" s="93"/>
      <c r="B69" s="78">
        <v>85204</v>
      </c>
      <c r="C69" s="78"/>
      <c r="D69" s="426" t="s">
        <v>0</v>
      </c>
      <c r="E69" s="136"/>
      <c r="F69" s="136"/>
      <c r="G69" s="136"/>
      <c r="H69" s="136">
        <f>H70</f>
        <v>50000</v>
      </c>
      <c r="I69" s="154"/>
    </row>
    <row r="70" spans="1:9" s="155" customFormat="1" ht="25.5">
      <c r="A70" s="784"/>
      <c r="B70" s="66"/>
      <c r="C70" s="464"/>
      <c r="D70" s="536" t="s">
        <v>25</v>
      </c>
      <c r="E70" s="985"/>
      <c r="F70" s="986"/>
      <c r="G70" s="985"/>
      <c r="H70" s="986">
        <f>H71</f>
        <v>50000</v>
      </c>
      <c r="I70" s="154"/>
    </row>
    <row r="71" spans="1:9" s="155" customFormat="1" ht="25.5">
      <c r="A71" s="784"/>
      <c r="B71" s="66"/>
      <c r="C71" s="82">
        <v>2320</v>
      </c>
      <c r="D71" s="529" t="s">
        <v>22</v>
      </c>
      <c r="E71" s="153"/>
      <c r="F71" s="153"/>
      <c r="G71" s="153"/>
      <c r="H71" s="153">
        <v>50000</v>
      </c>
      <c r="I71" s="154"/>
    </row>
    <row r="72" spans="1:9" s="166" customFormat="1" ht="18.75" customHeight="1">
      <c r="A72" s="162"/>
      <c r="B72" s="138"/>
      <c r="C72" s="163"/>
      <c r="D72" s="164" t="s">
        <v>3</v>
      </c>
      <c r="E72" s="164"/>
      <c r="F72" s="165"/>
      <c r="G72" s="165"/>
      <c r="H72" s="165">
        <f>H73</f>
        <v>1251</v>
      </c>
      <c r="I72" s="311"/>
    </row>
    <row r="73" spans="1:9" s="155" customFormat="1" ht="26.25" thickBot="1">
      <c r="A73" s="313"/>
      <c r="B73" s="313"/>
      <c r="C73" s="313"/>
      <c r="D73" s="161" t="s">
        <v>128</v>
      </c>
      <c r="E73" s="161"/>
      <c r="F73" s="160"/>
      <c r="G73" s="191"/>
      <c r="H73" s="191">
        <f>H74</f>
        <v>1251</v>
      </c>
      <c r="I73" s="154"/>
    </row>
    <row r="74" spans="1:9" s="22" customFormat="1" ht="19.5" customHeight="1" thickTop="1">
      <c r="A74" s="89">
        <v>700</v>
      </c>
      <c r="B74" s="89"/>
      <c r="C74" s="89"/>
      <c r="D74" s="89" t="s">
        <v>129</v>
      </c>
      <c r="E74" s="73"/>
      <c r="F74" s="73"/>
      <c r="G74" s="75"/>
      <c r="H74" s="75">
        <f>H75</f>
        <v>1251</v>
      </c>
      <c r="I74" s="47"/>
    </row>
    <row r="75" spans="1:9" s="95" customFormat="1" ht="19.5" customHeight="1">
      <c r="A75" s="530"/>
      <c r="B75" s="78">
        <v>70005</v>
      </c>
      <c r="C75" s="78"/>
      <c r="D75" s="78" t="s">
        <v>130</v>
      </c>
      <c r="E75" s="77"/>
      <c r="F75" s="79"/>
      <c r="G75" s="136"/>
      <c r="H75" s="136">
        <f>H76</f>
        <v>1251</v>
      </c>
      <c r="I75" s="94"/>
    </row>
    <row r="76" spans="1:9" s="130" customFormat="1" ht="19.5" customHeight="1">
      <c r="A76" s="80"/>
      <c r="B76" s="464"/>
      <c r="C76" s="464"/>
      <c r="D76" s="792" t="s">
        <v>29</v>
      </c>
      <c r="E76" s="142"/>
      <c r="F76" s="142"/>
      <c r="G76" s="142"/>
      <c r="H76" s="142">
        <f>H77</f>
        <v>1251</v>
      </c>
      <c r="I76" s="137"/>
    </row>
    <row r="77" spans="1:9" s="22" customFormat="1" ht="19.5" customHeight="1">
      <c r="A77" s="203"/>
      <c r="B77" s="167"/>
      <c r="C77" s="310">
        <v>4300</v>
      </c>
      <c r="D77" s="312" t="s">
        <v>114</v>
      </c>
      <c r="E77" s="153"/>
      <c r="F77" s="153"/>
      <c r="G77" s="153"/>
      <c r="H77" s="153">
        <v>1251</v>
      </c>
      <c r="I77" s="47"/>
    </row>
    <row r="78" spans="1:9" s="166" customFormat="1" ht="19.5" customHeight="1">
      <c r="A78" s="162"/>
      <c r="B78" s="138"/>
      <c r="C78" s="163"/>
      <c r="D78" s="164" t="s">
        <v>417</v>
      </c>
      <c r="E78" s="164"/>
      <c r="F78" s="165"/>
      <c r="G78" s="165">
        <f>G79</f>
        <v>874745</v>
      </c>
      <c r="H78" s="165">
        <f>H79</f>
        <v>185970</v>
      </c>
      <c r="I78" s="311"/>
    </row>
    <row r="79" spans="1:9" s="155" customFormat="1" ht="19.5" customHeight="1" thickBot="1">
      <c r="A79" s="313"/>
      <c r="B79" s="313"/>
      <c r="C79" s="313"/>
      <c r="D79" s="161" t="s">
        <v>91</v>
      </c>
      <c r="E79" s="161"/>
      <c r="F79" s="160"/>
      <c r="G79" s="191">
        <f>G80+G88+G97</f>
        <v>874745</v>
      </c>
      <c r="H79" s="191">
        <f>H80+H88+H97</f>
        <v>185970</v>
      </c>
      <c r="I79" s="154"/>
    </row>
    <row r="80" spans="1:12" s="22" customFormat="1" ht="19.5" customHeight="1" thickTop="1">
      <c r="A80" s="72">
        <v>750</v>
      </c>
      <c r="B80" s="89"/>
      <c r="C80" s="73"/>
      <c r="D80" s="92" t="s">
        <v>101</v>
      </c>
      <c r="E80" s="92"/>
      <c r="F80" s="75"/>
      <c r="G80" s="75">
        <f>G81</f>
        <v>185970</v>
      </c>
      <c r="H80" s="75">
        <f>H81</f>
        <v>185970</v>
      </c>
      <c r="I80" s="47"/>
      <c r="J80" s="47"/>
      <c r="L80" s="47"/>
    </row>
    <row r="81" spans="1:9" s="155" customFormat="1" ht="19.5" customHeight="1">
      <c r="A81" s="81"/>
      <c r="B81" s="78">
        <v>75023</v>
      </c>
      <c r="C81" s="78"/>
      <c r="D81" s="78" t="s">
        <v>116</v>
      </c>
      <c r="E81" s="136"/>
      <c r="F81" s="136"/>
      <c r="G81" s="136">
        <f>G82+G85</f>
        <v>185970</v>
      </c>
      <c r="H81" s="136">
        <f>H82+H85</f>
        <v>185970</v>
      </c>
      <c r="I81" s="154"/>
    </row>
    <row r="82" spans="1:9" s="155" customFormat="1" ht="19.5" customHeight="1">
      <c r="A82" s="204"/>
      <c r="B82" s="93"/>
      <c r="C82" s="464"/>
      <c r="D82" s="782" t="s">
        <v>117</v>
      </c>
      <c r="E82" s="524"/>
      <c r="F82" s="524"/>
      <c r="G82" s="524"/>
      <c r="H82" s="524">
        <f>SUM(H83:H84)</f>
        <v>185970</v>
      </c>
      <c r="I82" s="154"/>
    </row>
    <row r="83" spans="1:9" s="155" customFormat="1" ht="19.5" customHeight="1">
      <c r="A83" s="204"/>
      <c r="B83" s="93"/>
      <c r="C83" s="313">
        <v>4210</v>
      </c>
      <c r="D83" s="459" t="s">
        <v>113</v>
      </c>
      <c r="E83" s="159"/>
      <c r="F83" s="159"/>
      <c r="G83" s="159"/>
      <c r="H83" s="159">
        <v>100000</v>
      </c>
      <c r="I83" s="154"/>
    </row>
    <row r="84" spans="1:9" s="155" customFormat="1" ht="19.5" customHeight="1">
      <c r="A84" s="222"/>
      <c r="B84" s="313"/>
      <c r="C84" s="82">
        <v>4270</v>
      </c>
      <c r="D84" s="529" t="s">
        <v>522</v>
      </c>
      <c r="E84" s="415"/>
      <c r="F84" s="415"/>
      <c r="G84" s="415"/>
      <c r="H84" s="415">
        <v>85970</v>
      </c>
      <c r="I84" s="154"/>
    </row>
    <row r="85" spans="1:9" s="155" customFormat="1" ht="19.5" customHeight="1">
      <c r="A85" s="204"/>
      <c r="B85" s="213"/>
      <c r="C85" s="108"/>
      <c r="D85" s="571" t="s">
        <v>202</v>
      </c>
      <c r="E85" s="261"/>
      <c r="F85" s="261"/>
      <c r="G85" s="261">
        <f>G87</f>
        <v>185970</v>
      </c>
      <c r="H85" s="261"/>
      <c r="I85" s="154"/>
    </row>
    <row r="86" spans="1:9" s="155" customFormat="1" ht="25.5">
      <c r="A86" s="203"/>
      <c r="B86" s="167"/>
      <c r="C86" s="81"/>
      <c r="D86" s="928" t="s">
        <v>523</v>
      </c>
      <c r="E86" s="457"/>
      <c r="F86" s="457"/>
      <c r="G86" s="457">
        <f>100000+85970</f>
        <v>185970</v>
      </c>
      <c r="H86" s="457"/>
      <c r="I86" s="154"/>
    </row>
    <row r="87" spans="1:9" s="155" customFormat="1" ht="19.5" customHeight="1">
      <c r="A87" s="203"/>
      <c r="B87" s="313"/>
      <c r="C87" s="82">
        <v>6050</v>
      </c>
      <c r="D87" s="82" t="s">
        <v>197</v>
      </c>
      <c r="E87" s="722"/>
      <c r="F87" s="722"/>
      <c r="G87" s="722">
        <f>G86</f>
        <v>185970</v>
      </c>
      <c r="H87" s="722"/>
      <c r="I87" s="154"/>
    </row>
    <row r="88" spans="1:12" s="22" customFormat="1" ht="19.5" customHeight="1">
      <c r="A88" s="72">
        <v>801</v>
      </c>
      <c r="B88" s="89"/>
      <c r="C88" s="73"/>
      <c r="D88" s="92" t="s">
        <v>97</v>
      </c>
      <c r="E88" s="92"/>
      <c r="F88" s="75"/>
      <c r="G88" s="75">
        <f>G89+G93</f>
        <v>675275</v>
      </c>
      <c r="H88" s="75"/>
      <c r="I88" s="47"/>
      <c r="J88" s="47"/>
      <c r="L88" s="47"/>
    </row>
    <row r="89" spans="1:12" s="95" customFormat="1" ht="19.5" customHeight="1">
      <c r="A89" s="76"/>
      <c r="B89" s="77">
        <v>80110</v>
      </c>
      <c r="C89" s="77"/>
      <c r="D89" s="77" t="s">
        <v>255</v>
      </c>
      <c r="E89" s="77"/>
      <c r="F89" s="79"/>
      <c r="G89" s="79">
        <f>G90</f>
        <v>170794</v>
      </c>
      <c r="H89" s="79"/>
      <c r="I89" s="137"/>
      <c r="J89" s="137"/>
      <c r="L89" s="94"/>
    </row>
    <row r="90" spans="1:9" s="130" customFormat="1" ht="19.5" customHeight="1">
      <c r="A90" s="80"/>
      <c r="B90" s="66"/>
      <c r="C90" s="66"/>
      <c r="D90" s="66" t="s">
        <v>427</v>
      </c>
      <c r="E90" s="66"/>
      <c r="F90" s="696"/>
      <c r="G90" s="696">
        <f>G92</f>
        <v>170794</v>
      </c>
      <c r="H90" s="696"/>
      <c r="I90" s="137"/>
    </row>
    <row r="91" spans="1:9" s="130" customFormat="1" ht="19.5" customHeight="1">
      <c r="A91" s="202"/>
      <c r="B91" s="81"/>
      <c r="C91" s="81"/>
      <c r="D91" s="474" t="s">
        <v>357</v>
      </c>
      <c r="E91" s="474"/>
      <c r="F91" s="475"/>
      <c r="G91" s="475">
        <f>20700+54575+95519</f>
        <v>170794</v>
      </c>
      <c r="H91" s="475"/>
      <c r="I91" s="137"/>
    </row>
    <row r="92" spans="1:9" s="157" customFormat="1" ht="19.5" customHeight="1">
      <c r="A92" s="202"/>
      <c r="B92" s="82"/>
      <c r="C92" s="82">
        <v>6050</v>
      </c>
      <c r="D92" s="83" t="s">
        <v>197</v>
      </c>
      <c r="E92" s="83"/>
      <c r="F92" s="446"/>
      <c r="G92" s="446">
        <f>G91</f>
        <v>170794</v>
      </c>
      <c r="H92" s="446"/>
      <c r="I92" s="156"/>
    </row>
    <row r="93" spans="1:12" s="95" customFormat="1" ht="19.5" customHeight="1">
      <c r="A93" s="76"/>
      <c r="B93" s="77">
        <v>80130</v>
      </c>
      <c r="C93" s="77"/>
      <c r="D93" s="77" t="s">
        <v>144</v>
      </c>
      <c r="E93" s="77"/>
      <c r="F93" s="79"/>
      <c r="G93" s="79">
        <f>G94</f>
        <v>504481</v>
      </c>
      <c r="H93" s="79"/>
      <c r="I93" s="137"/>
      <c r="J93" s="137"/>
      <c r="L93" s="94"/>
    </row>
    <row r="94" spans="1:9" s="130" customFormat="1" ht="19.5" customHeight="1">
      <c r="A94" s="80"/>
      <c r="B94" s="66"/>
      <c r="C94" s="66"/>
      <c r="D94" s="66" t="s">
        <v>427</v>
      </c>
      <c r="E94" s="66"/>
      <c r="F94" s="696"/>
      <c r="G94" s="696">
        <f>G96</f>
        <v>504481</v>
      </c>
      <c r="H94" s="696"/>
      <c r="I94" s="137"/>
    </row>
    <row r="95" spans="1:9" s="130" customFormat="1" ht="19.5" customHeight="1">
      <c r="A95" s="202"/>
      <c r="B95" s="81"/>
      <c r="C95" s="81"/>
      <c r="D95" s="474" t="s">
        <v>357</v>
      </c>
      <c r="E95" s="474"/>
      <c r="F95" s="475"/>
      <c r="G95" s="475">
        <f>G96</f>
        <v>504481</v>
      </c>
      <c r="H95" s="475"/>
      <c r="I95" s="137"/>
    </row>
    <row r="96" spans="1:9" s="157" customFormat="1" ht="19.5" customHeight="1">
      <c r="A96" s="540"/>
      <c r="B96" s="82"/>
      <c r="C96" s="82">
        <v>6050</v>
      </c>
      <c r="D96" s="83" t="s">
        <v>197</v>
      </c>
      <c r="E96" s="83"/>
      <c r="F96" s="446"/>
      <c r="G96" s="446">
        <v>504481</v>
      </c>
      <c r="H96" s="446"/>
      <c r="I96" s="156"/>
    </row>
    <row r="97" spans="1:9" s="157" customFormat="1" ht="18.75" customHeight="1">
      <c r="A97" s="73">
        <v>854</v>
      </c>
      <c r="B97" s="73"/>
      <c r="C97" s="73"/>
      <c r="D97" s="73" t="s">
        <v>99</v>
      </c>
      <c r="E97" s="92"/>
      <c r="F97" s="96"/>
      <c r="G97" s="96">
        <f>G98+G101</f>
        <v>13500</v>
      </c>
      <c r="H97" s="96"/>
      <c r="I97" s="156"/>
    </row>
    <row r="98" spans="1:9" s="157" customFormat="1" ht="18.75" customHeight="1">
      <c r="A98" s="93"/>
      <c r="B98" s="78">
        <v>85410</v>
      </c>
      <c r="C98" s="78"/>
      <c r="D98" s="78" t="s">
        <v>279</v>
      </c>
      <c r="E98" s="426"/>
      <c r="F98" s="145"/>
      <c r="G98" s="145">
        <f>G99</f>
        <v>3000</v>
      </c>
      <c r="H98" s="145"/>
      <c r="I98" s="156"/>
    </row>
    <row r="99" spans="1:12" s="130" customFormat="1" ht="18.75" customHeight="1">
      <c r="A99" s="167"/>
      <c r="B99" s="167"/>
      <c r="C99" s="791"/>
      <c r="D99" s="792" t="s">
        <v>117</v>
      </c>
      <c r="E99" s="520"/>
      <c r="F99" s="520"/>
      <c r="G99" s="520">
        <f>G100</f>
        <v>3000</v>
      </c>
      <c r="H99" s="520"/>
      <c r="I99" s="137"/>
      <c r="J99" s="137"/>
      <c r="L99" s="137"/>
    </row>
    <row r="100" spans="1:9" s="22" customFormat="1" ht="18.75" customHeight="1">
      <c r="A100" s="152"/>
      <c r="B100" s="310"/>
      <c r="C100" s="82">
        <v>4270</v>
      </c>
      <c r="D100" s="580" t="s">
        <v>516</v>
      </c>
      <c r="E100" s="414"/>
      <c r="F100" s="414"/>
      <c r="G100" s="414">
        <v>3000</v>
      </c>
      <c r="H100" s="414"/>
      <c r="I100" s="47"/>
    </row>
    <row r="101" spans="1:9" s="22" customFormat="1" ht="18.75" customHeight="1">
      <c r="A101" s="93"/>
      <c r="B101" s="78">
        <v>85421</v>
      </c>
      <c r="C101" s="78"/>
      <c r="D101" s="78" t="s">
        <v>338</v>
      </c>
      <c r="E101" s="426"/>
      <c r="F101" s="145"/>
      <c r="G101" s="145">
        <f>G102</f>
        <v>10500</v>
      </c>
      <c r="H101" s="145"/>
      <c r="I101" s="47"/>
    </row>
    <row r="102" spans="1:9" s="22" customFormat="1" ht="18.75" customHeight="1">
      <c r="A102" s="93"/>
      <c r="B102" s="66"/>
      <c r="C102" s="464"/>
      <c r="D102" s="209" t="s">
        <v>117</v>
      </c>
      <c r="E102" s="520"/>
      <c r="F102" s="520"/>
      <c r="G102" s="520">
        <f>G103</f>
        <v>10500</v>
      </c>
      <c r="H102" s="520"/>
      <c r="I102" s="47"/>
    </row>
    <row r="103" spans="1:9" s="22" customFormat="1" ht="18.75" customHeight="1">
      <c r="A103" s="81"/>
      <c r="B103" s="81"/>
      <c r="C103" s="82">
        <v>4270</v>
      </c>
      <c r="D103" s="82" t="s">
        <v>517</v>
      </c>
      <c r="E103" s="414"/>
      <c r="F103" s="414"/>
      <c r="G103" s="414">
        <v>10500</v>
      </c>
      <c r="H103" s="414"/>
      <c r="I103" s="47"/>
    </row>
    <row r="104" spans="1:9" ht="19.5" customHeight="1">
      <c r="A104" s="66"/>
      <c r="B104" s="67"/>
      <c r="C104" s="68"/>
      <c r="D104" s="64" t="s">
        <v>418</v>
      </c>
      <c r="E104" s="64"/>
      <c r="F104" s="215"/>
      <c r="G104" s="65">
        <f>G105</f>
        <v>622136</v>
      </c>
      <c r="H104" s="65">
        <f>H105</f>
        <v>398895</v>
      </c>
      <c r="I104" s="47"/>
    </row>
    <row r="105" spans="1:9" ht="19.5" customHeight="1" thickBot="1">
      <c r="A105" s="69"/>
      <c r="B105" s="69"/>
      <c r="C105" s="69"/>
      <c r="D105" s="70" t="s">
        <v>112</v>
      </c>
      <c r="E105" s="70"/>
      <c r="F105" s="71"/>
      <c r="G105" s="71">
        <f>G106+G160</f>
        <v>622136</v>
      </c>
      <c r="H105" s="71">
        <f>H106+H160</f>
        <v>398895</v>
      </c>
      <c r="I105" s="47"/>
    </row>
    <row r="106" spans="1:9" s="22" customFormat="1" ht="19.5" customHeight="1" thickTop="1">
      <c r="A106" s="72">
        <v>801</v>
      </c>
      <c r="B106" s="89"/>
      <c r="C106" s="73"/>
      <c r="D106" s="92" t="s">
        <v>97</v>
      </c>
      <c r="E106" s="92"/>
      <c r="F106" s="87"/>
      <c r="G106" s="87">
        <f>G107+G113+G118+G123+G131+G142+G157</f>
        <v>604012</v>
      </c>
      <c r="H106" s="87">
        <f>H107+H113+H118+H123+H131+H142+H157</f>
        <v>392895</v>
      </c>
      <c r="I106" s="47"/>
    </row>
    <row r="107" spans="1:9" s="22" customFormat="1" ht="19.5" customHeight="1">
      <c r="A107" s="76"/>
      <c r="B107" s="77">
        <v>80101</v>
      </c>
      <c r="C107" s="613"/>
      <c r="D107" s="77" t="s">
        <v>254</v>
      </c>
      <c r="E107" s="77"/>
      <c r="F107" s="79"/>
      <c r="G107" s="79">
        <f>G108+G110</f>
        <v>93030</v>
      </c>
      <c r="H107" s="79"/>
      <c r="I107" s="47"/>
    </row>
    <row r="108" spans="1:9" s="22" customFormat="1" ht="19.5" customHeight="1">
      <c r="A108" s="80"/>
      <c r="B108" s="66"/>
      <c r="C108" s="66"/>
      <c r="D108" s="535" t="s">
        <v>117</v>
      </c>
      <c r="E108" s="535"/>
      <c r="F108" s="556"/>
      <c r="G108" s="556">
        <f>G109</f>
        <v>77000</v>
      </c>
      <c r="H108" s="556"/>
      <c r="I108" s="47"/>
    </row>
    <row r="109" spans="1:9" s="22" customFormat="1" ht="19.5" customHeight="1">
      <c r="A109" s="202"/>
      <c r="B109" s="81"/>
      <c r="C109" s="139">
        <v>4260</v>
      </c>
      <c r="D109" s="83" t="s">
        <v>174</v>
      </c>
      <c r="E109" s="83"/>
      <c r="F109" s="84"/>
      <c r="G109" s="84">
        <v>77000</v>
      </c>
      <c r="H109" s="84"/>
      <c r="I109" s="47"/>
    </row>
    <row r="110" spans="1:9" s="22" customFormat="1" ht="19.5" customHeight="1">
      <c r="A110" s="80"/>
      <c r="B110" s="66"/>
      <c r="C110" s="464"/>
      <c r="D110" s="537" t="s">
        <v>403</v>
      </c>
      <c r="E110" s="209"/>
      <c r="F110" s="564"/>
      <c r="G110" s="564">
        <f>SUM(G111:G112)</f>
        <v>16030</v>
      </c>
      <c r="H110" s="564"/>
      <c r="I110" s="47"/>
    </row>
    <row r="111" spans="1:9" s="22" customFormat="1" ht="19.5" customHeight="1">
      <c r="A111" s="202"/>
      <c r="B111" s="81"/>
      <c r="C111" s="139">
        <v>4010</v>
      </c>
      <c r="D111" s="83" t="s">
        <v>65</v>
      </c>
      <c r="E111" s="83"/>
      <c r="F111" s="84"/>
      <c r="G111" s="84">
        <v>13240</v>
      </c>
      <c r="H111" s="84"/>
      <c r="I111" s="47"/>
    </row>
    <row r="112" spans="1:9" s="22" customFormat="1" ht="19.5" customHeight="1">
      <c r="A112" s="540"/>
      <c r="B112" s="82"/>
      <c r="C112" s="310">
        <v>4110</v>
      </c>
      <c r="D112" s="312" t="s">
        <v>171</v>
      </c>
      <c r="E112" s="83"/>
      <c r="F112" s="84"/>
      <c r="G112" s="84">
        <v>2790</v>
      </c>
      <c r="H112" s="84"/>
      <c r="I112" s="47"/>
    </row>
    <row r="113" spans="1:9" s="22" customFormat="1" ht="19.5" customHeight="1">
      <c r="A113" s="76"/>
      <c r="B113" s="78">
        <v>80103</v>
      </c>
      <c r="C113" s="78"/>
      <c r="D113" s="78" t="s">
        <v>323</v>
      </c>
      <c r="E113" s="78"/>
      <c r="F113" s="523"/>
      <c r="G113" s="523">
        <f>G114+G116</f>
        <v>13260</v>
      </c>
      <c r="H113" s="523"/>
      <c r="I113" s="47"/>
    </row>
    <row r="114" spans="1:9" s="22" customFormat="1" ht="19.5" customHeight="1">
      <c r="A114" s="80"/>
      <c r="B114" s="66"/>
      <c r="C114" s="66"/>
      <c r="D114" s="535" t="s">
        <v>405</v>
      </c>
      <c r="E114" s="535"/>
      <c r="F114" s="556"/>
      <c r="G114" s="556">
        <f>G115</f>
        <v>11130</v>
      </c>
      <c r="H114" s="556"/>
      <c r="I114" s="47"/>
    </row>
    <row r="115" spans="1:9" s="22" customFormat="1" ht="19.5" customHeight="1">
      <c r="A115" s="202"/>
      <c r="B115" s="81"/>
      <c r="C115" s="139">
        <v>4010</v>
      </c>
      <c r="D115" s="83" t="s">
        <v>65</v>
      </c>
      <c r="E115" s="83"/>
      <c r="F115" s="84"/>
      <c r="G115" s="84">
        <v>11130</v>
      </c>
      <c r="H115" s="84"/>
      <c r="I115" s="47"/>
    </row>
    <row r="116" spans="1:9" s="22" customFormat="1" ht="19.5" customHeight="1">
      <c r="A116" s="80"/>
      <c r="B116" s="66"/>
      <c r="C116" s="66"/>
      <c r="D116" s="620" t="s">
        <v>142</v>
      </c>
      <c r="E116" s="571"/>
      <c r="F116" s="621"/>
      <c r="G116" s="621">
        <f>G117</f>
        <v>2130</v>
      </c>
      <c r="H116" s="621"/>
      <c r="I116" s="47"/>
    </row>
    <row r="117" spans="1:9" s="22" customFormat="1" ht="19.5" customHeight="1">
      <c r="A117" s="202"/>
      <c r="B117" s="81"/>
      <c r="C117" s="82">
        <v>4110</v>
      </c>
      <c r="D117" s="534" t="s">
        <v>171</v>
      </c>
      <c r="E117" s="83"/>
      <c r="F117" s="84"/>
      <c r="G117" s="84">
        <v>2130</v>
      </c>
      <c r="H117" s="84"/>
      <c r="I117" s="47"/>
    </row>
    <row r="118" spans="1:9" s="22" customFormat="1" ht="18" customHeight="1">
      <c r="A118" s="76"/>
      <c r="B118" s="77">
        <v>80104</v>
      </c>
      <c r="C118" s="77"/>
      <c r="D118" s="77" t="s">
        <v>145</v>
      </c>
      <c r="E118" s="77"/>
      <c r="F118" s="79"/>
      <c r="G118" s="79">
        <f>G119</f>
        <v>64274</v>
      </c>
      <c r="H118" s="79"/>
      <c r="I118" s="47"/>
    </row>
    <row r="119" spans="1:9" s="22" customFormat="1" ht="19.5" customHeight="1">
      <c r="A119" s="80"/>
      <c r="B119" s="66"/>
      <c r="C119" s="66"/>
      <c r="D119" s="535" t="s">
        <v>117</v>
      </c>
      <c r="E119" s="535"/>
      <c r="F119" s="556"/>
      <c r="G119" s="556">
        <f>SUM(G120:G122)</f>
        <v>64274</v>
      </c>
      <c r="H119" s="556"/>
      <c r="I119" s="47"/>
    </row>
    <row r="120" spans="1:9" s="22" customFormat="1" ht="19.5" customHeight="1">
      <c r="A120" s="80"/>
      <c r="B120" s="66"/>
      <c r="C120" s="313">
        <v>4210</v>
      </c>
      <c r="D120" s="313" t="s">
        <v>113</v>
      </c>
      <c r="E120" s="313"/>
      <c r="F120" s="315"/>
      <c r="G120" s="315">
        <v>9164</v>
      </c>
      <c r="H120" s="315"/>
      <c r="I120" s="47"/>
    </row>
    <row r="121" spans="1:9" s="22" customFormat="1" ht="19.5" customHeight="1">
      <c r="A121" s="202"/>
      <c r="B121" s="81"/>
      <c r="C121" s="139">
        <v>4260</v>
      </c>
      <c r="D121" s="83" t="s">
        <v>174</v>
      </c>
      <c r="E121" s="83"/>
      <c r="F121" s="84"/>
      <c r="G121" s="84">
        <v>52800</v>
      </c>
      <c r="H121" s="84"/>
      <c r="I121" s="47"/>
    </row>
    <row r="122" spans="1:9" s="22" customFormat="1" ht="19.5" customHeight="1">
      <c r="A122" s="202"/>
      <c r="B122" s="82"/>
      <c r="C122" s="139">
        <v>4300</v>
      </c>
      <c r="D122" s="83" t="s">
        <v>114</v>
      </c>
      <c r="E122" s="83"/>
      <c r="F122" s="84"/>
      <c r="G122" s="84">
        <v>2310</v>
      </c>
      <c r="H122" s="84"/>
      <c r="I122" s="47"/>
    </row>
    <row r="123" spans="1:12" s="95" customFormat="1" ht="17.25" customHeight="1">
      <c r="A123" s="76"/>
      <c r="B123" s="78">
        <v>80110</v>
      </c>
      <c r="C123" s="78"/>
      <c r="D123" s="78" t="s">
        <v>255</v>
      </c>
      <c r="E123" s="78"/>
      <c r="F123" s="523"/>
      <c r="G123" s="523">
        <f>G124</f>
        <v>55000</v>
      </c>
      <c r="H123" s="523">
        <f>H124</f>
        <v>55000</v>
      </c>
      <c r="I123" s="137"/>
      <c r="J123" s="137"/>
      <c r="L123" s="94"/>
    </row>
    <row r="124" spans="1:12" s="565" customFormat="1" ht="19.5" customHeight="1">
      <c r="A124" s="202"/>
      <c r="B124" s="81"/>
      <c r="C124" s="530"/>
      <c r="D124" s="571" t="s">
        <v>407</v>
      </c>
      <c r="E124" s="567"/>
      <c r="F124" s="568"/>
      <c r="G124" s="762">
        <f>G128+G130</f>
        <v>55000</v>
      </c>
      <c r="H124" s="762">
        <f>H128+H130</f>
        <v>55000</v>
      </c>
      <c r="I124" s="156"/>
      <c r="J124" s="156"/>
      <c r="L124" s="566"/>
    </row>
    <row r="125" spans="1:12" s="565" customFormat="1" ht="27.75" customHeight="1">
      <c r="A125" s="202"/>
      <c r="B125" s="81"/>
      <c r="C125" s="81"/>
      <c r="D125" s="553" t="s">
        <v>408</v>
      </c>
      <c r="E125" s="759"/>
      <c r="F125" s="623"/>
      <c r="G125" s="623"/>
      <c r="H125" s="623">
        <v>55000</v>
      </c>
      <c r="I125" s="156"/>
      <c r="J125" s="156"/>
      <c r="L125" s="566"/>
    </row>
    <row r="126" spans="1:12" s="565" customFormat="1" ht="27" customHeight="1">
      <c r="A126" s="202"/>
      <c r="B126" s="81"/>
      <c r="C126" s="81"/>
      <c r="D126" s="925" t="s">
        <v>502</v>
      </c>
      <c r="E126" s="760"/>
      <c r="F126" s="761"/>
      <c r="G126" s="761">
        <v>20000</v>
      </c>
      <c r="H126" s="761"/>
      <c r="I126" s="156"/>
      <c r="J126" s="156"/>
      <c r="L126" s="566"/>
    </row>
    <row r="127" spans="1:12" s="565" customFormat="1" ht="27" customHeight="1">
      <c r="A127" s="202"/>
      <c r="B127" s="81"/>
      <c r="C127" s="81"/>
      <c r="D127" s="553" t="s">
        <v>503</v>
      </c>
      <c r="E127" s="567"/>
      <c r="F127" s="568"/>
      <c r="G127" s="568">
        <v>5000</v>
      </c>
      <c r="H127" s="568"/>
      <c r="I127" s="156"/>
      <c r="J127" s="156"/>
      <c r="L127" s="566"/>
    </row>
    <row r="128" spans="1:12" s="565" customFormat="1" ht="18" customHeight="1">
      <c r="A128" s="202"/>
      <c r="B128" s="81"/>
      <c r="C128" s="82">
        <v>2540</v>
      </c>
      <c r="D128" s="529" t="s">
        <v>155</v>
      </c>
      <c r="E128" s="926"/>
      <c r="F128" s="927"/>
      <c r="G128" s="927">
        <f>SUM(G125:G127)</f>
        <v>25000</v>
      </c>
      <c r="H128" s="927">
        <f>SUM(H125:H127)</f>
        <v>55000</v>
      </c>
      <c r="I128" s="156"/>
      <c r="J128" s="156"/>
      <c r="L128" s="566"/>
    </row>
    <row r="129" spans="1:12" s="565" customFormat="1" ht="27" customHeight="1">
      <c r="A129" s="202"/>
      <c r="B129" s="81"/>
      <c r="C129" s="81"/>
      <c r="D129" s="928" t="s">
        <v>504</v>
      </c>
      <c r="E129" s="567"/>
      <c r="F129" s="568"/>
      <c r="G129" s="568">
        <v>30000</v>
      </c>
      <c r="H129" s="568"/>
      <c r="I129" s="156"/>
      <c r="J129" s="156"/>
      <c r="L129" s="566"/>
    </row>
    <row r="130" spans="1:12" s="565" customFormat="1" ht="38.25" customHeight="1">
      <c r="A130" s="202"/>
      <c r="B130" s="81"/>
      <c r="C130" s="82">
        <v>2590</v>
      </c>
      <c r="D130" s="529" t="s">
        <v>496</v>
      </c>
      <c r="E130" s="926"/>
      <c r="F130" s="927"/>
      <c r="G130" s="927">
        <f>G129</f>
        <v>30000</v>
      </c>
      <c r="H130" s="927"/>
      <c r="I130" s="156"/>
      <c r="J130" s="156"/>
      <c r="L130" s="566"/>
    </row>
    <row r="131" spans="1:12" s="95" customFormat="1" ht="18" customHeight="1">
      <c r="A131" s="76"/>
      <c r="B131" s="77">
        <v>80120</v>
      </c>
      <c r="C131" s="77"/>
      <c r="D131" s="77" t="s">
        <v>256</v>
      </c>
      <c r="E131" s="77"/>
      <c r="F131" s="79"/>
      <c r="G131" s="79">
        <f>G132</f>
        <v>98000</v>
      </c>
      <c r="H131" s="79">
        <f>H132</f>
        <v>98000</v>
      </c>
      <c r="I131" s="137"/>
      <c r="J131" s="137"/>
      <c r="L131" s="94"/>
    </row>
    <row r="132" spans="1:12" s="565" customFormat="1" ht="18.75" customHeight="1">
      <c r="A132" s="202"/>
      <c r="B132" s="81"/>
      <c r="C132" s="530"/>
      <c r="D132" s="748" t="s">
        <v>409</v>
      </c>
      <c r="E132" s="567"/>
      <c r="F132" s="568"/>
      <c r="G132" s="762">
        <f>G139+G141</f>
        <v>98000</v>
      </c>
      <c r="H132" s="762">
        <f>H139+H141</f>
        <v>98000</v>
      </c>
      <c r="I132" s="156"/>
      <c r="J132" s="156"/>
      <c r="L132" s="566"/>
    </row>
    <row r="133" spans="1:12" s="565" customFormat="1" ht="27.75" customHeight="1">
      <c r="A133" s="202"/>
      <c r="B133" s="81"/>
      <c r="C133" s="81"/>
      <c r="D133" s="553" t="s">
        <v>505</v>
      </c>
      <c r="E133" s="759"/>
      <c r="F133" s="623"/>
      <c r="G133" s="623"/>
      <c r="H133" s="623">
        <v>58000</v>
      </c>
      <c r="I133" s="156"/>
      <c r="J133" s="156"/>
      <c r="L133" s="566"/>
    </row>
    <row r="134" spans="1:12" s="565" customFormat="1" ht="27.75" customHeight="1">
      <c r="A134" s="202"/>
      <c r="B134" s="81"/>
      <c r="C134" s="81"/>
      <c r="D134" s="553" t="s">
        <v>506</v>
      </c>
      <c r="E134" s="760"/>
      <c r="F134" s="761"/>
      <c r="G134" s="761"/>
      <c r="H134" s="761">
        <v>17000</v>
      </c>
      <c r="I134" s="156"/>
      <c r="J134" s="156"/>
      <c r="L134" s="566"/>
    </row>
    <row r="135" spans="1:12" s="565" customFormat="1" ht="41.25" customHeight="1">
      <c r="A135" s="540"/>
      <c r="B135" s="82"/>
      <c r="C135" s="82"/>
      <c r="D135" s="529" t="s">
        <v>30</v>
      </c>
      <c r="E135" s="534"/>
      <c r="F135" s="552"/>
      <c r="G135" s="552"/>
      <c r="H135" s="552">
        <v>10000</v>
      </c>
      <c r="I135" s="156"/>
      <c r="J135" s="156"/>
      <c r="L135" s="566"/>
    </row>
    <row r="136" spans="1:12" s="565" customFormat="1" ht="18.75" customHeight="1">
      <c r="A136" s="1067"/>
      <c r="B136" s="1068"/>
      <c r="C136" s="1068"/>
      <c r="D136" s="1069"/>
      <c r="E136" s="1070"/>
      <c r="F136" s="1071"/>
      <c r="G136" s="1071"/>
      <c r="H136" s="1071"/>
      <c r="I136" s="156"/>
      <c r="J136" s="156"/>
      <c r="L136" s="566"/>
    </row>
    <row r="137" spans="1:12" s="565" customFormat="1" ht="27.75" customHeight="1">
      <c r="A137" s="202"/>
      <c r="B137" s="81"/>
      <c r="C137" s="81"/>
      <c r="D137" s="928" t="s">
        <v>31</v>
      </c>
      <c r="E137" s="929"/>
      <c r="F137" s="930"/>
      <c r="G137" s="930"/>
      <c r="H137" s="930">
        <v>13000</v>
      </c>
      <c r="I137" s="156"/>
      <c r="J137" s="156"/>
      <c r="L137" s="566"/>
    </row>
    <row r="138" spans="1:12" s="565" customFormat="1" ht="16.5" customHeight="1">
      <c r="A138" s="202"/>
      <c r="B138" s="81"/>
      <c r="C138" s="81"/>
      <c r="D138" s="553" t="s">
        <v>185</v>
      </c>
      <c r="E138" s="760"/>
      <c r="F138" s="761"/>
      <c r="G138" s="761">
        <v>9000</v>
      </c>
      <c r="H138" s="761"/>
      <c r="I138" s="156"/>
      <c r="J138" s="156"/>
      <c r="L138" s="566"/>
    </row>
    <row r="139" spans="1:12" s="565" customFormat="1" ht="18.75" customHeight="1">
      <c r="A139" s="202"/>
      <c r="B139" s="81"/>
      <c r="C139" s="82">
        <v>2540</v>
      </c>
      <c r="D139" s="529" t="s">
        <v>155</v>
      </c>
      <c r="E139" s="534"/>
      <c r="F139" s="552"/>
      <c r="G139" s="552">
        <f>SUM(G133:G138)</f>
        <v>9000</v>
      </c>
      <c r="H139" s="552">
        <f>SUM(H133:H138)</f>
        <v>98000</v>
      </c>
      <c r="I139" s="156"/>
      <c r="J139" s="156"/>
      <c r="L139" s="566"/>
    </row>
    <row r="140" spans="1:12" s="565" customFormat="1" ht="27" customHeight="1">
      <c r="A140" s="202"/>
      <c r="B140" s="81"/>
      <c r="C140" s="81"/>
      <c r="D140" s="897" t="s">
        <v>32</v>
      </c>
      <c r="E140" s="567"/>
      <c r="F140" s="568"/>
      <c r="G140" s="568">
        <v>89000</v>
      </c>
      <c r="H140" s="568"/>
      <c r="I140" s="156"/>
      <c r="J140" s="156"/>
      <c r="L140" s="566"/>
    </row>
    <row r="141" spans="1:12" s="565" customFormat="1" ht="40.5" customHeight="1">
      <c r="A141" s="202"/>
      <c r="B141" s="81"/>
      <c r="C141" s="82">
        <v>2590</v>
      </c>
      <c r="D141" s="529" t="s">
        <v>496</v>
      </c>
      <c r="E141" s="926"/>
      <c r="F141" s="927"/>
      <c r="G141" s="927">
        <f>G140</f>
        <v>89000</v>
      </c>
      <c r="H141" s="927"/>
      <c r="I141" s="156"/>
      <c r="J141" s="156"/>
      <c r="L141" s="566"/>
    </row>
    <row r="142" spans="1:12" s="95" customFormat="1" ht="15.75" customHeight="1">
      <c r="A142" s="76"/>
      <c r="B142" s="77">
        <v>80130</v>
      </c>
      <c r="C142" s="77"/>
      <c r="D142" s="77" t="s">
        <v>144</v>
      </c>
      <c r="E142" s="77"/>
      <c r="F142" s="79"/>
      <c r="G142" s="79">
        <f>G145+G143</f>
        <v>280448</v>
      </c>
      <c r="H142" s="79">
        <f>H145+H143</f>
        <v>219948</v>
      </c>
      <c r="I142" s="137"/>
      <c r="J142" s="137"/>
      <c r="L142" s="94"/>
    </row>
    <row r="143" spans="1:12" s="95" customFormat="1" ht="18" customHeight="1">
      <c r="A143" s="80"/>
      <c r="B143" s="66"/>
      <c r="C143" s="66"/>
      <c r="D143" s="535" t="s">
        <v>117</v>
      </c>
      <c r="E143" s="535"/>
      <c r="F143" s="556"/>
      <c r="G143" s="556">
        <f>G144</f>
        <v>60500</v>
      </c>
      <c r="H143" s="556"/>
      <c r="I143" s="137"/>
      <c r="J143" s="137"/>
      <c r="L143" s="94"/>
    </row>
    <row r="144" spans="1:12" s="95" customFormat="1" ht="18" customHeight="1">
      <c r="A144" s="80"/>
      <c r="B144" s="66"/>
      <c r="C144" s="313">
        <v>4260</v>
      </c>
      <c r="D144" s="313" t="s">
        <v>174</v>
      </c>
      <c r="E144" s="313"/>
      <c r="F144" s="315"/>
      <c r="G144" s="315">
        <v>60500</v>
      </c>
      <c r="H144" s="315"/>
      <c r="I144" s="137"/>
      <c r="J144" s="137"/>
      <c r="L144" s="94"/>
    </row>
    <row r="145" spans="1:12" s="95" customFormat="1" ht="18" customHeight="1">
      <c r="A145" s="80"/>
      <c r="B145" s="66"/>
      <c r="C145" s="464"/>
      <c r="D145" s="748" t="s">
        <v>497</v>
      </c>
      <c r="E145" s="537"/>
      <c r="F145" s="564"/>
      <c r="G145" s="564">
        <f>G153+G156</f>
        <v>219948</v>
      </c>
      <c r="H145" s="564">
        <f>H153+H156</f>
        <v>219948</v>
      </c>
      <c r="I145" s="137"/>
      <c r="J145" s="137"/>
      <c r="L145" s="94"/>
    </row>
    <row r="146" spans="1:12" s="565" customFormat="1" ht="27.75" customHeight="1">
      <c r="A146" s="202"/>
      <c r="B146" s="81"/>
      <c r="C146" s="81"/>
      <c r="D146" s="553" t="s">
        <v>33</v>
      </c>
      <c r="E146" s="759"/>
      <c r="F146" s="623"/>
      <c r="G146" s="623">
        <v>5060</v>
      </c>
      <c r="H146" s="623"/>
      <c r="I146" s="156"/>
      <c r="J146" s="156"/>
      <c r="L146" s="566"/>
    </row>
    <row r="147" spans="1:12" s="565" customFormat="1" ht="27.75" customHeight="1">
      <c r="A147" s="202"/>
      <c r="B147" s="81"/>
      <c r="C147" s="81"/>
      <c r="D147" s="931" t="s">
        <v>34</v>
      </c>
      <c r="E147" s="929"/>
      <c r="F147" s="930"/>
      <c r="G147" s="930">
        <v>20888</v>
      </c>
      <c r="H147" s="930"/>
      <c r="I147" s="156"/>
      <c r="J147" s="156"/>
      <c r="L147" s="566"/>
    </row>
    <row r="148" spans="1:12" s="565" customFormat="1" ht="27" customHeight="1">
      <c r="A148" s="202"/>
      <c r="B148" s="81"/>
      <c r="C148" s="81"/>
      <c r="D148" s="879" t="s">
        <v>37</v>
      </c>
      <c r="E148" s="929"/>
      <c r="F148" s="930"/>
      <c r="G148" s="930">
        <v>27000</v>
      </c>
      <c r="H148" s="930"/>
      <c r="I148" s="156"/>
      <c r="J148" s="156"/>
      <c r="L148" s="566"/>
    </row>
    <row r="149" spans="1:12" s="565" customFormat="1" ht="41.25" customHeight="1">
      <c r="A149" s="202"/>
      <c r="B149" s="81"/>
      <c r="C149" s="81"/>
      <c r="D149" s="553" t="s">
        <v>38</v>
      </c>
      <c r="E149" s="929"/>
      <c r="F149" s="930"/>
      <c r="G149" s="930">
        <v>24000</v>
      </c>
      <c r="H149" s="930"/>
      <c r="I149" s="156"/>
      <c r="J149" s="156"/>
      <c r="L149" s="566"/>
    </row>
    <row r="150" spans="1:12" s="95" customFormat="1" ht="27" customHeight="1">
      <c r="A150" s="80"/>
      <c r="B150" s="66"/>
      <c r="C150" s="66"/>
      <c r="D150" s="932" t="s">
        <v>35</v>
      </c>
      <c r="E150" s="933"/>
      <c r="F150" s="934"/>
      <c r="G150" s="708">
        <v>40000</v>
      </c>
      <c r="H150" s="708"/>
      <c r="I150" s="137"/>
      <c r="J150" s="137"/>
      <c r="L150" s="94"/>
    </row>
    <row r="151" spans="1:12" s="95" customFormat="1" ht="28.5" customHeight="1">
      <c r="A151" s="80"/>
      <c r="B151" s="66"/>
      <c r="C151" s="66"/>
      <c r="D151" s="932" t="s">
        <v>36</v>
      </c>
      <c r="E151" s="933"/>
      <c r="F151" s="934"/>
      <c r="G151" s="708">
        <v>34000</v>
      </c>
      <c r="H151" s="708"/>
      <c r="I151" s="137"/>
      <c r="J151" s="137"/>
      <c r="L151" s="94"/>
    </row>
    <row r="152" spans="1:12" s="95" customFormat="1" ht="18" customHeight="1">
      <c r="A152" s="80"/>
      <c r="B152" s="66"/>
      <c r="C152" s="81"/>
      <c r="D152" s="553" t="s">
        <v>185</v>
      </c>
      <c r="E152" s="760"/>
      <c r="F152" s="761"/>
      <c r="G152" s="761">
        <v>69000</v>
      </c>
      <c r="H152" s="761"/>
      <c r="I152" s="137"/>
      <c r="J152" s="137"/>
      <c r="L152" s="94"/>
    </row>
    <row r="153" spans="1:12" s="95" customFormat="1" ht="18" customHeight="1">
      <c r="A153" s="80"/>
      <c r="B153" s="66"/>
      <c r="C153" s="82">
        <v>2540</v>
      </c>
      <c r="D153" s="529" t="s">
        <v>155</v>
      </c>
      <c r="E153" s="534"/>
      <c r="F153" s="552"/>
      <c r="G153" s="552">
        <f>SUM(G146:G152)</f>
        <v>219948</v>
      </c>
      <c r="H153" s="552"/>
      <c r="I153" s="137"/>
      <c r="J153" s="137"/>
      <c r="L153" s="94"/>
    </row>
    <row r="154" spans="1:12" s="95" customFormat="1" ht="27.75" customHeight="1">
      <c r="A154" s="93"/>
      <c r="B154" s="66"/>
      <c r="C154" s="81"/>
      <c r="D154" s="935" t="s">
        <v>39</v>
      </c>
      <c r="E154" s="933"/>
      <c r="F154" s="934"/>
      <c r="G154" s="708"/>
      <c r="H154" s="708">
        <v>75000</v>
      </c>
      <c r="I154" s="137"/>
      <c r="J154" s="137"/>
      <c r="L154" s="94"/>
    </row>
    <row r="155" spans="1:12" s="95" customFormat="1" ht="27" customHeight="1">
      <c r="A155" s="93"/>
      <c r="B155" s="66"/>
      <c r="C155" s="81"/>
      <c r="D155" s="936" t="s">
        <v>40</v>
      </c>
      <c r="E155" s="933"/>
      <c r="F155" s="934"/>
      <c r="G155" s="708"/>
      <c r="H155" s="708">
        <v>144948</v>
      </c>
      <c r="I155" s="137"/>
      <c r="J155" s="137"/>
      <c r="L155" s="94"/>
    </row>
    <row r="156" spans="1:12" s="95" customFormat="1" ht="40.5" customHeight="1">
      <c r="A156" s="93"/>
      <c r="B156" s="69"/>
      <c r="C156" s="82">
        <v>2590</v>
      </c>
      <c r="D156" s="937" t="s">
        <v>496</v>
      </c>
      <c r="E156" s="938"/>
      <c r="F156" s="705"/>
      <c r="G156" s="705"/>
      <c r="H156" s="705">
        <f>SUM(H154:H155)</f>
        <v>219948</v>
      </c>
      <c r="I156" s="137"/>
      <c r="J156" s="137"/>
      <c r="L156" s="94"/>
    </row>
    <row r="157" spans="1:12" s="565" customFormat="1" ht="15.75" customHeight="1">
      <c r="A157" s="76"/>
      <c r="B157" s="77">
        <v>80195</v>
      </c>
      <c r="C157" s="77"/>
      <c r="D157" s="77" t="s">
        <v>96</v>
      </c>
      <c r="E157" s="79"/>
      <c r="F157" s="79"/>
      <c r="G157" s="79"/>
      <c r="H157" s="79">
        <f>H158</f>
        <v>19947</v>
      </c>
      <c r="I157" s="156"/>
      <c r="J157" s="156"/>
      <c r="L157" s="566"/>
    </row>
    <row r="158" spans="1:12" s="565" customFormat="1" ht="25.5" customHeight="1">
      <c r="A158" s="80"/>
      <c r="B158" s="464"/>
      <c r="C158" s="464"/>
      <c r="D158" s="536" t="s">
        <v>445</v>
      </c>
      <c r="E158" s="564"/>
      <c r="F158" s="564"/>
      <c r="G158" s="564"/>
      <c r="H158" s="564">
        <f>H159</f>
        <v>19947</v>
      </c>
      <c r="I158" s="156"/>
      <c r="J158" s="156"/>
      <c r="L158" s="566"/>
    </row>
    <row r="159" spans="1:12" s="565" customFormat="1" ht="18" customHeight="1">
      <c r="A159" s="540"/>
      <c r="B159" s="82"/>
      <c r="C159" s="82">
        <v>4300</v>
      </c>
      <c r="D159" s="534" t="s">
        <v>114</v>
      </c>
      <c r="E159" s="552"/>
      <c r="F159" s="552"/>
      <c r="G159" s="552"/>
      <c r="H159" s="552">
        <v>19947</v>
      </c>
      <c r="I159" s="156"/>
      <c r="J159" s="156"/>
      <c r="L159" s="566"/>
    </row>
    <row r="160" spans="1:9" s="22" customFormat="1" ht="18" customHeight="1">
      <c r="A160" s="89">
        <v>854</v>
      </c>
      <c r="B160" s="73"/>
      <c r="C160" s="73"/>
      <c r="D160" s="89" t="s">
        <v>99</v>
      </c>
      <c r="E160" s="73"/>
      <c r="F160" s="73"/>
      <c r="G160" s="96">
        <f>G161+G164+G172+G175</f>
        <v>18124</v>
      </c>
      <c r="H160" s="96">
        <f>H161+H164+H172+H175</f>
        <v>6000</v>
      </c>
      <c r="I160" s="47"/>
    </row>
    <row r="161" spans="1:12" s="95" customFormat="1" ht="18" customHeight="1">
      <c r="A161" s="76"/>
      <c r="B161" s="78">
        <v>85401</v>
      </c>
      <c r="C161" s="78"/>
      <c r="D161" s="78" t="s">
        <v>334</v>
      </c>
      <c r="E161" s="78"/>
      <c r="F161" s="523"/>
      <c r="G161" s="523">
        <f>G162</f>
        <v>1400</v>
      </c>
      <c r="H161" s="523"/>
      <c r="I161" s="137"/>
      <c r="J161" s="137"/>
      <c r="L161" s="94"/>
    </row>
    <row r="162" spans="1:12" s="565" customFormat="1" ht="18.75" customHeight="1">
      <c r="A162" s="202"/>
      <c r="B162" s="81"/>
      <c r="C162" s="66"/>
      <c r="D162" s="620" t="s">
        <v>142</v>
      </c>
      <c r="E162" s="620"/>
      <c r="F162" s="621"/>
      <c r="G162" s="621">
        <f>G163</f>
        <v>1400</v>
      </c>
      <c r="H162" s="621"/>
      <c r="I162" s="156"/>
      <c r="J162" s="156"/>
      <c r="L162" s="566"/>
    </row>
    <row r="163" spans="1:12" s="565" customFormat="1" ht="18.75" customHeight="1">
      <c r="A163" s="202"/>
      <c r="B163" s="82"/>
      <c r="C163" s="82">
        <v>4110</v>
      </c>
      <c r="D163" s="534" t="s">
        <v>171</v>
      </c>
      <c r="E163" s="534"/>
      <c r="F163" s="552"/>
      <c r="G163" s="552">
        <v>1400</v>
      </c>
      <c r="H163" s="552"/>
      <c r="I163" s="156"/>
      <c r="J163" s="156"/>
      <c r="L163" s="566"/>
    </row>
    <row r="164" spans="1:12" s="565" customFormat="1" ht="18.75" customHeight="1">
      <c r="A164" s="202"/>
      <c r="B164" s="78">
        <v>85410</v>
      </c>
      <c r="C164" s="78"/>
      <c r="D164" s="426" t="s">
        <v>279</v>
      </c>
      <c r="E164" s="78"/>
      <c r="F164" s="523"/>
      <c r="G164" s="523">
        <f>G165+G167</f>
        <v>10000</v>
      </c>
      <c r="H164" s="523">
        <f>H165+H167</f>
        <v>6000</v>
      </c>
      <c r="I164" s="156"/>
      <c r="J164" s="156"/>
      <c r="L164" s="566"/>
    </row>
    <row r="165" spans="1:12" s="565" customFormat="1" ht="18.75" customHeight="1">
      <c r="A165" s="202"/>
      <c r="B165" s="530"/>
      <c r="C165" s="66"/>
      <c r="D165" s="748" t="s">
        <v>117</v>
      </c>
      <c r="E165" s="620"/>
      <c r="F165" s="621"/>
      <c r="G165" s="621">
        <f>G166</f>
        <v>4000</v>
      </c>
      <c r="H165" s="621"/>
      <c r="I165" s="156"/>
      <c r="J165" s="156"/>
      <c r="L165" s="566"/>
    </row>
    <row r="166" spans="1:12" s="565" customFormat="1" ht="18.75" customHeight="1">
      <c r="A166" s="202"/>
      <c r="B166" s="81"/>
      <c r="C166" s="81">
        <v>4260</v>
      </c>
      <c r="D166" s="919" t="s">
        <v>174</v>
      </c>
      <c r="E166" s="534"/>
      <c r="F166" s="552"/>
      <c r="G166" s="552">
        <v>4000</v>
      </c>
      <c r="H166" s="552"/>
      <c r="I166" s="156"/>
      <c r="J166" s="156"/>
      <c r="L166" s="566"/>
    </row>
    <row r="167" spans="1:12" s="565" customFormat="1" ht="18.75" customHeight="1">
      <c r="A167" s="202"/>
      <c r="B167" s="81"/>
      <c r="C167" s="464"/>
      <c r="D167" s="536" t="s">
        <v>41</v>
      </c>
      <c r="E167" s="567"/>
      <c r="F167" s="568"/>
      <c r="G167" s="762">
        <f>G171</f>
        <v>6000</v>
      </c>
      <c r="H167" s="762">
        <f>H171</f>
        <v>6000</v>
      </c>
      <c r="I167" s="156"/>
      <c r="J167" s="156"/>
      <c r="L167" s="566"/>
    </row>
    <row r="168" spans="1:12" s="565" customFormat="1" ht="38.25">
      <c r="A168" s="202"/>
      <c r="B168" s="81"/>
      <c r="C168" s="81"/>
      <c r="D168" s="939" t="s">
        <v>42</v>
      </c>
      <c r="E168" s="940"/>
      <c r="F168" s="707"/>
      <c r="G168" s="707"/>
      <c r="H168" s="707">
        <v>2000</v>
      </c>
      <c r="I168" s="156"/>
      <c r="J168" s="156"/>
      <c r="L168" s="566"/>
    </row>
    <row r="169" spans="1:12" s="565" customFormat="1" ht="25.5">
      <c r="A169" s="202"/>
      <c r="B169" s="81"/>
      <c r="C169" s="81"/>
      <c r="D169" s="928" t="s">
        <v>43</v>
      </c>
      <c r="E169" s="941"/>
      <c r="F169" s="708"/>
      <c r="G169" s="708"/>
      <c r="H169" s="708">
        <v>4000</v>
      </c>
      <c r="I169" s="156"/>
      <c r="J169" s="156"/>
      <c r="L169" s="566"/>
    </row>
    <row r="170" spans="1:12" s="565" customFormat="1" ht="25.5">
      <c r="A170" s="202"/>
      <c r="B170" s="81"/>
      <c r="C170" s="81"/>
      <c r="D170" s="928" t="s">
        <v>44</v>
      </c>
      <c r="E170" s="941"/>
      <c r="F170" s="708"/>
      <c r="G170" s="708">
        <v>6000</v>
      </c>
      <c r="H170" s="708"/>
      <c r="I170" s="156"/>
      <c r="J170" s="156"/>
      <c r="L170" s="566"/>
    </row>
    <row r="171" spans="1:12" s="565" customFormat="1" ht="18.75" customHeight="1">
      <c r="A171" s="202"/>
      <c r="B171" s="82"/>
      <c r="C171" s="82">
        <v>2540</v>
      </c>
      <c r="D171" s="529" t="s">
        <v>155</v>
      </c>
      <c r="E171" s="534"/>
      <c r="F171" s="552"/>
      <c r="G171" s="552">
        <f>SUM(G168:G170)</f>
        <v>6000</v>
      </c>
      <c r="H171" s="552">
        <f>SUM(H168:H170)</f>
        <v>6000</v>
      </c>
      <c r="I171" s="156"/>
      <c r="J171" s="156"/>
      <c r="L171" s="566"/>
    </row>
    <row r="172" spans="1:9" s="95" customFormat="1" ht="18.75" customHeight="1">
      <c r="A172" s="181"/>
      <c r="B172" s="211">
        <v>85415</v>
      </c>
      <c r="C172" s="211"/>
      <c r="D172" s="211" t="s">
        <v>253</v>
      </c>
      <c r="E172" s="211"/>
      <c r="F172" s="211"/>
      <c r="G172" s="523">
        <f>G173</f>
        <v>224</v>
      </c>
      <c r="H172" s="523"/>
      <c r="I172" s="94"/>
    </row>
    <row r="173" spans="1:9" s="22" customFormat="1" ht="18.75" customHeight="1">
      <c r="A173" s="80"/>
      <c r="B173" s="66"/>
      <c r="C173" s="66"/>
      <c r="D173" s="209" t="s">
        <v>203</v>
      </c>
      <c r="E173" s="209"/>
      <c r="F173" s="209"/>
      <c r="G173" s="564">
        <f>G174</f>
        <v>224</v>
      </c>
      <c r="H173" s="455"/>
      <c r="I173" s="47"/>
    </row>
    <row r="174" spans="1:9" s="22" customFormat="1" ht="18.75" customHeight="1">
      <c r="A174" s="202"/>
      <c r="B174" s="81"/>
      <c r="C174" s="82">
        <v>3240</v>
      </c>
      <c r="D174" s="82" t="s">
        <v>204</v>
      </c>
      <c r="E174" s="82"/>
      <c r="F174" s="82"/>
      <c r="G174" s="552">
        <v>224</v>
      </c>
      <c r="H174" s="456"/>
      <c r="I174" s="47"/>
    </row>
    <row r="175" spans="1:12" s="95" customFormat="1" ht="18.75" customHeight="1">
      <c r="A175" s="76"/>
      <c r="B175" s="77">
        <v>85495</v>
      </c>
      <c r="C175" s="77"/>
      <c r="D175" s="77" t="s">
        <v>96</v>
      </c>
      <c r="E175" s="77"/>
      <c r="F175" s="79"/>
      <c r="G175" s="79">
        <f>G176</f>
        <v>6500</v>
      </c>
      <c r="H175" s="79"/>
      <c r="I175" s="137"/>
      <c r="J175" s="137"/>
      <c r="L175" s="94"/>
    </row>
    <row r="176" spans="1:12" s="95" customFormat="1" ht="18.75" customHeight="1">
      <c r="A176" s="80"/>
      <c r="B176" s="464"/>
      <c r="C176" s="464"/>
      <c r="D176" s="464" t="s">
        <v>371</v>
      </c>
      <c r="E176" s="464"/>
      <c r="F176" s="569"/>
      <c r="G176" s="569">
        <f>G177</f>
        <v>6500</v>
      </c>
      <c r="H176" s="569"/>
      <c r="I176" s="137"/>
      <c r="J176" s="137"/>
      <c r="L176" s="94"/>
    </row>
    <row r="177" spans="1:12" s="95" customFormat="1" ht="18.75" customHeight="1">
      <c r="A177" s="80"/>
      <c r="B177" s="66"/>
      <c r="C177" s="66"/>
      <c r="D177" s="577" t="s">
        <v>117</v>
      </c>
      <c r="E177" s="577"/>
      <c r="F177" s="578"/>
      <c r="G177" s="578">
        <f>G178</f>
        <v>6500</v>
      </c>
      <c r="H177" s="578"/>
      <c r="I177" s="137"/>
      <c r="J177" s="137"/>
      <c r="L177" s="94"/>
    </row>
    <row r="178" spans="1:12" s="95" customFormat="1" ht="18.75" customHeight="1">
      <c r="A178" s="80"/>
      <c r="B178" s="66"/>
      <c r="C178" s="82">
        <v>4220</v>
      </c>
      <c r="D178" s="534" t="s">
        <v>182</v>
      </c>
      <c r="E178" s="534"/>
      <c r="F178" s="151"/>
      <c r="G178" s="151">
        <v>6500</v>
      </c>
      <c r="H178" s="151"/>
      <c r="I178" s="137"/>
      <c r="J178" s="137"/>
      <c r="L178" s="94"/>
    </row>
    <row r="179" spans="1:9" s="166" customFormat="1" ht="18.75" customHeight="1">
      <c r="A179" s="162"/>
      <c r="B179" s="138"/>
      <c r="C179" s="163"/>
      <c r="D179" s="164" t="s">
        <v>419</v>
      </c>
      <c r="E179" s="164"/>
      <c r="F179" s="165"/>
      <c r="G179" s="165">
        <f aca="true" t="shared" si="0" ref="G179:H182">G180</f>
        <v>33750</v>
      </c>
      <c r="H179" s="165">
        <f t="shared" si="0"/>
        <v>12000</v>
      </c>
      <c r="I179" s="311"/>
    </row>
    <row r="180" spans="1:9" s="155" customFormat="1" ht="18.75" customHeight="1" thickBot="1">
      <c r="A180" s="313"/>
      <c r="B180" s="313"/>
      <c r="C180" s="313"/>
      <c r="D180" s="161" t="s">
        <v>91</v>
      </c>
      <c r="E180" s="161"/>
      <c r="F180" s="160"/>
      <c r="G180" s="191">
        <f t="shared" si="0"/>
        <v>33750</v>
      </c>
      <c r="H180" s="191">
        <f t="shared" si="0"/>
        <v>12000</v>
      </c>
      <c r="I180" s="154"/>
    </row>
    <row r="181" spans="1:9" s="147" customFormat="1" ht="19.5" customHeight="1" thickTop="1">
      <c r="A181" s="428">
        <v>851</v>
      </c>
      <c r="B181" s="73"/>
      <c r="C181" s="73"/>
      <c r="D181" s="92" t="s">
        <v>100</v>
      </c>
      <c r="E181" s="92"/>
      <c r="F181" s="96"/>
      <c r="G181" s="96">
        <f t="shared" si="0"/>
        <v>33750</v>
      </c>
      <c r="H181" s="96">
        <f t="shared" si="0"/>
        <v>12000</v>
      </c>
      <c r="I181" s="146"/>
    </row>
    <row r="182" spans="1:9" s="147" customFormat="1" ht="19.5" customHeight="1">
      <c r="A182" s="76"/>
      <c r="B182" s="78">
        <v>85154</v>
      </c>
      <c r="C182" s="78"/>
      <c r="D182" s="78" t="s">
        <v>123</v>
      </c>
      <c r="E182" s="78"/>
      <c r="F182" s="145"/>
      <c r="G182" s="136">
        <f t="shared" si="0"/>
        <v>33750</v>
      </c>
      <c r="H182" s="136">
        <f t="shared" si="0"/>
        <v>12000</v>
      </c>
      <c r="I182" s="146"/>
    </row>
    <row r="183" spans="1:9" s="22" customFormat="1" ht="28.5" customHeight="1">
      <c r="A183" s="80"/>
      <c r="B183" s="464"/>
      <c r="C183" s="464"/>
      <c r="D183" s="609" t="s">
        <v>183</v>
      </c>
      <c r="E183" s="609"/>
      <c r="F183" s="610"/>
      <c r="G183" s="610">
        <f>G184+G186+G188</f>
        <v>33750</v>
      </c>
      <c r="H183" s="610">
        <f>H184+H186+H188</f>
        <v>12000</v>
      </c>
      <c r="I183" s="47"/>
    </row>
    <row r="184" spans="1:9" s="22" customFormat="1" ht="27" customHeight="1">
      <c r="A184" s="202"/>
      <c r="B184" s="81"/>
      <c r="C184" s="66"/>
      <c r="D184" s="1062" t="s">
        <v>507</v>
      </c>
      <c r="E184" s="1062"/>
      <c r="F184" s="1063"/>
      <c r="G184" s="1063">
        <f>G185</f>
        <v>18000</v>
      </c>
      <c r="H184" s="1063"/>
      <c r="I184" s="47"/>
    </row>
    <row r="185" spans="1:9" s="155" customFormat="1" ht="18.75" customHeight="1">
      <c r="A185" s="222"/>
      <c r="B185" s="313"/>
      <c r="C185" s="82">
        <v>4170</v>
      </c>
      <c r="D185" s="534" t="s">
        <v>124</v>
      </c>
      <c r="E185" s="83"/>
      <c r="F185" s="411"/>
      <c r="G185" s="411">
        <v>18000</v>
      </c>
      <c r="H185" s="411"/>
      <c r="I185" s="154"/>
    </row>
    <row r="186" spans="1:9" s="22" customFormat="1" ht="63.75" customHeight="1">
      <c r="A186" s="202"/>
      <c r="B186" s="81"/>
      <c r="C186" s="66"/>
      <c r="D186" s="748" t="s">
        <v>181</v>
      </c>
      <c r="E186" s="748"/>
      <c r="F186" s="864"/>
      <c r="G186" s="864">
        <f>G187</f>
        <v>15750</v>
      </c>
      <c r="H186" s="864"/>
      <c r="I186" s="47"/>
    </row>
    <row r="187" spans="1:9" s="155" customFormat="1" ht="18.75" customHeight="1">
      <c r="A187" s="203"/>
      <c r="B187" s="167"/>
      <c r="C187" s="82">
        <v>4300</v>
      </c>
      <c r="D187" s="83" t="s">
        <v>114</v>
      </c>
      <c r="E187" s="83"/>
      <c r="F187" s="411"/>
      <c r="G187" s="411">
        <v>15750</v>
      </c>
      <c r="H187" s="411"/>
      <c r="I187" s="154"/>
    </row>
    <row r="188" spans="1:9" s="155" customFormat="1" ht="18.75" customHeight="1">
      <c r="A188" s="203"/>
      <c r="B188" s="167"/>
      <c r="C188" s="464"/>
      <c r="D188" s="536" t="s">
        <v>56</v>
      </c>
      <c r="E188" s="789"/>
      <c r="F188" s="790"/>
      <c r="G188" s="473"/>
      <c r="H188" s="473">
        <f>H189</f>
        <v>12000</v>
      </c>
      <c r="I188" s="154"/>
    </row>
    <row r="189" spans="1:9" s="155" customFormat="1" ht="18.75" customHeight="1">
      <c r="A189" s="203"/>
      <c r="B189" s="167"/>
      <c r="C189" s="82">
        <v>4430</v>
      </c>
      <c r="D189" s="83" t="s">
        <v>176</v>
      </c>
      <c r="E189" s="83"/>
      <c r="F189" s="411"/>
      <c r="G189" s="411"/>
      <c r="H189" s="411">
        <v>12000</v>
      </c>
      <c r="I189" s="154"/>
    </row>
    <row r="190" spans="1:9" s="166" customFormat="1" ht="18.75" customHeight="1">
      <c r="A190" s="162"/>
      <c r="B190" s="138"/>
      <c r="C190" s="163"/>
      <c r="D190" s="462" t="s">
        <v>420</v>
      </c>
      <c r="E190" s="462"/>
      <c r="F190" s="463"/>
      <c r="G190" s="463">
        <f>G191</f>
        <v>883000</v>
      </c>
      <c r="H190" s="463">
        <f>H191</f>
        <v>1086010</v>
      </c>
      <c r="I190" s="311"/>
    </row>
    <row r="191" spans="1:9" s="155" customFormat="1" ht="18.75" customHeight="1" thickBot="1">
      <c r="A191" s="167"/>
      <c r="B191" s="167"/>
      <c r="C191" s="313"/>
      <c r="D191" s="161" t="s">
        <v>91</v>
      </c>
      <c r="E191" s="161"/>
      <c r="F191" s="160"/>
      <c r="G191" s="191">
        <f>G192+G200+G204+G214</f>
        <v>883000</v>
      </c>
      <c r="H191" s="191">
        <f>H192+H200+H204+H214</f>
        <v>1086010</v>
      </c>
      <c r="I191" s="154"/>
    </row>
    <row r="192" spans="1:9" s="155" customFormat="1" ht="18.75" customHeight="1" thickTop="1">
      <c r="A192" s="89">
        <v>600</v>
      </c>
      <c r="B192" s="89"/>
      <c r="C192" s="89"/>
      <c r="D192" s="89" t="s">
        <v>95</v>
      </c>
      <c r="E192" s="75"/>
      <c r="F192" s="75"/>
      <c r="G192" s="75">
        <f>G193</f>
        <v>450000</v>
      </c>
      <c r="H192" s="75">
        <f>H193</f>
        <v>450000</v>
      </c>
      <c r="I192" s="154"/>
    </row>
    <row r="193" spans="1:9" s="155" customFormat="1" ht="18.75" customHeight="1">
      <c r="A193" s="81"/>
      <c r="B193" s="78">
        <v>60015</v>
      </c>
      <c r="C193" s="78"/>
      <c r="D193" s="713" t="s">
        <v>259</v>
      </c>
      <c r="E193" s="136"/>
      <c r="F193" s="136"/>
      <c r="G193" s="136">
        <f>G194</f>
        <v>450000</v>
      </c>
      <c r="H193" s="136">
        <f>H194</f>
        <v>450000</v>
      </c>
      <c r="I193" s="154"/>
    </row>
    <row r="194" spans="1:9" s="155" customFormat="1" ht="18.75" customHeight="1">
      <c r="A194" s="204"/>
      <c r="B194" s="205"/>
      <c r="C194" s="108"/>
      <c r="D194" s="98" t="s">
        <v>202</v>
      </c>
      <c r="E194" s="142"/>
      <c r="F194" s="142"/>
      <c r="G194" s="142">
        <f>G197+G199</f>
        <v>450000</v>
      </c>
      <c r="H194" s="142">
        <f>H197+H199</f>
        <v>450000</v>
      </c>
      <c r="I194" s="154"/>
    </row>
    <row r="195" spans="1:9" s="155" customFormat="1" ht="18.75" customHeight="1">
      <c r="A195" s="85"/>
      <c r="B195" s="85"/>
      <c r="C195" s="85"/>
      <c r="D195" s="881" t="s">
        <v>378</v>
      </c>
      <c r="E195" s="709"/>
      <c r="F195" s="709"/>
      <c r="G195" s="709">
        <v>150000</v>
      </c>
      <c r="H195" s="709"/>
      <c r="I195" s="154"/>
    </row>
    <row r="196" spans="1:9" s="155" customFormat="1" ht="26.25" customHeight="1">
      <c r="A196" s="85"/>
      <c r="B196" s="85"/>
      <c r="C196" s="85"/>
      <c r="D196" s="560" t="s">
        <v>379</v>
      </c>
      <c r="E196" s="709"/>
      <c r="F196" s="709"/>
      <c r="G196" s="709">
        <v>300000</v>
      </c>
      <c r="H196" s="709"/>
      <c r="I196" s="154"/>
    </row>
    <row r="197" spans="1:9" s="155" customFormat="1" ht="19.5" customHeight="1">
      <c r="A197" s="85"/>
      <c r="B197" s="85"/>
      <c r="C197" s="711">
        <v>6050</v>
      </c>
      <c r="D197" s="711" t="s">
        <v>197</v>
      </c>
      <c r="E197" s="706"/>
      <c r="F197" s="706"/>
      <c r="G197" s="706">
        <f>SUM(G195:G196)</f>
        <v>450000</v>
      </c>
      <c r="H197" s="706"/>
      <c r="I197" s="154"/>
    </row>
    <row r="198" spans="1:9" s="155" customFormat="1" ht="19.5" customHeight="1">
      <c r="A198" s="85"/>
      <c r="B198" s="85"/>
      <c r="C198" s="85"/>
      <c r="D198" s="879" t="s">
        <v>457</v>
      </c>
      <c r="E198" s="709"/>
      <c r="F198" s="709"/>
      <c r="G198" s="709"/>
      <c r="H198" s="709">
        <v>450000</v>
      </c>
      <c r="I198" s="154"/>
    </row>
    <row r="199" spans="1:9" s="155" customFormat="1" ht="19.5" customHeight="1">
      <c r="A199" s="85"/>
      <c r="B199" s="86"/>
      <c r="C199" s="711">
        <v>6052</v>
      </c>
      <c r="D199" s="711" t="s">
        <v>197</v>
      </c>
      <c r="E199" s="878"/>
      <c r="F199" s="878"/>
      <c r="G199" s="878"/>
      <c r="H199" s="878">
        <f>H198</f>
        <v>450000</v>
      </c>
      <c r="I199" s="154"/>
    </row>
    <row r="200" spans="1:9" s="95" customFormat="1" ht="19.5" customHeight="1">
      <c r="A200" s="89">
        <v>750</v>
      </c>
      <c r="B200" s="89"/>
      <c r="C200" s="89"/>
      <c r="D200" s="89" t="s">
        <v>101</v>
      </c>
      <c r="E200" s="92"/>
      <c r="F200" s="74"/>
      <c r="G200" s="74"/>
      <c r="H200" s="74">
        <f>H201</f>
        <v>9837</v>
      </c>
      <c r="I200" s="94"/>
    </row>
    <row r="201" spans="1:9" s="130" customFormat="1" ht="19.5" customHeight="1">
      <c r="A201" s="81"/>
      <c r="B201" s="78">
        <v>75095</v>
      </c>
      <c r="C201" s="78"/>
      <c r="D201" s="78" t="s">
        <v>96</v>
      </c>
      <c r="E201" s="136"/>
      <c r="F201" s="136"/>
      <c r="G201" s="136"/>
      <c r="H201" s="136">
        <f>H202</f>
        <v>9837</v>
      </c>
      <c r="I201" s="137"/>
    </row>
    <row r="202" spans="1:12" s="130" customFormat="1" ht="19.5" customHeight="1">
      <c r="A202" s="204"/>
      <c r="B202" s="93"/>
      <c r="C202" s="464"/>
      <c r="D202" s="782" t="s">
        <v>455</v>
      </c>
      <c r="E202" s="524"/>
      <c r="F202" s="524"/>
      <c r="G202" s="524"/>
      <c r="H202" s="524">
        <f>H203</f>
        <v>9837</v>
      </c>
      <c r="I202" s="137"/>
      <c r="J202" s="137"/>
      <c r="L202" s="137"/>
    </row>
    <row r="203" spans="1:12" s="157" customFormat="1" ht="29.25" customHeight="1">
      <c r="A203" s="222"/>
      <c r="B203" s="313"/>
      <c r="C203" s="82">
        <v>4600</v>
      </c>
      <c r="D203" s="529" t="s">
        <v>456</v>
      </c>
      <c r="E203" s="153"/>
      <c r="F203" s="153"/>
      <c r="G203" s="153"/>
      <c r="H203" s="153">
        <v>9837</v>
      </c>
      <c r="I203" s="156"/>
      <c r="J203" s="156"/>
      <c r="L203" s="156"/>
    </row>
    <row r="204" spans="1:9" s="155" customFormat="1" ht="19.5" customHeight="1">
      <c r="A204" s="89">
        <v>801</v>
      </c>
      <c r="B204" s="89"/>
      <c r="C204" s="89"/>
      <c r="D204" s="89" t="s">
        <v>97</v>
      </c>
      <c r="E204" s="75"/>
      <c r="F204" s="75"/>
      <c r="G204" s="75">
        <f>G205+G210</f>
        <v>33000</v>
      </c>
      <c r="H204" s="75">
        <f>H205+H210</f>
        <v>33000</v>
      </c>
      <c r="I204" s="154"/>
    </row>
    <row r="205" spans="1:9" s="155" customFormat="1" ht="19.5" customHeight="1">
      <c r="A205" s="81"/>
      <c r="B205" s="78">
        <v>80101</v>
      </c>
      <c r="C205" s="78"/>
      <c r="D205" s="713" t="s">
        <v>254</v>
      </c>
      <c r="E205" s="136"/>
      <c r="F205" s="136"/>
      <c r="G205" s="136">
        <f>G206</f>
        <v>33000</v>
      </c>
      <c r="H205" s="136"/>
      <c r="I205" s="154"/>
    </row>
    <row r="206" spans="1:9" s="155" customFormat="1" ht="19.5" customHeight="1">
      <c r="A206" s="204"/>
      <c r="B206" s="205"/>
      <c r="C206" s="108"/>
      <c r="D206" s="98" t="s">
        <v>202</v>
      </c>
      <c r="E206" s="142"/>
      <c r="F206" s="142"/>
      <c r="G206" s="142">
        <f>G208</f>
        <v>33000</v>
      </c>
      <c r="H206" s="142"/>
      <c r="I206" s="154"/>
    </row>
    <row r="207" spans="1:9" s="155" customFormat="1" ht="19.5" customHeight="1">
      <c r="A207" s="85"/>
      <c r="B207" s="85"/>
      <c r="C207" s="85"/>
      <c r="D207" s="879" t="s">
        <v>458</v>
      </c>
      <c r="E207" s="709"/>
      <c r="F207" s="709"/>
      <c r="G207" s="709">
        <v>33000</v>
      </c>
      <c r="H207" s="709"/>
      <c r="I207" s="154"/>
    </row>
    <row r="208" spans="1:9" s="155" customFormat="1" ht="19.5" customHeight="1">
      <c r="A208" s="86"/>
      <c r="B208" s="86"/>
      <c r="C208" s="711">
        <v>6050</v>
      </c>
      <c r="D208" s="711" t="s">
        <v>197</v>
      </c>
      <c r="E208" s="706"/>
      <c r="F208" s="706"/>
      <c r="G208" s="706">
        <f>G207</f>
        <v>33000</v>
      </c>
      <c r="H208" s="706"/>
      <c r="I208" s="154"/>
    </row>
    <row r="209" spans="1:9" s="155" customFormat="1" ht="45" customHeight="1">
      <c r="A209" s="1064"/>
      <c r="B209" s="1064"/>
      <c r="C209" s="1065"/>
      <c r="D209" s="1065"/>
      <c r="E209" s="1066"/>
      <c r="F209" s="1066"/>
      <c r="G209" s="1066"/>
      <c r="H209" s="1066"/>
      <c r="I209" s="154"/>
    </row>
    <row r="210" spans="1:12" s="157" customFormat="1" ht="19.5" customHeight="1">
      <c r="A210" s="93"/>
      <c r="B210" s="78">
        <v>80120</v>
      </c>
      <c r="C210" s="78"/>
      <c r="D210" s="78" t="s">
        <v>256</v>
      </c>
      <c r="E210" s="415"/>
      <c r="F210" s="415"/>
      <c r="G210" s="415"/>
      <c r="H210" s="884">
        <f>H211</f>
        <v>33000</v>
      </c>
      <c r="I210" s="156"/>
      <c r="J210" s="156"/>
      <c r="L210" s="156"/>
    </row>
    <row r="211" spans="1:12" s="157" customFormat="1" ht="19.5" customHeight="1">
      <c r="A211" s="93"/>
      <c r="B211" s="93"/>
      <c r="C211" s="93"/>
      <c r="D211" s="209" t="s">
        <v>198</v>
      </c>
      <c r="E211" s="142"/>
      <c r="F211" s="142"/>
      <c r="G211" s="142"/>
      <c r="H211" s="142">
        <f>H213</f>
        <v>33000</v>
      </c>
      <c r="I211" s="156"/>
      <c r="J211" s="156"/>
      <c r="L211" s="156"/>
    </row>
    <row r="212" spans="1:12" s="157" customFormat="1" ht="29.25" customHeight="1">
      <c r="A212" s="93"/>
      <c r="B212" s="93"/>
      <c r="C212" s="93"/>
      <c r="D212" s="882" t="s">
        <v>459</v>
      </c>
      <c r="E212" s="709"/>
      <c r="F212" s="709"/>
      <c r="G212" s="709"/>
      <c r="H212" s="709">
        <v>33000</v>
      </c>
      <c r="I212" s="156"/>
      <c r="J212" s="156"/>
      <c r="L212" s="156"/>
    </row>
    <row r="213" spans="1:12" s="157" customFormat="1" ht="19.5" customHeight="1">
      <c r="A213" s="883"/>
      <c r="B213" s="883"/>
      <c r="C213" s="82">
        <v>6050</v>
      </c>
      <c r="D213" s="82" t="s">
        <v>197</v>
      </c>
      <c r="E213" s="706"/>
      <c r="F213" s="706"/>
      <c r="G213" s="706"/>
      <c r="H213" s="706">
        <f>H212</f>
        <v>33000</v>
      </c>
      <c r="I213" s="156"/>
      <c r="J213" s="156"/>
      <c r="L213" s="156"/>
    </row>
    <row r="214" spans="1:9" s="155" customFormat="1" ht="18.75" customHeight="1">
      <c r="A214" s="73">
        <v>900</v>
      </c>
      <c r="B214" s="73"/>
      <c r="C214" s="73"/>
      <c r="D214" s="73" t="s">
        <v>377</v>
      </c>
      <c r="E214" s="92"/>
      <c r="F214" s="92"/>
      <c r="G214" s="75">
        <f>G215+G220+G226</f>
        <v>400000</v>
      </c>
      <c r="H214" s="75">
        <f>H215+H220+H226</f>
        <v>593173</v>
      </c>
      <c r="I214" s="154"/>
    </row>
    <row r="215" spans="1:9" s="155" customFormat="1" ht="18.75" customHeight="1">
      <c r="A215" s="76"/>
      <c r="B215" s="77">
        <v>90001</v>
      </c>
      <c r="C215" s="77"/>
      <c r="D215" s="77" t="s">
        <v>314</v>
      </c>
      <c r="E215" s="77"/>
      <c r="F215" s="77"/>
      <c r="G215" s="136">
        <f>G216</f>
        <v>400000</v>
      </c>
      <c r="H215" s="136"/>
      <c r="I215" s="154"/>
    </row>
    <row r="216" spans="1:9" s="155" customFormat="1" ht="18.75" customHeight="1">
      <c r="A216" s="80"/>
      <c r="B216" s="66"/>
      <c r="C216" s="66"/>
      <c r="D216" s="720" t="s">
        <v>427</v>
      </c>
      <c r="E216" s="142"/>
      <c r="F216" s="142"/>
      <c r="G216" s="142">
        <f>G219</f>
        <v>400000</v>
      </c>
      <c r="H216" s="142"/>
      <c r="I216" s="154"/>
    </row>
    <row r="217" spans="1:9" s="155" customFormat="1" ht="18.75" customHeight="1">
      <c r="A217" s="80"/>
      <c r="B217" s="66"/>
      <c r="C217" s="66"/>
      <c r="D217" s="719" t="s">
        <v>380</v>
      </c>
      <c r="E217" s="457"/>
      <c r="F217" s="457"/>
      <c r="G217" s="457">
        <v>200000</v>
      </c>
      <c r="H217" s="457"/>
      <c r="I217" s="154"/>
    </row>
    <row r="218" spans="1:9" s="155" customFormat="1" ht="18.75" customHeight="1">
      <c r="A218" s="80"/>
      <c r="B218" s="66"/>
      <c r="C218" s="66"/>
      <c r="D218" s="560" t="s">
        <v>381</v>
      </c>
      <c r="E218" s="460"/>
      <c r="F218" s="460"/>
      <c r="G218" s="460">
        <v>200000</v>
      </c>
      <c r="H218" s="460"/>
      <c r="I218" s="154"/>
    </row>
    <row r="219" spans="1:9" s="155" customFormat="1" ht="18.75" customHeight="1">
      <c r="A219" s="202"/>
      <c r="B219" s="82"/>
      <c r="C219" s="82">
        <v>6050</v>
      </c>
      <c r="D219" s="529" t="s">
        <v>197</v>
      </c>
      <c r="E219" s="893"/>
      <c r="F219" s="894"/>
      <c r="G219" s="151">
        <f>SUM(G217:G218)</f>
        <v>400000</v>
      </c>
      <c r="H219" s="151"/>
      <c r="I219" s="154"/>
    </row>
    <row r="220" spans="1:9" s="155" customFormat="1" ht="18.75" customHeight="1">
      <c r="A220" s="202"/>
      <c r="B220" s="78">
        <v>90002</v>
      </c>
      <c r="C220" s="78"/>
      <c r="D220" s="78" t="s">
        <v>315</v>
      </c>
      <c r="E220" s="710"/>
      <c r="F220" s="461"/>
      <c r="G220" s="151"/>
      <c r="H220" s="884">
        <f>H221</f>
        <v>193173</v>
      </c>
      <c r="I220" s="154"/>
    </row>
    <row r="221" spans="1:9" s="155" customFormat="1" ht="18.75" customHeight="1">
      <c r="A221" s="202"/>
      <c r="B221" s="530"/>
      <c r="C221" s="530"/>
      <c r="D221" s="720" t="s">
        <v>427</v>
      </c>
      <c r="E221" s="142"/>
      <c r="F221" s="142"/>
      <c r="G221" s="142"/>
      <c r="H221" s="142">
        <f>H223+H225</f>
        <v>193173</v>
      </c>
      <c r="I221" s="154"/>
    </row>
    <row r="222" spans="1:9" s="155" customFormat="1" ht="18.75" customHeight="1">
      <c r="A222" s="202"/>
      <c r="B222" s="784"/>
      <c r="C222" s="66"/>
      <c r="D222" s="891" t="s">
        <v>461</v>
      </c>
      <c r="E222" s="457"/>
      <c r="F222" s="457"/>
      <c r="G222" s="457"/>
      <c r="H222" s="457">
        <v>118753</v>
      </c>
      <c r="I222" s="154"/>
    </row>
    <row r="223" spans="1:9" s="155" customFormat="1" ht="18.75" customHeight="1">
      <c r="A223" s="202"/>
      <c r="B223" s="784"/>
      <c r="C223" s="82">
        <v>6058</v>
      </c>
      <c r="D223" s="892" t="s">
        <v>197</v>
      </c>
      <c r="E223" s="785"/>
      <c r="F223" s="895"/>
      <c r="G223" s="722"/>
      <c r="H223" s="722">
        <f>H222</f>
        <v>118753</v>
      </c>
      <c r="I223" s="154"/>
    </row>
    <row r="224" spans="1:9" s="155" customFormat="1" ht="18.75" customHeight="1">
      <c r="A224" s="202"/>
      <c r="B224" s="784"/>
      <c r="C224" s="66"/>
      <c r="D224" s="891" t="s">
        <v>461</v>
      </c>
      <c r="E224" s="457"/>
      <c r="F224" s="457"/>
      <c r="G224" s="457"/>
      <c r="H224" s="457">
        <v>74420</v>
      </c>
      <c r="I224" s="154"/>
    </row>
    <row r="225" spans="1:9" s="155" customFormat="1" ht="18.75" customHeight="1">
      <c r="A225" s="202"/>
      <c r="B225" s="869"/>
      <c r="C225" s="82">
        <v>6059</v>
      </c>
      <c r="D225" s="892" t="s">
        <v>197</v>
      </c>
      <c r="E225" s="785"/>
      <c r="F225" s="895"/>
      <c r="G225" s="722"/>
      <c r="H225" s="722">
        <f>H224</f>
        <v>74420</v>
      </c>
      <c r="I225" s="154"/>
    </row>
    <row r="226" spans="1:9" s="155" customFormat="1" ht="18.75" customHeight="1">
      <c r="A226" s="76"/>
      <c r="B226" s="77">
        <v>90095</v>
      </c>
      <c r="C226" s="77"/>
      <c r="D226" s="673" t="s">
        <v>96</v>
      </c>
      <c r="E226" s="136"/>
      <c r="F226" s="136"/>
      <c r="G226" s="136"/>
      <c r="H226" s="136">
        <f>H227</f>
        <v>400000</v>
      </c>
      <c r="I226" s="154"/>
    </row>
    <row r="227" spans="1:9" s="155" customFormat="1" ht="18.75" customHeight="1">
      <c r="A227" s="80"/>
      <c r="B227" s="66"/>
      <c r="C227" s="66"/>
      <c r="D227" s="66" t="s">
        <v>198</v>
      </c>
      <c r="E227" s="142"/>
      <c r="F227" s="142"/>
      <c r="G227" s="142"/>
      <c r="H227" s="142">
        <f>H229</f>
        <v>400000</v>
      </c>
      <c r="I227" s="154"/>
    </row>
    <row r="228" spans="1:9" s="155" customFormat="1" ht="18.75" customHeight="1">
      <c r="A228" s="80"/>
      <c r="B228" s="66"/>
      <c r="C228" s="66"/>
      <c r="D228" s="719" t="s">
        <v>460</v>
      </c>
      <c r="E228" s="457"/>
      <c r="F228" s="457"/>
      <c r="G228" s="457"/>
      <c r="H228" s="457">
        <v>400000</v>
      </c>
      <c r="I228" s="154"/>
    </row>
    <row r="229" spans="1:9" s="155" customFormat="1" ht="18.75" customHeight="1">
      <c r="A229" s="80"/>
      <c r="B229" s="66"/>
      <c r="C229" s="82">
        <v>6050</v>
      </c>
      <c r="D229" s="529" t="s">
        <v>197</v>
      </c>
      <c r="E229" s="722"/>
      <c r="F229" s="722"/>
      <c r="G229" s="722"/>
      <c r="H229" s="722">
        <f>H228</f>
        <v>400000</v>
      </c>
      <c r="I229" s="154"/>
    </row>
    <row r="230" spans="1:9" s="166" customFormat="1" ht="19.5" customHeight="1">
      <c r="A230" s="162"/>
      <c r="B230" s="138"/>
      <c r="C230" s="163"/>
      <c r="D230" s="768" t="s">
        <v>4</v>
      </c>
      <c r="E230" s="164"/>
      <c r="F230" s="165"/>
      <c r="G230" s="165">
        <f>G231</f>
        <v>2200</v>
      </c>
      <c r="H230" s="165">
        <f>H231</f>
        <v>431100</v>
      </c>
      <c r="I230" s="311"/>
    </row>
    <row r="231" spans="1:9" s="155" customFormat="1" ht="18" customHeight="1" thickBot="1">
      <c r="A231" s="313"/>
      <c r="B231" s="313"/>
      <c r="C231" s="313"/>
      <c r="D231" s="161" t="s">
        <v>91</v>
      </c>
      <c r="E231" s="161"/>
      <c r="F231" s="160"/>
      <c r="G231" s="191">
        <f>G232+G255</f>
        <v>2200</v>
      </c>
      <c r="H231" s="191">
        <f>H232+H255</f>
        <v>431100</v>
      </c>
      <c r="I231" s="154"/>
    </row>
    <row r="232" spans="1:9" s="95" customFormat="1" ht="18" customHeight="1" thickTop="1">
      <c r="A232" s="89">
        <v>750</v>
      </c>
      <c r="B232" s="89"/>
      <c r="C232" s="89"/>
      <c r="D232" s="89" t="s">
        <v>101</v>
      </c>
      <c r="E232" s="92"/>
      <c r="F232" s="74"/>
      <c r="G232" s="74">
        <f>G233</f>
        <v>1000</v>
      </c>
      <c r="H232" s="74">
        <f>H233</f>
        <v>424900</v>
      </c>
      <c r="I232" s="94"/>
    </row>
    <row r="233" spans="1:9" s="130" customFormat="1" ht="18" customHeight="1">
      <c r="A233" s="81"/>
      <c r="B233" s="78">
        <v>75075</v>
      </c>
      <c r="C233" s="78"/>
      <c r="D233" s="78" t="s">
        <v>448</v>
      </c>
      <c r="E233" s="136"/>
      <c r="F233" s="136"/>
      <c r="G233" s="136">
        <f>G234+G237</f>
        <v>1000</v>
      </c>
      <c r="H233" s="136">
        <f>H234+H237</f>
        <v>424900</v>
      </c>
      <c r="I233" s="137"/>
    </row>
    <row r="234" spans="1:12" s="130" customFormat="1" ht="18" customHeight="1">
      <c r="A234" s="204"/>
      <c r="B234" s="93"/>
      <c r="C234" s="66"/>
      <c r="D234" s="209" t="s">
        <v>449</v>
      </c>
      <c r="E234" s="524"/>
      <c r="F234" s="524"/>
      <c r="G234" s="524">
        <f>SUM(G235:G236)</f>
        <v>1000</v>
      </c>
      <c r="H234" s="524">
        <f>SUM(H235:H236)</f>
        <v>1000</v>
      </c>
      <c r="I234" s="137"/>
      <c r="J234" s="137"/>
      <c r="L234" s="137"/>
    </row>
    <row r="235" spans="1:12" s="157" customFormat="1" ht="18" customHeight="1">
      <c r="A235" s="203"/>
      <c r="B235" s="167"/>
      <c r="C235" s="310">
        <v>4110</v>
      </c>
      <c r="D235" s="312" t="s">
        <v>171</v>
      </c>
      <c r="E235" s="153"/>
      <c r="F235" s="153"/>
      <c r="G235" s="153"/>
      <c r="H235" s="153">
        <v>1000</v>
      </c>
      <c r="I235" s="156"/>
      <c r="J235" s="156"/>
      <c r="L235" s="156"/>
    </row>
    <row r="236" spans="1:9" s="219" customFormat="1" ht="18" customHeight="1">
      <c r="A236" s="203"/>
      <c r="B236" s="167"/>
      <c r="C236" s="310">
        <v>4210</v>
      </c>
      <c r="D236" s="312" t="s">
        <v>113</v>
      </c>
      <c r="E236" s="749"/>
      <c r="F236" s="749"/>
      <c r="G236" s="749">
        <v>1000</v>
      </c>
      <c r="H236" s="749"/>
      <c r="I236" s="218"/>
    </row>
    <row r="237" spans="1:9" s="155" customFormat="1" ht="18" customHeight="1">
      <c r="A237" s="204"/>
      <c r="B237" s="93"/>
      <c r="C237" s="66"/>
      <c r="D237" s="209" t="s">
        <v>509</v>
      </c>
      <c r="E237" s="524"/>
      <c r="F237" s="524"/>
      <c r="G237" s="524"/>
      <c r="H237" s="524">
        <f>SUM(H238:H252)</f>
        <v>423900</v>
      </c>
      <c r="I237" s="154"/>
    </row>
    <row r="238" spans="1:9" s="155" customFormat="1" ht="18" customHeight="1">
      <c r="A238" s="203"/>
      <c r="B238" s="167"/>
      <c r="C238" s="310">
        <v>4018</v>
      </c>
      <c r="D238" s="312" t="s">
        <v>65</v>
      </c>
      <c r="E238" s="159"/>
      <c r="F238" s="159"/>
      <c r="G238" s="159"/>
      <c r="H238" s="159">
        <f>39035</f>
        <v>39035</v>
      </c>
      <c r="I238" s="154"/>
    </row>
    <row r="239" spans="1:9" s="155" customFormat="1" ht="18" customHeight="1">
      <c r="A239" s="222"/>
      <c r="B239" s="313"/>
      <c r="C239" s="310">
        <v>4019</v>
      </c>
      <c r="D239" s="312" t="s">
        <v>65</v>
      </c>
      <c r="E239" s="159"/>
      <c r="F239" s="159"/>
      <c r="G239" s="159"/>
      <c r="H239" s="159">
        <v>13012</v>
      </c>
      <c r="I239" s="154"/>
    </row>
    <row r="240" spans="1:9" s="155" customFormat="1" ht="18" customHeight="1">
      <c r="A240" s="203"/>
      <c r="B240" s="167"/>
      <c r="C240" s="310">
        <v>4118</v>
      </c>
      <c r="D240" s="312" t="s">
        <v>171</v>
      </c>
      <c r="E240" s="415"/>
      <c r="F240" s="415"/>
      <c r="G240" s="415"/>
      <c r="H240" s="415">
        <v>8374</v>
      </c>
      <c r="I240" s="154"/>
    </row>
    <row r="241" spans="1:9" s="155" customFormat="1" ht="18" customHeight="1">
      <c r="A241" s="203"/>
      <c r="B241" s="167"/>
      <c r="C241" s="310">
        <v>4119</v>
      </c>
      <c r="D241" s="312" t="s">
        <v>171</v>
      </c>
      <c r="E241" s="749"/>
      <c r="F241" s="749"/>
      <c r="G241" s="749"/>
      <c r="H241" s="749">
        <v>2791</v>
      </c>
      <c r="I241" s="154"/>
    </row>
    <row r="242" spans="1:9" s="155" customFormat="1" ht="18" customHeight="1">
      <c r="A242" s="203"/>
      <c r="B242" s="167"/>
      <c r="C242" s="1048">
        <v>4128</v>
      </c>
      <c r="D242" s="1049" t="s">
        <v>172</v>
      </c>
      <c r="E242" s="749"/>
      <c r="F242" s="749"/>
      <c r="G242" s="749"/>
      <c r="H242" s="749">
        <v>1191</v>
      </c>
      <c r="I242" s="154"/>
    </row>
    <row r="243" spans="1:9" s="155" customFormat="1" ht="18" customHeight="1">
      <c r="A243" s="203"/>
      <c r="B243" s="167"/>
      <c r="C243" s="1048">
        <v>4129</v>
      </c>
      <c r="D243" s="1049" t="s">
        <v>172</v>
      </c>
      <c r="E243" s="749"/>
      <c r="F243" s="749"/>
      <c r="G243" s="749"/>
      <c r="H243" s="749">
        <v>397</v>
      </c>
      <c r="I243" s="154"/>
    </row>
    <row r="244" spans="1:9" s="155" customFormat="1" ht="18" customHeight="1">
      <c r="A244" s="203"/>
      <c r="B244" s="167"/>
      <c r="C244" s="310">
        <v>4178</v>
      </c>
      <c r="D244" s="312" t="s">
        <v>124</v>
      </c>
      <c r="E244" s="415"/>
      <c r="F244" s="415"/>
      <c r="G244" s="415"/>
      <c r="H244" s="415">
        <v>7950</v>
      </c>
      <c r="I244" s="154"/>
    </row>
    <row r="245" spans="1:9" s="155" customFormat="1" ht="18" customHeight="1">
      <c r="A245" s="203"/>
      <c r="B245" s="167"/>
      <c r="C245" s="310">
        <v>4179</v>
      </c>
      <c r="D245" s="312" t="s">
        <v>124</v>
      </c>
      <c r="E245" s="415"/>
      <c r="F245" s="415"/>
      <c r="G245" s="415"/>
      <c r="H245" s="415">
        <v>2650</v>
      </c>
      <c r="I245" s="154"/>
    </row>
    <row r="246" spans="1:9" s="155" customFormat="1" ht="18" customHeight="1">
      <c r="A246" s="203"/>
      <c r="B246" s="167"/>
      <c r="C246" s="310">
        <v>4218</v>
      </c>
      <c r="D246" s="312" t="s">
        <v>113</v>
      </c>
      <c r="E246" s="415"/>
      <c r="F246" s="415"/>
      <c r="G246" s="415"/>
      <c r="H246" s="415">
        <v>9975</v>
      </c>
      <c r="I246" s="154"/>
    </row>
    <row r="247" spans="1:9" s="155" customFormat="1" ht="18" customHeight="1">
      <c r="A247" s="203"/>
      <c r="B247" s="167"/>
      <c r="C247" s="310">
        <v>4219</v>
      </c>
      <c r="D247" s="312" t="s">
        <v>113</v>
      </c>
      <c r="E247" s="415"/>
      <c r="F247" s="415"/>
      <c r="G247" s="415"/>
      <c r="H247" s="415">
        <v>3325</v>
      </c>
      <c r="I247" s="154"/>
    </row>
    <row r="248" spans="1:9" s="155" customFormat="1" ht="18" customHeight="1">
      <c r="A248" s="203"/>
      <c r="B248" s="167"/>
      <c r="C248" s="310">
        <v>4308</v>
      </c>
      <c r="D248" s="312" t="s">
        <v>114</v>
      </c>
      <c r="E248" s="415"/>
      <c r="F248" s="415"/>
      <c r="G248" s="415"/>
      <c r="H248" s="415">
        <f>196500+36000</f>
        <v>232500</v>
      </c>
      <c r="I248" s="154"/>
    </row>
    <row r="249" spans="1:9" s="155" customFormat="1" ht="18" customHeight="1">
      <c r="A249" s="203"/>
      <c r="B249" s="167"/>
      <c r="C249" s="310">
        <v>4309</v>
      </c>
      <c r="D249" s="312" t="s">
        <v>114</v>
      </c>
      <c r="E249" s="415"/>
      <c r="F249" s="415"/>
      <c r="G249" s="415"/>
      <c r="H249" s="415">
        <f>65500+12000</f>
        <v>77500</v>
      </c>
      <c r="I249" s="154"/>
    </row>
    <row r="250" spans="1:9" s="155" customFormat="1" ht="18" customHeight="1">
      <c r="A250" s="203"/>
      <c r="B250" s="167"/>
      <c r="C250" s="310">
        <v>4418</v>
      </c>
      <c r="D250" s="312" t="s">
        <v>179</v>
      </c>
      <c r="E250" s="415"/>
      <c r="F250" s="415"/>
      <c r="G250" s="415"/>
      <c r="H250" s="415">
        <v>11250</v>
      </c>
      <c r="I250" s="154"/>
    </row>
    <row r="251" spans="1:9" s="155" customFormat="1" ht="18" customHeight="1">
      <c r="A251" s="203"/>
      <c r="B251" s="167"/>
      <c r="C251" s="310">
        <v>4419</v>
      </c>
      <c r="D251" s="312" t="s">
        <v>179</v>
      </c>
      <c r="E251" s="415"/>
      <c r="F251" s="415"/>
      <c r="G251" s="415"/>
      <c r="H251" s="415">
        <v>3750</v>
      </c>
      <c r="I251" s="154"/>
    </row>
    <row r="252" spans="1:9" s="155" customFormat="1" ht="18" customHeight="1">
      <c r="A252" s="203"/>
      <c r="B252" s="167"/>
      <c r="C252" s="945"/>
      <c r="D252" s="946" t="s">
        <v>303</v>
      </c>
      <c r="E252" s="851"/>
      <c r="F252" s="851"/>
      <c r="G252" s="851"/>
      <c r="H252" s="851">
        <f>SUM(H253:H254)</f>
        <v>10200</v>
      </c>
      <c r="I252" s="154"/>
    </row>
    <row r="253" spans="1:9" s="155" customFormat="1" ht="18" customHeight="1">
      <c r="A253" s="203"/>
      <c r="B253" s="167"/>
      <c r="C253" s="310">
        <v>6068</v>
      </c>
      <c r="D253" s="312" t="s">
        <v>151</v>
      </c>
      <c r="E253" s="415"/>
      <c r="F253" s="415"/>
      <c r="G253" s="415"/>
      <c r="H253" s="415">
        <v>7650</v>
      </c>
      <c r="I253" s="154"/>
    </row>
    <row r="254" spans="1:9" s="155" customFormat="1" ht="18" customHeight="1">
      <c r="A254" s="222"/>
      <c r="B254" s="313"/>
      <c r="C254" s="310">
        <v>6069</v>
      </c>
      <c r="D254" s="312" t="s">
        <v>151</v>
      </c>
      <c r="E254" s="415"/>
      <c r="F254" s="415"/>
      <c r="G254" s="415"/>
      <c r="H254" s="415">
        <v>2550</v>
      </c>
      <c r="I254" s="154"/>
    </row>
    <row r="255" spans="1:9" s="155" customFormat="1" ht="18" customHeight="1">
      <c r="A255" s="73">
        <v>921</v>
      </c>
      <c r="B255" s="73"/>
      <c r="C255" s="73"/>
      <c r="D255" s="73" t="s">
        <v>317</v>
      </c>
      <c r="E255" s="92"/>
      <c r="F255" s="74"/>
      <c r="G255" s="74">
        <f>G256</f>
        <v>1200</v>
      </c>
      <c r="H255" s="74">
        <f>H256</f>
        <v>6200</v>
      </c>
      <c r="I255" s="154"/>
    </row>
    <row r="256" spans="1:9" s="155" customFormat="1" ht="18" customHeight="1">
      <c r="A256" s="93"/>
      <c r="B256" s="78">
        <v>92105</v>
      </c>
      <c r="C256" s="78"/>
      <c r="D256" s="78" t="s">
        <v>450</v>
      </c>
      <c r="E256" s="136"/>
      <c r="F256" s="136"/>
      <c r="G256" s="136">
        <f>G257+G260</f>
        <v>1200</v>
      </c>
      <c r="H256" s="136">
        <f>H257+H260</f>
        <v>6200</v>
      </c>
      <c r="I256" s="154"/>
    </row>
    <row r="257" spans="1:9" s="155" customFormat="1" ht="18" customHeight="1">
      <c r="A257" s="93"/>
      <c r="B257" s="66"/>
      <c r="C257" s="464"/>
      <c r="D257" s="101" t="s">
        <v>451</v>
      </c>
      <c r="E257" s="524"/>
      <c r="F257" s="524"/>
      <c r="G257" s="524">
        <f>SUM(G258:G259)</f>
        <v>1200</v>
      </c>
      <c r="H257" s="524">
        <f>SUM(H258:H259)</f>
        <v>1200</v>
      </c>
      <c r="I257" s="154"/>
    </row>
    <row r="258" spans="1:12" s="157" customFormat="1" ht="18" customHeight="1">
      <c r="A258" s="203"/>
      <c r="B258" s="167"/>
      <c r="C258" s="310">
        <v>4210</v>
      </c>
      <c r="D258" s="312" t="s">
        <v>113</v>
      </c>
      <c r="E258" s="153"/>
      <c r="F258" s="153"/>
      <c r="G258" s="153">
        <v>1200</v>
      </c>
      <c r="H258" s="153"/>
      <c r="I258" s="156"/>
      <c r="J258" s="156"/>
      <c r="L258" s="156"/>
    </row>
    <row r="259" spans="1:9" s="219" customFormat="1" ht="18" customHeight="1">
      <c r="A259" s="203"/>
      <c r="B259" s="167"/>
      <c r="C259" s="310">
        <v>4300</v>
      </c>
      <c r="D259" s="312" t="s">
        <v>114</v>
      </c>
      <c r="E259" s="749"/>
      <c r="F259" s="749"/>
      <c r="G259" s="749"/>
      <c r="H259" s="749">
        <v>1200</v>
      </c>
      <c r="I259" s="218"/>
    </row>
    <row r="260" spans="1:9" s="155" customFormat="1" ht="18" customHeight="1">
      <c r="A260" s="93"/>
      <c r="B260" s="66"/>
      <c r="C260" s="464"/>
      <c r="D260" s="101" t="s">
        <v>14</v>
      </c>
      <c r="E260" s="524"/>
      <c r="F260" s="524"/>
      <c r="G260" s="524"/>
      <c r="H260" s="524">
        <f>H261</f>
        <v>5000</v>
      </c>
      <c r="I260" s="154"/>
    </row>
    <row r="261" spans="1:12" s="157" customFormat="1" ht="18" customHeight="1">
      <c r="A261" s="203"/>
      <c r="B261" s="167"/>
      <c r="C261" s="310">
        <v>4300</v>
      </c>
      <c r="D261" s="312" t="s">
        <v>114</v>
      </c>
      <c r="E261" s="153"/>
      <c r="F261" s="153"/>
      <c r="G261" s="153"/>
      <c r="H261" s="153">
        <v>5000</v>
      </c>
      <c r="I261" s="156"/>
      <c r="J261" s="156"/>
      <c r="L261" s="156"/>
    </row>
    <row r="262" spans="1:9" s="166" customFormat="1" ht="19.5" customHeight="1">
      <c r="A262" s="162"/>
      <c r="B262" s="138"/>
      <c r="C262" s="163"/>
      <c r="D262" s="164" t="s">
        <v>5</v>
      </c>
      <c r="E262" s="164"/>
      <c r="F262" s="165"/>
      <c r="G262" s="165">
        <f aca="true" t="shared" si="1" ref="G262:H264">G263</f>
        <v>23942</v>
      </c>
      <c r="H262" s="165">
        <f t="shared" si="1"/>
        <v>23942</v>
      </c>
      <c r="I262" s="311"/>
    </row>
    <row r="263" spans="1:9" s="155" customFormat="1" ht="19.5" customHeight="1" thickBot="1">
      <c r="A263" s="313"/>
      <c r="B263" s="313"/>
      <c r="C263" s="313"/>
      <c r="D263" s="161" t="s">
        <v>91</v>
      </c>
      <c r="E263" s="161"/>
      <c r="F263" s="160"/>
      <c r="G263" s="191">
        <f t="shared" si="1"/>
        <v>23942</v>
      </c>
      <c r="H263" s="191">
        <f t="shared" si="1"/>
        <v>23942</v>
      </c>
      <c r="I263" s="154"/>
    </row>
    <row r="264" spans="1:9" s="95" customFormat="1" ht="19.5" customHeight="1" thickTop="1">
      <c r="A264" s="428">
        <v>852</v>
      </c>
      <c r="B264" s="73"/>
      <c r="C264" s="73"/>
      <c r="D264" s="92" t="s">
        <v>98</v>
      </c>
      <c r="E264" s="92"/>
      <c r="F264" s="74"/>
      <c r="G264" s="74">
        <f t="shared" si="1"/>
        <v>23942</v>
      </c>
      <c r="H264" s="74">
        <f t="shared" si="1"/>
        <v>23942</v>
      </c>
      <c r="I264" s="94"/>
    </row>
    <row r="265" spans="1:9" s="130" customFormat="1" ht="19.5" customHeight="1">
      <c r="A265" s="81"/>
      <c r="B265" s="77">
        <v>85202</v>
      </c>
      <c r="C265" s="77"/>
      <c r="D265" s="316" t="s">
        <v>270</v>
      </c>
      <c r="E265" s="786"/>
      <c r="F265" s="90"/>
      <c r="G265" s="90">
        <f>G266+G270</f>
        <v>23942</v>
      </c>
      <c r="H265" s="90">
        <f>H266+H270</f>
        <v>23942</v>
      </c>
      <c r="I265" s="137"/>
    </row>
    <row r="266" spans="1:9" s="130" customFormat="1" ht="19.5" customHeight="1">
      <c r="A266" s="204"/>
      <c r="B266" s="213"/>
      <c r="C266" s="213"/>
      <c r="D266" s="699" t="s">
        <v>117</v>
      </c>
      <c r="E266" s="957"/>
      <c r="F266" s="958"/>
      <c r="G266" s="958"/>
      <c r="H266" s="961">
        <f>SUM(H267:H268)</f>
        <v>23942</v>
      </c>
      <c r="I266" s="137"/>
    </row>
    <row r="267" spans="1:9" s="130" customFormat="1" ht="19.5" customHeight="1">
      <c r="A267" s="203"/>
      <c r="B267" s="167"/>
      <c r="C267" s="82">
        <v>4210</v>
      </c>
      <c r="D267" s="82" t="s">
        <v>113</v>
      </c>
      <c r="E267" s="956"/>
      <c r="F267" s="90"/>
      <c r="G267" s="90"/>
      <c r="H267" s="959">
        <v>6000</v>
      </c>
      <c r="I267" s="137"/>
    </row>
    <row r="268" spans="1:9" s="130" customFormat="1" ht="19.5" customHeight="1">
      <c r="A268" s="211"/>
      <c r="B268" s="69"/>
      <c r="C268" s="82">
        <v>4260</v>
      </c>
      <c r="D268" s="529" t="s">
        <v>174</v>
      </c>
      <c r="E268" s="786"/>
      <c r="F268" s="158"/>
      <c r="G268" s="158"/>
      <c r="H268" s="960">
        <v>17942</v>
      </c>
      <c r="I268" s="137"/>
    </row>
    <row r="269" spans="1:9" s="130" customFormat="1" ht="31.5" customHeight="1">
      <c r="A269" s="1074"/>
      <c r="B269" s="33"/>
      <c r="C269" s="1075"/>
      <c r="D269" s="935"/>
      <c r="E269" s="1076"/>
      <c r="F269" s="1077"/>
      <c r="G269" s="1077"/>
      <c r="H269" s="1078"/>
      <c r="I269" s="137"/>
    </row>
    <row r="270" spans="1:9" s="130" customFormat="1" ht="19.5" customHeight="1">
      <c r="A270" s="204"/>
      <c r="B270" s="213"/>
      <c r="C270" s="66"/>
      <c r="D270" s="66" t="s">
        <v>427</v>
      </c>
      <c r="E270" s="306"/>
      <c r="F270" s="1072"/>
      <c r="G270" s="1073">
        <f>G272</f>
        <v>23942</v>
      </c>
      <c r="H270" s="1072"/>
      <c r="I270" s="137"/>
    </row>
    <row r="271" spans="1:9" s="130" customFormat="1" ht="18.75" customHeight="1">
      <c r="A271" s="203"/>
      <c r="B271" s="167"/>
      <c r="C271" s="81"/>
      <c r="D271" s="939" t="s">
        <v>526</v>
      </c>
      <c r="E271" s="953"/>
      <c r="F271" s="954"/>
      <c r="G271" s="955">
        <v>23942</v>
      </c>
      <c r="H271" s="955"/>
      <c r="I271" s="137"/>
    </row>
    <row r="272" spans="1:12" s="130" customFormat="1" ht="19.5" customHeight="1">
      <c r="A272" s="203"/>
      <c r="B272" s="167"/>
      <c r="C272" s="82">
        <v>6050</v>
      </c>
      <c r="D272" s="83" t="s">
        <v>197</v>
      </c>
      <c r="E272" s="261"/>
      <c r="F272" s="261"/>
      <c r="G272" s="771">
        <f>G271</f>
        <v>23942</v>
      </c>
      <c r="H272" s="771"/>
      <c r="I272" s="137"/>
      <c r="J272" s="137"/>
      <c r="L272" s="137"/>
    </row>
    <row r="273" spans="1:9" s="166" customFormat="1" ht="22.5" customHeight="1">
      <c r="A273" s="162"/>
      <c r="B273" s="138"/>
      <c r="C273" s="163"/>
      <c r="D273" s="164" t="s">
        <v>6</v>
      </c>
      <c r="E273" s="164"/>
      <c r="F273" s="165"/>
      <c r="G273" s="165">
        <f>G274</f>
        <v>360</v>
      </c>
      <c r="H273" s="165">
        <f>H274</f>
        <v>360</v>
      </c>
      <c r="I273" s="311"/>
    </row>
    <row r="274" spans="1:9" s="155" customFormat="1" ht="22.5" customHeight="1" thickBot="1">
      <c r="A274" s="313"/>
      <c r="B274" s="313"/>
      <c r="C274" s="313"/>
      <c r="D274" s="161" t="s">
        <v>91</v>
      </c>
      <c r="E274" s="161"/>
      <c r="F274" s="160"/>
      <c r="G274" s="191">
        <f>G275</f>
        <v>360</v>
      </c>
      <c r="H274" s="191">
        <f>H275</f>
        <v>360</v>
      </c>
      <c r="I274" s="154"/>
    </row>
    <row r="275" spans="1:9" s="95" customFormat="1" ht="19.5" customHeight="1" thickTop="1">
      <c r="A275" s="428">
        <v>852</v>
      </c>
      <c r="B275" s="73"/>
      <c r="C275" s="73"/>
      <c r="D275" s="92" t="s">
        <v>98</v>
      </c>
      <c r="E275" s="92"/>
      <c r="F275" s="74"/>
      <c r="G275" s="74">
        <f>G276+G279</f>
        <v>360</v>
      </c>
      <c r="H275" s="74">
        <f>H276+H279</f>
        <v>360</v>
      </c>
      <c r="I275" s="94"/>
    </row>
    <row r="276" spans="1:9" s="130" customFormat="1" ht="19.5" customHeight="1">
      <c r="A276" s="81"/>
      <c r="B276" s="77">
        <v>85202</v>
      </c>
      <c r="C276" s="77"/>
      <c r="D276" s="316" t="s">
        <v>270</v>
      </c>
      <c r="E276" s="306"/>
      <c r="F276" s="90"/>
      <c r="G276" s="90">
        <f>G277</f>
        <v>360</v>
      </c>
      <c r="H276" s="90"/>
      <c r="I276" s="137"/>
    </row>
    <row r="277" spans="1:12" s="130" customFormat="1" ht="19.5" customHeight="1">
      <c r="A277" s="80"/>
      <c r="B277" s="205"/>
      <c r="C277" s="205"/>
      <c r="D277" s="206" t="s">
        <v>117</v>
      </c>
      <c r="E277" s="143"/>
      <c r="F277" s="143"/>
      <c r="G277" s="143">
        <f>G278</f>
        <v>360</v>
      </c>
      <c r="H277" s="143"/>
      <c r="I277" s="137"/>
      <c r="J277" s="137"/>
      <c r="L277" s="137"/>
    </row>
    <row r="278" spans="1:12" s="157" customFormat="1" ht="19.5" customHeight="1">
      <c r="A278" s="202"/>
      <c r="B278" s="313"/>
      <c r="C278" s="82">
        <v>3020</v>
      </c>
      <c r="D278" s="901" t="s">
        <v>292</v>
      </c>
      <c r="E278" s="144"/>
      <c r="F278" s="144"/>
      <c r="G278" s="144">
        <v>360</v>
      </c>
      <c r="H278" s="144"/>
      <c r="I278" s="156"/>
      <c r="J278" s="156"/>
      <c r="L278" s="156"/>
    </row>
    <row r="279" spans="1:9" s="130" customFormat="1" ht="19.5" customHeight="1">
      <c r="A279" s="81"/>
      <c r="B279" s="78">
        <v>85295</v>
      </c>
      <c r="C279" s="78"/>
      <c r="D279" s="78" t="s">
        <v>96</v>
      </c>
      <c r="E279" s="306"/>
      <c r="F279" s="90"/>
      <c r="G279" s="90"/>
      <c r="H279" s="90">
        <f>H280</f>
        <v>360</v>
      </c>
      <c r="I279" s="137"/>
    </row>
    <row r="280" spans="1:12" s="130" customFormat="1" ht="19.5" customHeight="1">
      <c r="A280" s="80"/>
      <c r="B280" s="205"/>
      <c r="C280" s="205"/>
      <c r="D280" s="458" t="s">
        <v>59</v>
      </c>
      <c r="E280" s="143"/>
      <c r="F280" s="143"/>
      <c r="G280" s="143"/>
      <c r="H280" s="143">
        <f>H281</f>
        <v>360</v>
      </c>
      <c r="I280" s="137"/>
      <c r="J280" s="137"/>
      <c r="L280" s="137"/>
    </row>
    <row r="281" spans="1:12" s="157" customFormat="1" ht="19.5" customHeight="1">
      <c r="A281" s="202"/>
      <c r="B281" s="167"/>
      <c r="C281" s="82">
        <v>3110</v>
      </c>
      <c r="D281" s="83" t="s">
        <v>375</v>
      </c>
      <c r="E281" s="144"/>
      <c r="F281" s="144"/>
      <c r="G281" s="144"/>
      <c r="H281" s="144">
        <v>360</v>
      </c>
      <c r="I281" s="156"/>
      <c r="J281" s="156"/>
      <c r="L281" s="156"/>
    </row>
    <row r="282" spans="1:9" ht="22.5" customHeight="1">
      <c r="A282" s="93"/>
      <c r="B282" s="66"/>
      <c r="C282" s="99"/>
      <c r="D282" s="97" t="s">
        <v>7</v>
      </c>
      <c r="E282" s="97"/>
      <c r="F282" s="100"/>
      <c r="G282" s="100"/>
      <c r="H282" s="100">
        <f>H283+H291</f>
        <v>370274</v>
      </c>
      <c r="I282" s="52"/>
    </row>
    <row r="283" spans="1:9" s="192" customFormat="1" ht="21.75" customHeight="1" thickBot="1">
      <c r="A283" s="313"/>
      <c r="B283" s="313"/>
      <c r="C283" s="452"/>
      <c r="D283" s="161" t="s">
        <v>91</v>
      </c>
      <c r="E283" s="161"/>
      <c r="F283" s="453"/>
      <c r="G283" s="454"/>
      <c r="H283" s="454">
        <f>H284</f>
        <v>364083</v>
      </c>
      <c r="I283" s="193"/>
    </row>
    <row r="284" spans="1:12" s="22" customFormat="1" ht="19.5" customHeight="1" thickTop="1">
      <c r="A284" s="428">
        <v>852</v>
      </c>
      <c r="B284" s="73"/>
      <c r="C284" s="73"/>
      <c r="D284" s="92" t="s">
        <v>98</v>
      </c>
      <c r="E284" s="92"/>
      <c r="F284" s="75"/>
      <c r="G284" s="75"/>
      <c r="H284" s="75">
        <f>H285+H288</f>
        <v>364083</v>
      </c>
      <c r="I284" s="47"/>
      <c r="J284" s="47"/>
      <c r="L284" s="47"/>
    </row>
    <row r="285" spans="1:12" s="130" customFormat="1" ht="19.5" customHeight="1">
      <c r="A285" s="76"/>
      <c r="B285" s="78">
        <v>85202</v>
      </c>
      <c r="C285" s="78"/>
      <c r="D285" s="78" t="s">
        <v>270</v>
      </c>
      <c r="E285" s="78"/>
      <c r="F285" s="136"/>
      <c r="G285" s="136"/>
      <c r="H285" s="136">
        <f>H286</f>
        <v>120000</v>
      </c>
      <c r="I285" s="137"/>
      <c r="J285" s="137"/>
      <c r="L285" s="137"/>
    </row>
    <row r="286" spans="1:12" s="130" customFormat="1" ht="25.5">
      <c r="A286" s="181"/>
      <c r="B286" s="66"/>
      <c r="C286" s="66"/>
      <c r="D286" s="536" t="s">
        <v>1</v>
      </c>
      <c r="E286" s="143"/>
      <c r="F286" s="143"/>
      <c r="G286" s="143"/>
      <c r="H286" s="143">
        <f>H287</f>
        <v>120000</v>
      </c>
      <c r="I286" s="137"/>
      <c r="J286" s="137"/>
      <c r="L286" s="137"/>
    </row>
    <row r="287" spans="1:12" s="22" customFormat="1" ht="27" customHeight="1">
      <c r="A287" s="181"/>
      <c r="B287" s="69"/>
      <c r="C287" s="82">
        <v>4330</v>
      </c>
      <c r="D287" s="529" t="s">
        <v>24</v>
      </c>
      <c r="E287" s="144"/>
      <c r="F287" s="144"/>
      <c r="G287" s="144"/>
      <c r="H287" s="144">
        <v>120000</v>
      </c>
      <c r="I287" s="47"/>
      <c r="J287" s="47"/>
      <c r="L287" s="47"/>
    </row>
    <row r="288" spans="1:12" s="130" customFormat="1" ht="20.25" customHeight="1">
      <c r="A288" s="76"/>
      <c r="B288" s="78">
        <v>85295</v>
      </c>
      <c r="C288" s="78"/>
      <c r="D288" s="78" t="s">
        <v>96</v>
      </c>
      <c r="E288" s="78"/>
      <c r="F288" s="563"/>
      <c r="G288" s="563"/>
      <c r="H288" s="563">
        <f>H289</f>
        <v>244083</v>
      </c>
      <c r="I288" s="137"/>
      <c r="J288" s="137"/>
      <c r="L288" s="137"/>
    </row>
    <row r="289" spans="1:12" s="130" customFormat="1" ht="18" customHeight="1">
      <c r="A289" s="80"/>
      <c r="B289" s="213"/>
      <c r="C289" s="81"/>
      <c r="D289" s="536" t="s">
        <v>428</v>
      </c>
      <c r="E289" s="143"/>
      <c r="F289" s="143"/>
      <c r="G289" s="143"/>
      <c r="H289" s="143">
        <f>H290</f>
        <v>244083</v>
      </c>
      <c r="I289" s="137"/>
      <c r="J289" s="137"/>
      <c r="L289" s="137"/>
    </row>
    <row r="290" spans="1:12" s="157" customFormat="1" ht="20.25" customHeight="1">
      <c r="A290" s="202"/>
      <c r="B290" s="167"/>
      <c r="C290" s="82">
        <v>3110</v>
      </c>
      <c r="D290" s="83" t="s">
        <v>375</v>
      </c>
      <c r="E290" s="144"/>
      <c r="F290" s="144"/>
      <c r="G290" s="144"/>
      <c r="H290" s="144">
        <v>244083</v>
      </c>
      <c r="I290" s="156"/>
      <c r="J290" s="156"/>
      <c r="L290" s="156"/>
    </row>
    <row r="291" spans="1:12" s="157" customFormat="1" ht="29.25" customHeight="1" thickBot="1">
      <c r="A291" s="313"/>
      <c r="B291" s="313"/>
      <c r="C291" s="313"/>
      <c r="D291" s="161" t="s">
        <v>128</v>
      </c>
      <c r="E291" s="870"/>
      <c r="F291" s="870"/>
      <c r="G291" s="870"/>
      <c r="H291" s="870">
        <f>H292</f>
        <v>6191</v>
      </c>
      <c r="I291" s="156"/>
      <c r="J291" s="156"/>
      <c r="L291" s="156"/>
    </row>
    <row r="292" spans="1:12" s="157" customFormat="1" ht="19.5" customHeight="1" thickTop="1">
      <c r="A292" s="72">
        <v>853</v>
      </c>
      <c r="B292" s="89"/>
      <c r="C292" s="89"/>
      <c r="D292" s="629" t="s">
        <v>141</v>
      </c>
      <c r="E292" s="307"/>
      <c r="F292" s="307"/>
      <c r="G292" s="307"/>
      <c r="H292" s="307">
        <f>H293</f>
        <v>6191</v>
      </c>
      <c r="I292" s="156"/>
      <c r="J292" s="156"/>
      <c r="L292" s="156"/>
    </row>
    <row r="293" spans="1:12" s="157" customFormat="1" ht="19.5" customHeight="1">
      <c r="A293" s="140"/>
      <c r="B293" s="78">
        <v>85334</v>
      </c>
      <c r="C293" s="78"/>
      <c r="D293" s="316" t="s">
        <v>372</v>
      </c>
      <c r="E293" s="308"/>
      <c r="F293" s="308"/>
      <c r="G293" s="308"/>
      <c r="H293" s="308">
        <f>H294</f>
        <v>6191</v>
      </c>
      <c r="I293" s="156"/>
      <c r="J293" s="156"/>
      <c r="L293" s="156"/>
    </row>
    <row r="294" spans="1:12" s="157" customFormat="1" ht="19.5" customHeight="1">
      <c r="A294" s="167"/>
      <c r="B294" s="167"/>
      <c r="C294" s="791"/>
      <c r="D294" s="792" t="s">
        <v>373</v>
      </c>
      <c r="E294" s="520"/>
      <c r="F294" s="520"/>
      <c r="G294" s="520"/>
      <c r="H294" s="520">
        <f>H295</f>
        <v>6191</v>
      </c>
      <c r="I294" s="156"/>
      <c r="J294" s="156"/>
      <c r="L294" s="156"/>
    </row>
    <row r="295" spans="1:12" s="157" customFormat="1" ht="19.5" customHeight="1">
      <c r="A295" s="310"/>
      <c r="B295" s="310"/>
      <c r="C295" s="82">
        <v>3110</v>
      </c>
      <c r="D295" s="580" t="s">
        <v>375</v>
      </c>
      <c r="E295" s="414"/>
      <c r="F295" s="414"/>
      <c r="G295" s="414"/>
      <c r="H295" s="414">
        <v>6191</v>
      </c>
      <c r="I295" s="156"/>
      <c r="J295" s="156"/>
      <c r="L295" s="156"/>
    </row>
    <row r="296" spans="1:12" s="157" customFormat="1" ht="31.5" customHeight="1">
      <c r="A296" s="202"/>
      <c r="B296" s="81"/>
      <c r="C296" s="81"/>
      <c r="D296" s="1079" t="s">
        <v>12</v>
      </c>
      <c r="E296" s="102"/>
      <c r="F296" s="103"/>
      <c r="G296" s="104">
        <f aca="true" t="shared" si="2" ref="G296:H298">G297</f>
        <v>5287</v>
      </c>
      <c r="H296" s="104">
        <f t="shared" si="2"/>
        <v>57017</v>
      </c>
      <c r="I296" s="156"/>
      <c r="J296" s="156"/>
      <c r="L296" s="156"/>
    </row>
    <row r="297" spans="1:12" s="157" customFormat="1" ht="26.25" customHeight="1" thickBot="1">
      <c r="A297" s="313"/>
      <c r="B297" s="313"/>
      <c r="C297" s="313"/>
      <c r="D297" s="161" t="s">
        <v>128</v>
      </c>
      <c r="E297" s="870"/>
      <c r="F297" s="870"/>
      <c r="G297" s="870">
        <f t="shared" si="2"/>
        <v>5287</v>
      </c>
      <c r="H297" s="870">
        <f t="shared" si="2"/>
        <v>57017</v>
      </c>
      <c r="I297" s="156"/>
      <c r="J297" s="156"/>
      <c r="L297" s="156"/>
    </row>
    <row r="298" spans="1:12" s="157" customFormat="1" ht="19.5" customHeight="1" thickTop="1">
      <c r="A298" s="72">
        <v>710</v>
      </c>
      <c r="B298" s="89"/>
      <c r="C298" s="89"/>
      <c r="D298" s="629" t="s">
        <v>312</v>
      </c>
      <c r="E298" s="307"/>
      <c r="F298" s="307"/>
      <c r="G298" s="307">
        <f t="shared" si="2"/>
        <v>5287</v>
      </c>
      <c r="H298" s="307">
        <f t="shared" si="2"/>
        <v>57017</v>
      </c>
      <c r="I298" s="156"/>
      <c r="J298" s="156"/>
      <c r="L298" s="156"/>
    </row>
    <row r="299" spans="1:12" s="157" customFormat="1" ht="19.5" customHeight="1">
      <c r="A299" s="140"/>
      <c r="B299" s="78">
        <v>71015</v>
      </c>
      <c r="C299" s="78"/>
      <c r="D299" s="316" t="s">
        <v>446</v>
      </c>
      <c r="E299" s="308"/>
      <c r="F299" s="308"/>
      <c r="G299" s="308">
        <f>G300+G303</f>
        <v>5287</v>
      </c>
      <c r="H299" s="308">
        <f>H300+H303</f>
        <v>57017</v>
      </c>
      <c r="I299" s="156"/>
      <c r="J299" s="156"/>
      <c r="L299" s="156"/>
    </row>
    <row r="300" spans="1:12" s="157" customFormat="1" ht="19.5" customHeight="1">
      <c r="A300" s="167"/>
      <c r="B300" s="167"/>
      <c r="C300" s="791"/>
      <c r="D300" s="792" t="s">
        <v>200</v>
      </c>
      <c r="E300" s="520"/>
      <c r="F300" s="520"/>
      <c r="G300" s="520">
        <f>SUM(G301:G302)</f>
        <v>5287</v>
      </c>
      <c r="H300" s="520"/>
      <c r="I300" s="156"/>
      <c r="J300" s="156"/>
      <c r="L300" s="156"/>
    </row>
    <row r="301" spans="1:12" s="157" customFormat="1" ht="19.5" customHeight="1">
      <c r="A301" s="152"/>
      <c r="B301" s="152"/>
      <c r="C301" s="82">
        <v>4020</v>
      </c>
      <c r="D301" s="580" t="s">
        <v>447</v>
      </c>
      <c r="E301" s="414"/>
      <c r="F301" s="414"/>
      <c r="G301" s="414">
        <v>3000</v>
      </c>
      <c r="H301" s="414"/>
      <c r="I301" s="156"/>
      <c r="J301" s="156"/>
      <c r="L301" s="156"/>
    </row>
    <row r="302" spans="1:12" s="157" customFormat="1" ht="19.5" customHeight="1">
      <c r="A302" s="152"/>
      <c r="B302" s="152"/>
      <c r="C302" s="480">
        <v>4040</v>
      </c>
      <c r="D302" s="695" t="s">
        <v>147</v>
      </c>
      <c r="E302" s="875"/>
      <c r="F302" s="875"/>
      <c r="G302" s="875">
        <v>2287</v>
      </c>
      <c r="H302" s="875"/>
      <c r="I302" s="156"/>
      <c r="J302" s="156"/>
      <c r="L302" s="156"/>
    </row>
    <row r="303" spans="1:12" s="157" customFormat="1" ht="19.5" customHeight="1">
      <c r="A303" s="93"/>
      <c r="B303" s="579"/>
      <c r="C303" s="579"/>
      <c r="D303" s="644" t="s">
        <v>117</v>
      </c>
      <c r="E303" s="520"/>
      <c r="F303" s="520"/>
      <c r="G303" s="520"/>
      <c r="H303" s="429">
        <f>SUM(H304:H310)</f>
        <v>57017</v>
      </c>
      <c r="I303" s="156"/>
      <c r="J303" s="156"/>
      <c r="L303" s="156"/>
    </row>
    <row r="304" spans="1:12" s="157" customFormat="1" ht="19.5" customHeight="1">
      <c r="A304" s="93"/>
      <c r="B304" s="81"/>
      <c r="C304" s="313">
        <v>3020</v>
      </c>
      <c r="D304" s="312" t="s">
        <v>292</v>
      </c>
      <c r="E304" s="414"/>
      <c r="F304" s="414"/>
      <c r="G304" s="414"/>
      <c r="H304" s="84">
        <v>6000</v>
      </c>
      <c r="I304" s="156"/>
      <c r="J304" s="156"/>
      <c r="L304" s="156"/>
    </row>
    <row r="305" spans="1:12" s="157" customFormat="1" ht="19.5" customHeight="1">
      <c r="A305" s="152"/>
      <c r="B305" s="81"/>
      <c r="C305" s="313">
        <v>4210</v>
      </c>
      <c r="D305" s="312" t="s">
        <v>113</v>
      </c>
      <c r="E305" s="992"/>
      <c r="F305" s="992"/>
      <c r="G305" s="992"/>
      <c r="H305" s="84">
        <f>19730+1500</f>
        <v>21230</v>
      </c>
      <c r="I305" s="156"/>
      <c r="J305" s="156"/>
      <c r="L305" s="156"/>
    </row>
    <row r="306" spans="1:12" s="157" customFormat="1" ht="19.5" customHeight="1">
      <c r="A306" s="152"/>
      <c r="B306" s="81"/>
      <c r="C306" s="313">
        <v>4260</v>
      </c>
      <c r="D306" s="312" t="s">
        <v>174</v>
      </c>
      <c r="E306" s="456"/>
      <c r="F306" s="84"/>
      <c r="G306" s="84"/>
      <c r="H306" s="84">
        <v>4500</v>
      </c>
      <c r="I306" s="156"/>
      <c r="J306" s="156"/>
      <c r="L306" s="156"/>
    </row>
    <row r="307" spans="1:12" s="157" customFormat="1" ht="19.5" customHeight="1">
      <c r="A307" s="427"/>
      <c r="B307" s="81"/>
      <c r="C307" s="313">
        <v>4300</v>
      </c>
      <c r="D307" s="312" t="s">
        <v>114</v>
      </c>
      <c r="E307" s="852"/>
      <c r="F307" s="84"/>
      <c r="G307" s="84"/>
      <c r="H307" s="84">
        <f>20000+3000</f>
        <v>23000</v>
      </c>
      <c r="I307" s="156"/>
      <c r="J307" s="156"/>
      <c r="L307" s="156"/>
    </row>
    <row r="308" spans="1:12" s="157" customFormat="1" ht="19.5" customHeight="1">
      <c r="A308" s="427"/>
      <c r="B308" s="183"/>
      <c r="C308" s="82">
        <v>4410</v>
      </c>
      <c r="D308" s="83" t="s">
        <v>179</v>
      </c>
      <c r="E308" s="456"/>
      <c r="F308" s="554"/>
      <c r="G308" s="554"/>
      <c r="H308" s="554">
        <v>787</v>
      </c>
      <c r="I308" s="156"/>
      <c r="J308" s="156"/>
      <c r="L308" s="156"/>
    </row>
    <row r="309" spans="1:12" s="157" customFormat="1" ht="19.5" customHeight="1">
      <c r="A309" s="427"/>
      <c r="B309" s="183"/>
      <c r="C309" s="82">
        <v>4430</v>
      </c>
      <c r="D309" s="83" t="s">
        <v>176</v>
      </c>
      <c r="E309" s="993"/>
      <c r="F309" s="972"/>
      <c r="G309" s="972"/>
      <c r="H309" s="554">
        <v>800</v>
      </c>
      <c r="I309" s="156"/>
      <c r="J309" s="156"/>
      <c r="L309" s="156"/>
    </row>
    <row r="310" spans="1:12" s="157" customFormat="1" ht="19.5" customHeight="1">
      <c r="A310" s="427"/>
      <c r="B310" s="183"/>
      <c r="C310" s="82">
        <v>4440</v>
      </c>
      <c r="D310" s="83" t="s">
        <v>404</v>
      </c>
      <c r="E310" s="993"/>
      <c r="F310" s="972"/>
      <c r="G310" s="972"/>
      <c r="H310" s="554">
        <v>700</v>
      </c>
      <c r="I310" s="156"/>
      <c r="J310" s="156"/>
      <c r="L310" s="156"/>
    </row>
    <row r="311" spans="1:9" ht="18" customHeight="1">
      <c r="A311" s="68"/>
      <c r="B311" s="67"/>
      <c r="C311" s="68"/>
      <c r="D311" s="102" t="s">
        <v>13</v>
      </c>
      <c r="E311" s="102"/>
      <c r="F311" s="103"/>
      <c r="G311" s="104"/>
      <c r="H311" s="104">
        <f>H312</f>
        <v>1201223</v>
      </c>
      <c r="I311" s="52"/>
    </row>
    <row r="312" spans="1:8" ht="19.5" customHeight="1" thickBot="1">
      <c r="A312" s="68"/>
      <c r="B312" s="67"/>
      <c r="C312" s="105"/>
      <c r="D312" s="91" t="s">
        <v>91</v>
      </c>
      <c r="E312" s="91"/>
      <c r="F312" s="106"/>
      <c r="G312" s="106"/>
      <c r="H312" s="106">
        <f>H313+H314+H315</f>
        <v>1201223</v>
      </c>
    </row>
    <row r="313" spans="1:8" ht="19.5" customHeight="1" thickTop="1">
      <c r="A313" s="72">
        <v>801</v>
      </c>
      <c r="B313" s="89"/>
      <c r="C313" s="73"/>
      <c r="D313" s="92" t="s">
        <v>97</v>
      </c>
      <c r="E313" s="92"/>
      <c r="F313" s="87"/>
      <c r="G313" s="87"/>
      <c r="H313" s="87">
        <v>1102159</v>
      </c>
    </row>
    <row r="314" spans="1:8" ht="19.5" customHeight="1">
      <c r="A314" s="72">
        <v>851</v>
      </c>
      <c r="B314" s="89"/>
      <c r="C314" s="73"/>
      <c r="D314" s="92" t="s">
        <v>100</v>
      </c>
      <c r="E314" s="92"/>
      <c r="F314" s="87"/>
      <c r="G314" s="87"/>
      <c r="H314" s="87">
        <v>15750</v>
      </c>
    </row>
    <row r="315" spans="1:8" ht="19.5" customHeight="1">
      <c r="A315" s="72">
        <v>854</v>
      </c>
      <c r="B315" s="89"/>
      <c r="C315" s="73"/>
      <c r="D315" s="781" t="s">
        <v>99</v>
      </c>
      <c r="E315" s="781"/>
      <c r="F315" s="389"/>
      <c r="G315" s="389"/>
      <c r="H315" s="389">
        <v>83314</v>
      </c>
    </row>
    <row r="316" ht="12.75">
      <c r="A316" s="49"/>
    </row>
    <row r="317" ht="12.75">
      <c r="A317" s="49"/>
    </row>
    <row r="318" ht="12.75">
      <c r="A318" s="49"/>
    </row>
    <row r="319" ht="12.75">
      <c r="A319" s="49"/>
    </row>
    <row r="320" ht="12.75">
      <c r="A320" s="49"/>
    </row>
    <row r="321" ht="12.75">
      <c r="A321" s="49"/>
    </row>
    <row r="322" ht="12.75">
      <c r="A322" s="49"/>
    </row>
    <row r="323" ht="12.75">
      <c r="A323" s="49"/>
    </row>
    <row r="324" ht="12.75">
      <c r="A324" s="49"/>
    </row>
    <row r="325" ht="12.75">
      <c r="A325" s="49"/>
    </row>
    <row r="326" ht="12.75">
      <c r="A326" s="49"/>
    </row>
    <row r="327" ht="12.75">
      <c r="A327" s="49"/>
    </row>
    <row r="328" ht="12.75">
      <c r="A328" s="49"/>
    </row>
    <row r="329" ht="12.75">
      <c r="A329" s="49"/>
    </row>
    <row r="330" ht="12.75">
      <c r="A330" s="49"/>
    </row>
    <row r="331" ht="12.75">
      <c r="A331" s="49"/>
    </row>
    <row r="332" ht="12.75">
      <c r="A332" s="49"/>
    </row>
    <row r="333" ht="12.75">
      <c r="A333" s="49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409" ht="12.75">
      <c r="A409" s="49"/>
    </row>
    <row r="410" ht="12.75">
      <c r="A410" s="49"/>
    </row>
    <row r="411" ht="12.75">
      <c r="A411" s="49"/>
    </row>
    <row r="412" ht="12.75">
      <c r="A412" s="49"/>
    </row>
    <row r="413" ht="12.75">
      <c r="A413" s="49"/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5905511811023623" right="0.5905511811023623" top="0.5905511811023623" bottom="0.4724409448818898" header="0.5118110236220472" footer="0.31496062992125984"/>
  <pageSetup firstPageNumber="30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2006-09-11T14:19:27Z</cp:lastPrinted>
  <dcterms:created xsi:type="dcterms:W3CDTF">1997-02-26T13:46:56Z</dcterms:created>
  <dcterms:modified xsi:type="dcterms:W3CDTF">2006-09-12T10:05:40Z</dcterms:modified>
  <cp:category/>
  <cp:version/>
  <cp:contentType/>
  <cp:contentStatus/>
</cp:coreProperties>
</file>