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Wyd RM" sheetId="1" r:id="rId1"/>
    <sheet name="inwest" sheetId="2" r:id="rId2"/>
    <sheet name="UE" sheetId="3" r:id="rId3"/>
    <sheet name="UE (2)" sheetId="4" r:id="rId4"/>
    <sheet name="remonty" sheetId="5" r:id="rId5"/>
    <sheet name="Wyd Pr" sheetId="6" r:id="rId6"/>
    <sheet name="jednostki" sheetId="7" r:id="rId7"/>
    <sheet name="szkoly" sheetId="8" r:id="rId8"/>
    <sheet name="Wyd-harm" sheetId="9" r:id="rId9"/>
    <sheet name="zlecone " sheetId="10" r:id="rId10"/>
  </sheets>
  <definedNames>
    <definedName name="_xlnm.Print_Titles" localSheetId="1">'inwest'!$8:$8</definedName>
    <definedName name="_xlnm.Print_Titles" localSheetId="6">'jednostki'!$9:$9</definedName>
    <definedName name="_xlnm.Print_Titles" localSheetId="4">'remonty'!$9:$9</definedName>
    <definedName name="_xlnm.Print_Titles" localSheetId="7">'szkoly'!$3:$11</definedName>
    <definedName name="_xlnm.Print_Titles" localSheetId="5">'Wyd Pr'!$7:$7</definedName>
    <definedName name="_xlnm.Print_Titles" localSheetId="0">'Wyd RM'!$7:$7</definedName>
    <definedName name="_xlnm.Print_Titles" localSheetId="8">'Wyd-harm'!$7:$9</definedName>
    <definedName name="_xlnm.Print_Titles" localSheetId="9">'zlecone '!$8:$8</definedName>
  </definedNames>
  <calcPr fullCalcOnLoad="1"/>
</workbook>
</file>

<file path=xl/sharedStrings.xml><?xml version="1.0" encoding="utf-8"?>
<sst xmlns="http://schemas.openxmlformats.org/spreadsheetml/2006/main" count="1170" uniqueCount="492">
  <si>
    <t>Przedszkole Sióstr Urszulanek Serca Jezusa Konającego; Zgromadzenie Sióstr Urszulanek SJK DOM ZAKONNY, ul. Sudecka 49-53, 20-867 Lublin</t>
  </si>
  <si>
    <t xml:space="preserve">Przedszkole Zgromadzenia Sióstr Kanoniczek Ducha Świętego im. bł. Ojca Gwidona; Zgromadzenie Sióstr Kanoniczek Ducha Świętego de Saxia, ul. Szpitalna 10, 31-024 Kraków                                                          </t>
  </si>
  <si>
    <t>Dotacja podmiotowa z budżetu dla niepublicznej jednostki systemu oświaty</t>
  </si>
  <si>
    <t>Katolickie Przedszkole im. św. Franciszka z Asyżu; Zgromadzenie Siósr Służek NMP Niepokalanej, ul. Mickiewicza 7, 27-600 Sandomierz</t>
  </si>
  <si>
    <t>Przedszkole Publiczne "Jadwisia"; Parafia Rzymsko-Katolicka pw. Trójcy Przenajświętszej, ul. Władysława Jagiełły 7, 20-281 Lublin</t>
  </si>
  <si>
    <t xml:space="preserve">Dotacje podmiotowe z budżetu dla publicznej jednostki systemu oświaty prowadzonej przez osobę prawną inną niż jednostka samorządu terytorialnego oraz przez osobę fizyczną </t>
  </si>
  <si>
    <t>Różne opłaty i składki</t>
  </si>
  <si>
    <t>remonty obiektów</t>
  </si>
  <si>
    <t>Zakup usług remontowych - remonty obiektów</t>
  </si>
  <si>
    <t>Zespół Szkół Ogólnokształcących nr 1 (SP 45)</t>
  </si>
  <si>
    <t>Przedszkole nr 14</t>
  </si>
  <si>
    <t>Przedszkole nr 28</t>
  </si>
  <si>
    <t>Przedszkole nr 35</t>
  </si>
  <si>
    <t>Przedszkole nr 47</t>
  </si>
  <si>
    <t>Przedszkole nr 53</t>
  </si>
  <si>
    <t>Przedszkole nr 54</t>
  </si>
  <si>
    <t>Przedszkole nr 56</t>
  </si>
  <si>
    <t>Przedszkole nr 58</t>
  </si>
  <si>
    <t>Przedszkole nr 65</t>
  </si>
  <si>
    <t>Przedszkole nr 70</t>
  </si>
  <si>
    <t>rozdz. 85403 - Specjalne ośrodki szkolno-wychowawcze</t>
  </si>
  <si>
    <t>Specjalny Ośrodek Szkolno - Wychowawczy dla Dzieci i Młodzieży Słabo Widzącej</t>
  </si>
  <si>
    <t>Specjalny Ośrodek Szkolno - Wychowawczy nr 2</t>
  </si>
  <si>
    <t>rozdz. 85410 - Internaty i bursy szkolne</t>
  </si>
  <si>
    <t>Bursa Szkolna nr 2</t>
  </si>
  <si>
    <t>rozdz. 80105 - Przedszkola specjalne</t>
  </si>
  <si>
    <t>Przedszkole Specjalne nr 11</t>
  </si>
  <si>
    <t>remont przedszkola</t>
  </si>
  <si>
    <t>rozdz. 80130 - Szkoły zawodowe</t>
  </si>
  <si>
    <t>Lubelskie Towarzystwo Dobroczynności; ul. Bronowicka 3, 20-301 Lublin, Środowiskowy Dom Samopomocy "Roztocze"</t>
  </si>
  <si>
    <t>Kolonie i obozy oraz inne formy wypoczynku dzieci i młodzieży szkolnej, a także szkolenia młodzieży</t>
  </si>
  <si>
    <t>organizacja obozów szkoleniowych i imprez sportowo-rekreacyjnych w okresie ferii zimowych i wakacji letnich, z tego:</t>
  </si>
  <si>
    <t>organizacja obozów szkoleniowych w okresie wakacji letnich</t>
  </si>
  <si>
    <t>Uczniowskie Towarzystwo Sportowe "Orlik"; ul. Rzeckiego 10, 20-637 Lublin</t>
  </si>
  <si>
    <t>upowszechnianie kultury fizycznej</t>
  </si>
  <si>
    <t>Budowlany Klub Sportowy; ul. Inżynierska 10, 20-484 Lublin</t>
  </si>
  <si>
    <t>Klub Piłkarski "Wieniawa Lublin"; al. Piłsudskiego 22, 20-011 Lublin</t>
  </si>
  <si>
    <t>Klub Sportowy "Budowlani"; ul. Krasińskiego 11, 20-709 Lublin</t>
  </si>
  <si>
    <t>Klub Sportowy Lubelska Szkółka Piłkarska "LEGION LUBLIN"; 
Al. Zygmuntowskie 5/9, 20-101 Lublin</t>
  </si>
  <si>
    <t>Kolejowy Klub Sportowy "Sygnał"; ul. Zemborzycka 3, 20-450 Lublin</t>
  </si>
  <si>
    <t>Klub Uczelniany AZS UMCS; ul. Langiewicza 22, 20-032 Lublin</t>
  </si>
  <si>
    <t>Akademicki Związek Sportowy Klub Środowiskowy; ul. Langiewicza 22, 20-032 Lublin</t>
  </si>
  <si>
    <t>Lubelski Klub Karate Tradycyjnego; ul. Skłodowskiej 5, 20-029 Lublin</t>
  </si>
  <si>
    <t>Lubelski Klub Piłkarski "Motor"; Al. Zygmuntowskie 5, 20-101 Lublin</t>
  </si>
  <si>
    <t>Lubelski Klub Sportowy Taekwon-do; ul. Nowowiejskiego 1/1, 20-880 Lublin</t>
  </si>
  <si>
    <t>Lubelski Związek Szachowy; al. Piłsudskiego 22, 20-011 Lublin</t>
  </si>
  <si>
    <t>Lubelskie Towarzystwo Kajakowe "Fala"; ul. Krężnicka 6, 20-518 Lublin</t>
  </si>
  <si>
    <t>Miejski Klub Sportowy "Start"; al. Piłsudskiego 22, 20-011 Lublin</t>
  </si>
  <si>
    <t>Młodzieżowy Klub Piłkarski "Koziołek"; ul. Puchacza 15/15, 20-323 Lublin</t>
  </si>
  <si>
    <t>Stowarzyszenie Młodzieżowe Klub Spotrowy "Viking Lublinianka"; 
ul. Leszczyńskiego 19, 20-068 Lublin</t>
  </si>
  <si>
    <t>Towarzystwo Żużlowe SIPMA Lublin; Al. Zygmuntowkie 5, 20-101 Lublin</t>
  </si>
  <si>
    <t>Uczniowski Klub Sportowy "Dwójka"; ul. Lwowska 11, 20-128 Lublin</t>
  </si>
  <si>
    <t>Uczniowski Klub Sportowy "Skarpa"; ul. Radości 13, 20-533 Lublin</t>
  </si>
  <si>
    <t>Uczniowski Klub Sportowy "WIDOK" Sp nr 51; ul. Bursztynowa 22, 20-576 Lublin</t>
  </si>
  <si>
    <t>wspieranie sportu kwalifikowanego</t>
  </si>
  <si>
    <t>Klub Sportowy "Paco"; ul. Zana 72, 20-601 Lublin</t>
  </si>
  <si>
    <t>Sportowy Klub Kick-Boxing PL; ul. Nadbystrzycka 44a, 20-501 Lublin</t>
  </si>
  <si>
    <t>Stowarzyszenie Piłki Ręcznej; ul. Mełgiewska 2, 20-209 Lublin</t>
  </si>
  <si>
    <t>Turystyka</t>
  </si>
  <si>
    <t>Zadania w zakresie upowszechniania turystyki</t>
  </si>
  <si>
    <t>rozdz. 85421 - Młodzieżowe ośrodki socjoterapii</t>
  </si>
  <si>
    <t>Młodzieżowy Ośrodek Socjoterapii</t>
  </si>
  <si>
    <t>Gimnazjum nr 24</t>
  </si>
  <si>
    <t>Zespół Szkół Elektronicznych (X LO)</t>
  </si>
  <si>
    <t>rozdz. 80123 - Licea profilowane</t>
  </si>
  <si>
    <t>Rady miast i miast na prawach powiatu</t>
  </si>
  <si>
    <t>Drogi wewnetrzne</t>
  </si>
  <si>
    <t>Cmentarze</t>
  </si>
  <si>
    <t>Gospodarka nieruchomościami</t>
  </si>
  <si>
    <t xml:space="preserve">Wydatki na zadania realizowane na podstawie porozumień 
i umów </t>
  </si>
  <si>
    <t>Wynagrodzenia osobowe pracowników</t>
  </si>
  <si>
    <t>Harmonogram realizacji wydatków budżetu miasta w 2006 roku</t>
  </si>
  <si>
    <t>Prezydenta Miasta Lublin</t>
  </si>
  <si>
    <t>w złotych</t>
  </si>
  <si>
    <t>Treść</t>
  </si>
  <si>
    <t>Plan</t>
  </si>
  <si>
    <t>Miesiące</t>
  </si>
  <si>
    <t>Dział</t>
  </si>
  <si>
    <t>Rozdz.</t>
  </si>
  <si>
    <t>(nazwa działu, rozdziału)</t>
  </si>
  <si>
    <t>na 2006 rok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</si>
  <si>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</si>
  <si>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</si>
  <si>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</si>
  <si>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</si>
  <si>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</si>
  <si>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</si>
  <si>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</si>
  <si>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</si>
  <si>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</si>
  <si>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</si>
  <si>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</si>
  <si>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</si>
  <si>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 ogółem</t>
  </si>
  <si>
    <t>z tego:</t>
  </si>
  <si>
    <t>1. Urząd Miasta</t>
  </si>
  <si>
    <t>Wydatki na zadania własne</t>
  </si>
  <si>
    <t>Bezpieczeństwo publiczne i ochrona przeciwpożarowa</t>
  </si>
  <si>
    <t>Różne rozliczenia</t>
  </si>
  <si>
    <t>Rezerwy ogólne i celowe</t>
  </si>
  <si>
    <t>Transport i łączność</t>
  </si>
  <si>
    <t>Lokalny transport zbiorowy</t>
  </si>
  <si>
    <t>Pozostała działalność</t>
  </si>
  <si>
    <t>Oświata i wychowanie</t>
  </si>
  <si>
    <t>Pomoc społeczna</t>
  </si>
  <si>
    <t>Edukacyjna opieka wychowawcza</t>
  </si>
  <si>
    <t>Ochrona zdrowia</t>
  </si>
  <si>
    <t>Administracja publiczna</t>
  </si>
  <si>
    <t xml:space="preserve">Podział planowanych dochodów i wydatków budżetu miasta </t>
  </si>
  <si>
    <t>na 2006 rok według jednostek organizacyjnych realizujących budżet</t>
  </si>
  <si>
    <t xml:space="preserve">Rozdz.      </t>
  </si>
  <si>
    <t>§</t>
  </si>
  <si>
    <t xml:space="preserve">Treść   </t>
  </si>
  <si>
    <t>Wydatki</t>
  </si>
  <si>
    <t>Zmniejszenia</t>
  </si>
  <si>
    <t>Zwiększenia</t>
  </si>
  <si>
    <t>Ogółem</t>
  </si>
  <si>
    <t xml:space="preserve">Wydatki na zadania własne </t>
  </si>
  <si>
    <t>Zakup materiałów i wyposażenia</t>
  </si>
  <si>
    <t>Zakup usług pozostałych</t>
  </si>
  <si>
    <t>Urzędy miast i miast na prawach powiatu</t>
  </si>
  <si>
    <t>wydatki rzeczowe</t>
  </si>
  <si>
    <t>Wydatki budżetu miasta na 2006 rok</t>
  </si>
  <si>
    <t>Dz.</t>
  </si>
  <si>
    <t>Wydatki                                                                                                                               (nazwa działu, rozdziału, zadania, paragrafu)</t>
  </si>
  <si>
    <t xml:space="preserve">Plan według uchwały    
nr 849/XXXVI/2005                              
Rady Miasta Lublin
z 29.12.2005 r. 
z późn. zm.                      </t>
  </si>
  <si>
    <t>Plan po zmianach</t>
  </si>
  <si>
    <t>Przeciwdziałanie alkoholizmowi</t>
  </si>
  <si>
    <t>Wynagrodzenia bezosobowe</t>
  </si>
  <si>
    <t>Wydatki na zadania realizowane na podstawie porozumień i umów</t>
  </si>
  <si>
    <t>Wydatki na zadania zlecone, z tego:</t>
  </si>
  <si>
    <t>Wydatki na zadania ustawowo zlecone gminie</t>
  </si>
  <si>
    <t>Wydatki na zadania z zakresu administracji rządowej wykonywane przez powiat</t>
  </si>
  <si>
    <t>Gospodarka mieszkaniowa</t>
  </si>
  <si>
    <t>Gospodarka gruntami i nieruchomościami</t>
  </si>
  <si>
    <t xml:space="preserve">Plan finansowy zadań z zakresu administracji rządowej i innych zadań zleconych ustawami </t>
  </si>
  <si>
    <t xml:space="preserve">oraz plan dochodów, które podlegają przekazaniu do budżetu państwa </t>
  </si>
  <si>
    <t>związanych z realizacją powyższych zadań na 2006 rok</t>
  </si>
  <si>
    <t>Zmiany</t>
  </si>
  <si>
    <t>Plan wydatków 
po zmianach</t>
  </si>
  <si>
    <t>Rozdz.
§</t>
  </si>
  <si>
    <t>(nazwa działu, rozdziału, źródła dochodów, zadania, paragrafu)</t>
  </si>
  <si>
    <t>Zadania zlecone ogółem</t>
  </si>
  <si>
    <t>Zadania ustawowo zlecone gminie</t>
  </si>
  <si>
    <t>Zadania z zakresu administracji rządowej wykonywane przez powiat</t>
  </si>
  <si>
    <t>Pozostałe zadania w zakresie polityki społecznej</t>
  </si>
  <si>
    <t>pochodne od wynagrodzeń</t>
  </si>
  <si>
    <t>Wydatki
według uchwały    
nr 849XXXVI/2005                              
Rady Miasta Lublin
z 29.12.2005 r.
z późn. zm.</t>
  </si>
  <si>
    <t>Szkoły zawodowe</t>
  </si>
  <si>
    <t xml:space="preserve">Przedszkola </t>
  </si>
  <si>
    <t>Zakup usług remontowych - remonty przedszkoli</t>
  </si>
  <si>
    <t>Dodatkowe wynagrodzenie roczne</t>
  </si>
  <si>
    <t>inwestycyjne</t>
  </si>
  <si>
    <t>jednostek</t>
  </si>
  <si>
    <t>budżetowych</t>
  </si>
  <si>
    <t>Wydatki na zakupy inwestycyjne jednostek budżetowych</t>
  </si>
  <si>
    <t>§ 6060</t>
  </si>
  <si>
    <t>na zakupy</t>
  </si>
  <si>
    <t>remonty przedszkoli</t>
  </si>
  <si>
    <t>Podróże służbowe zagraniczne</t>
  </si>
  <si>
    <t>zajęcia sportowo - rekreacyjne w szkołach</t>
  </si>
  <si>
    <t>Placówki oświatowe - zmiany</t>
  </si>
  <si>
    <t>Inwestycje</t>
  </si>
  <si>
    <t>Pochodne od wynagrodzeń</t>
  </si>
  <si>
    <t>Wydatki rzeczowe</t>
  </si>
  <si>
    <t>OGÓŁEM</t>
  </si>
  <si>
    <t>rozdz. 80110 - Gimnazja</t>
  </si>
  <si>
    <t>Gimnazjum nr 15</t>
  </si>
  <si>
    <t>Gimnazjum nr 17</t>
  </si>
  <si>
    <t>rozdz. 80120 - Licea ogólnokształcące</t>
  </si>
  <si>
    <t>VII Liceum Ogólnokształcące</t>
  </si>
  <si>
    <t>Szkoła Podstawowa nr 2</t>
  </si>
  <si>
    <t>Szkoła Podstawowa nr 14</t>
  </si>
  <si>
    <t>Szkoła Podstawowa nr 23</t>
  </si>
  <si>
    <t>Składki na ubezpieczenia społeczne</t>
  </si>
  <si>
    <t>Składki na Fundusz Pracy</t>
  </si>
  <si>
    <t>Zakup energii</t>
  </si>
  <si>
    <t>Programy polityki zdrowotnej</t>
  </si>
  <si>
    <t>Podróże służbowe krajowe</t>
  </si>
  <si>
    <t>zadania realizowane w ramach Gminnego Programu Profilaktyki i Rozwiązywania Problemów Alkoholowych, z tego: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</si>
  <si>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</si>
  <si>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Zakup środków żywności</t>
  </si>
  <si>
    <t>zadania realizowane w ramach Gminnego Programu Profilaktyki i Rozwiązywania Problemów Alkoholowych, w tym:</t>
  </si>
  <si>
    <t>rozdz. 85154 - Przeciwdziałanie alkoholizmowi</t>
  </si>
  <si>
    <t>środki w dyspozycji wydziału</t>
  </si>
  <si>
    <t>Szkoła Podstawowa nr 28</t>
  </si>
  <si>
    <t>Szkoła Podstawowa nr 29</t>
  </si>
  <si>
    <t>Szkoła Podstawowa nr 38</t>
  </si>
  <si>
    <t>Szkoła Podstawowa nr 39</t>
  </si>
  <si>
    <t>Szkoła Podstawowa nr 42</t>
  </si>
  <si>
    <t>Szkoła Podstawowa nr 47</t>
  </si>
  <si>
    <t>Szkoła Podstawowa nr 50</t>
  </si>
  <si>
    <t>Gimnazjum nr 5</t>
  </si>
  <si>
    <t>Gimnazjum nr 7</t>
  </si>
  <si>
    <t>Gimnazjum nr 9</t>
  </si>
  <si>
    <t>Gimnazjum nr 10</t>
  </si>
  <si>
    <t>Gimnazjum nr 12</t>
  </si>
  <si>
    <t>Gimnazjum nr 16</t>
  </si>
  <si>
    <t>Gimnazjum nr 19</t>
  </si>
  <si>
    <t>III Liceum Ogólnokształcące</t>
  </si>
  <si>
    <t>VI Liceum Ogólnokształcące</t>
  </si>
  <si>
    <t>Zespół Szkół Ogólnokształcących nr 6</t>
  </si>
  <si>
    <t>Zespół Szkół Odzieżowo-Włókienniczych</t>
  </si>
  <si>
    <t>Zespół Szkół Chemicznych i Przemysłu Spożywczego</t>
  </si>
  <si>
    <t>Dział 854 - Edukacyjna opieka wychowawcza</t>
  </si>
  <si>
    <t>Wydatki inwestycyjne jednostek budżetowych</t>
  </si>
  <si>
    <t>inwestycje</t>
  </si>
  <si>
    <t>Gospodarka komunalna i ochrona środowiska</t>
  </si>
  <si>
    <t xml:space="preserve">wynagrodzenia </t>
  </si>
  <si>
    <t>2. Komenda Straży Miejskiej</t>
  </si>
  <si>
    <t>Straż Miejska</t>
  </si>
  <si>
    <t>inwestycje, w tym:</t>
  </si>
  <si>
    <t>pomoc materialna dla uczniów w ramach Narodowego Programu Stypendialnego</t>
  </si>
  <si>
    <t>Stypendia dla uczniów</t>
  </si>
  <si>
    <t>Inne formy pomocy dla uczniów</t>
  </si>
  <si>
    <t>Wynagrodzenia</t>
  </si>
  <si>
    <t xml:space="preserve">       Nazwa</t>
  </si>
  <si>
    <t>§ 4170</t>
  </si>
  <si>
    <t>§ 4110</t>
  </si>
  <si>
    <t>§ 4120</t>
  </si>
  <si>
    <t>§ 3260</t>
  </si>
  <si>
    <t>§ 4210</t>
  </si>
  <si>
    <t>§ 4240</t>
  </si>
  <si>
    <t>§ 4260</t>
  </si>
  <si>
    <t>§ 4270</t>
  </si>
  <si>
    <t>§ 4300</t>
  </si>
  <si>
    <t xml:space="preserve">           paragrafu</t>
  </si>
  <si>
    <t>Wynagro-</t>
  </si>
  <si>
    <t>Składki na</t>
  </si>
  <si>
    <t>Składki</t>
  </si>
  <si>
    <t>Inne formy</t>
  </si>
  <si>
    <t>Zakup</t>
  </si>
  <si>
    <t>dzenia</t>
  </si>
  <si>
    <t>ubezpiecz.</t>
  </si>
  <si>
    <t xml:space="preserve">na </t>
  </si>
  <si>
    <t>pomocy</t>
  </si>
  <si>
    <t xml:space="preserve">materiałów </t>
  </si>
  <si>
    <t>energii</t>
  </si>
  <si>
    <t xml:space="preserve">usług </t>
  </si>
  <si>
    <t>usług</t>
  </si>
  <si>
    <t>bezosobowe</t>
  </si>
  <si>
    <t>społeczne</t>
  </si>
  <si>
    <t>Fundusz</t>
  </si>
  <si>
    <t>uczniów</t>
  </si>
  <si>
    <t xml:space="preserve">dla </t>
  </si>
  <si>
    <t>i</t>
  </si>
  <si>
    <t>naukowych,</t>
  </si>
  <si>
    <t>remontowych</t>
  </si>
  <si>
    <t>pozostałych</t>
  </si>
  <si>
    <t>Razem</t>
  </si>
  <si>
    <t>Pracy</t>
  </si>
  <si>
    <t>wyposażenia</t>
  </si>
  <si>
    <t>dydaktycznych</t>
  </si>
  <si>
    <t>i książek</t>
  </si>
  <si>
    <t xml:space="preserve">       szkoły</t>
  </si>
  <si>
    <t>Dział 801 - Oświata i wychowanie</t>
  </si>
  <si>
    <t>Pogotowie Opiekuńcze (SP)</t>
  </si>
  <si>
    <t xml:space="preserve">rozdz. 80104 - Przedszkola </t>
  </si>
  <si>
    <t>Zespół Szkół Elektronicznych</t>
  </si>
  <si>
    <t>Zespół Szkół Ogólnokształcących nr 1</t>
  </si>
  <si>
    <t>rozdz. 85415 - Pomoc materialna dla uczniów</t>
  </si>
  <si>
    <t>rozdz. 85495 - Pozostała działalność (stołówki szkolne)</t>
  </si>
  <si>
    <t>Dział 851 - Ochrona zdrowia</t>
  </si>
  <si>
    <t>Przedszkola</t>
  </si>
  <si>
    <t>Pomoc materialna dla uczniów</t>
  </si>
  <si>
    <t>Szkoły podstawowe</t>
  </si>
  <si>
    <t>Gimnazja</t>
  </si>
  <si>
    <t>Licea ogólnokształcące</t>
  </si>
  <si>
    <t>Placówki wychowania pozaszkolnego</t>
  </si>
  <si>
    <t>Dokształcanie i doskonalenie nauczycieli</t>
  </si>
  <si>
    <t>Zakup pomocy naukowych, dydaktycznych i książek</t>
  </si>
  <si>
    <t>Drogi publiczne w miastach na prawach powiatu</t>
  </si>
  <si>
    <t>Domy pomocy społecznej</t>
  </si>
  <si>
    <t>1.1 Wydział Finansowy</t>
  </si>
  <si>
    <t>Internaty i bursy szkolne</t>
  </si>
  <si>
    <t>Centra kształcenia ustawicznego 
i praktycznego oraz ośrodki dokształcania zawodowego</t>
  </si>
  <si>
    <t>Załącznik nr 3</t>
  </si>
  <si>
    <t>Przedszkole nr 39</t>
  </si>
  <si>
    <t>Przedszkole nr 57</t>
  </si>
  <si>
    <t>Przedszkole nr 69</t>
  </si>
  <si>
    <t>Przedszkole nr 75</t>
  </si>
  <si>
    <t>Wydatki osobowe niezaliczone do wynagrodzeń</t>
  </si>
  <si>
    <t>Planowane wydatki majątkowe na 2006 rok</t>
  </si>
  <si>
    <t>Plan według uchwały    
nr 849/XXXVI/2005                              
Rady Miasta Lublin
z 29.12.2005 r.
z późn. zm.</t>
  </si>
  <si>
    <t>z tego ze środków:</t>
  </si>
  <si>
    <t xml:space="preserve">Rozdz.                          </t>
  </si>
  <si>
    <t>Nazwa: działu, rozdziału, 
                             zadania inwestycyjnego</t>
  </si>
  <si>
    <t>własnych 
i innych zwrotnych</t>
  </si>
  <si>
    <t>Unii Europejskiej</t>
  </si>
  <si>
    <t>z budżetu państwa i innych bezzwrotnych</t>
  </si>
  <si>
    <t>inwestycji 
po zmianach</t>
  </si>
  <si>
    <t>Ogółem wydatki majątkowe</t>
  </si>
  <si>
    <t>zakupy inwestycyjne</t>
  </si>
  <si>
    <t>Wydatki na zadania zlecone</t>
  </si>
  <si>
    <t>Plan remontów na 2006 rok</t>
  </si>
  <si>
    <t xml:space="preserve">Nazwa: działu, rozdziału, zadania </t>
  </si>
  <si>
    <t>Zmniejszenie</t>
  </si>
  <si>
    <t>Ogółem remonty</t>
  </si>
  <si>
    <t>Zadania własne</t>
  </si>
  <si>
    <t xml:space="preserve">Plan według uchwały    
nr 849/XXXVI/2005                             
Rady Miasta Lublin
z 29.12.2005 r.     
z późn. zm.            </t>
  </si>
  <si>
    <t>Drogi publiczne gminne</t>
  </si>
  <si>
    <t>Działalność usługowa</t>
  </si>
  <si>
    <t>Plany zagospodarowania przestrzennego</t>
  </si>
  <si>
    <t>Gospodarka ściekowa i ochrona wód</t>
  </si>
  <si>
    <t>Gospodarka odpadami</t>
  </si>
  <si>
    <t>Oczyszczanie miast i wsi</t>
  </si>
  <si>
    <t>Kultura i ochrona dziedzictwa narodowego</t>
  </si>
  <si>
    <t>Kultura fizyczna i sport</t>
  </si>
  <si>
    <t>Centra kultury i sztuki</t>
  </si>
  <si>
    <t>Instytucje kultury fizycznej</t>
  </si>
  <si>
    <t>rezerwa celowa na finansowanie projektów współfinansowanych ze środków Unii Europejskiej</t>
  </si>
  <si>
    <t>Ośrodki pomocy społecznej</t>
  </si>
  <si>
    <t>Oddziały przedszkolne w szkołach podstawowych</t>
  </si>
  <si>
    <t>Szkoły podstawowe specjalne</t>
  </si>
  <si>
    <t>Przedszkola specjalne</t>
  </si>
  <si>
    <t>Gimnazja specjalne</t>
  </si>
  <si>
    <t>Dowożenie uczniów do szkół</t>
  </si>
  <si>
    <t>Licea ogólnokształcące specjalne</t>
  </si>
  <si>
    <t>Licea profilowane</t>
  </si>
  <si>
    <t>Licea profilowane specjalne</t>
  </si>
  <si>
    <t>Szkoły artystyczne</t>
  </si>
  <si>
    <t>Szkoły zawodowe specjalne</t>
  </si>
  <si>
    <t>Zadania w zakresie kultury fizycznej i sportu</t>
  </si>
  <si>
    <t>Świetlice szkolne</t>
  </si>
  <si>
    <t>Specjalne ośrodki szkolno-wychowawcze</t>
  </si>
  <si>
    <t>Poradnie psychologiczno - pedagogiczne, 
w tym poradnie specjalistyczne</t>
  </si>
  <si>
    <t>Szkolne schroniska młodzieżowe</t>
  </si>
  <si>
    <t>Młodzieżowe ośrodki socjoterapii</t>
  </si>
  <si>
    <t>Składki na ubezpieczenie zdrowotne oraz świadczenia dla osób nieobjętych obowiązkiem ubezpieczenia zdrowotnego</t>
  </si>
  <si>
    <t>Wydatki na zadania realizowane 
na podstawie porozumień i umów</t>
  </si>
  <si>
    <t>Placówki opiekuńczo-wychowawcze</t>
  </si>
  <si>
    <t>Załącznik nr 5</t>
  </si>
  <si>
    <t>Załącznik nr 7</t>
  </si>
  <si>
    <t>Załącznik nr 8</t>
  </si>
  <si>
    <t>Załącznik nr 9</t>
  </si>
  <si>
    <t>stołówki szkolne, w tym:</t>
  </si>
  <si>
    <t>Ochrona zabytków i opieka nad zabytkami</t>
  </si>
  <si>
    <t>Zadania zlecone</t>
  </si>
  <si>
    <t>Dochody
według uchwały    
nr 849/XXXVI/2005                              
Rady Miasta Lublin
z 29.12.2005 r.
z późn. zm.</t>
  </si>
  <si>
    <t>Zakup usług remontowych - remonty szkół</t>
  </si>
  <si>
    <t>remonty szkół</t>
  </si>
  <si>
    <t>termomodernizacje obiektów</t>
  </si>
  <si>
    <t>rozdz. 80101 - Szkoły podstawowe</t>
  </si>
  <si>
    <t>Euroregiony</t>
  </si>
  <si>
    <t>Zasiłki i pomoc w naturze oraz składki
na ubezpieczenia emerytalne i rentowe</t>
  </si>
  <si>
    <t>,</t>
  </si>
  <si>
    <t>Jednostka</t>
  </si>
  <si>
    <t>Nazwa: działu, rozdziału, programu/projektu</t>
  </si>
  <si>
    <t>Cel zadania  / programu</t>
  </si>
  <si>
    <t xml:space="preserve"> organizacyjna realizująca program lub koordynująca jego wykonanie</t>
  </si>
  <si>
    <t>Okres realizacji programu</t>
  </si>
  <si>
    <t>budżetu państwa 
i innych bezzwrotnych</t>
  </si>
  <si>
    <t>Wydatki na 2007 rok</t>
  </si>
  <si>
    <t xml:space="preserve">Ogółem </t>
  </si>
  <si>
    <t>stołówki szkolne, z tego:</t>
  </si>
  <si>
    <t>Załącznik nr 6</t>
  </si>
  <si>
    <t>Planowane wydatki na wieloletnie programy i projekty inwestycyjne współfinansowane ze środków</t>
  </si>
  <si>
    <t>europejskich w latach 2006-2008</t>
  </si>
  <si>
    <t>Wydatki na 2006 rok po zmianach, 
z tego ze środków:</t>
  </si>
  <si>
    <t>Urząd Miasta Lublin</t>
  </si>
  <si>
    <t>§ 4010</t>
  </si>
  <si>
    <t xml:space="preserve">Wynagrodzenia </t>
  </si>
  <si>
    <t>osobowe</t>
  </si>
  <si>
    <t>pracowników</t>
  </si>
  <si>
    <t>§ 3020</t>
  </si>
  <si>
    <t>niezaliczone</t>
  </si>
  <si>
    <t xml:space="preserve">do </t>
  </si>
  <si>
    <t>wynagrodzeń</t>
  </si>
  <si>
    <t>Odpisy na zakładowy fundusz świadczeń socjalnych</t>
  </si>
  <si>
    <t>wynagrodzenia</t>
  </si>
  <si>
    <t>rozdz. 80103 - Oddziały przedszkolne w szkołach podstawowych</t>
  </si>
  <si>
    <t>Zakup usług dostępu do sieci Internet</t>
  </si>
  <si>
    <t xml:space="preserve">stypendia oraz inne formy pomocy dla uczniów </t>
  </si>
  <si>
    <t>Załącznik nr 4</t>
  </si>
  <si>
    <t>Planowane wydatki na programy i projekty realizowane ze środków pochodzących z budżetu Unii Europejskiej</t>
  </si>
  <si>
    <t>Wydatki na 2008 rok 
z tego ze środków:</t>
  </si>
  <si>
    <t>2005-2007</t>
  </si>
  <si>
    <t>termomodernizacja budynków Zespołu Szkół Elektronicznych przy ul. Wojciechowskiej 38</t>
  </si>
  <si>
    <t>modernizacja węzła cieplnego i kotłowni, wymiana instalacji centralnego ogrzewania oraz okien i drzwi zewnętrznych, docieplenie dachów, stropodachów i ścian zewnętrznych</t>
  </si>
  <si>
    <t>1.4 Wydział Organizacyjny</t>
  </si>
  <si>
    <t>1.5 Wydział Oświaty i Wychowania</t>
  </si>
  <si>
    <t>rozdz. 92605 - Zadania w zakresie kultury fizycznej i sportu</t>
  </si>
  <si>
    <t>program wyrównywania szans edukacyjnych dzieci i młodzieży</t>
  </si>
  <si>
    <t>pomoc materialna dla uczniów 
w ramach Narodowego Programu Stypendialnego</t>
  </si>
  <si>
    <t>inwestycje, z tego:</t>
  </si>
  <si>
    <t>prowadzenie profilaktycznej działalności informacyjnej i edukacyjnej 
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</si>
  <si>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zadania realizowane w ramach Gminnego Programu Profilaktyki 
i Rozwiązywania Problemów Alkoholowych, w tym:</t>
  </si>
  <si>
    <t>Wydatki na 2007 rok z późn. zm.
z tego ze środków:</t>
  </si>
  <si>
    <t>Wydatki na 2008 rok z późn. zm.
z tego ze środków:</t>
  </si>
  <si>
    <t>Wydatki na 2007 rok po zmianach
z tego ze środków:</t>
  </si>
  <si>
    <t>Wydatki na 2008 rok po zmianach
z tego ze środków:</t>
  </si>
  <si>
    <t>Łączne nakłady finansowe
po zmianach</t>
  </si>
  <si>
    <t>Zrealizowane nakłady finansowe
po zmianach</t>
  </si>
  <si>
    <t>Wydatki na 2007 rok po zmianach, 
z tego ze środków:</t>
  </si>
  <si>
    <t>Wydatki na 2008 rok po zmianach, 
z tego ze środków:</t>
  </si>
  <si>
    <t>Wydatki na 2006 rok
ogółem
z późn. zm.</t>
  </si>
  <si>
    <t xml:space="preserve">
z tego ze środków:</t>
  </si>
  <si>
    <t>Wydatki na 2006 rok
ogółem
po zmianach</t>
  </si>
  <si>
    <t>z dnia 31 lipca 2006 roku</t>
  </si>
  <si>
    <t>pokrycie kosztów obsługi realizowanych zadań</t>
  </si>
  <si>
    <t>Komendy powiatowe Państwowej Straży Pożarnej</t>
  </si>
  <si>
    <t>Uposażenia i świadczenia pieniężne wypłacane przez okres roku żołnierzom 
i funkcjonariuszom zwolnionym ze służby</t>
  </si>
  <si>
    <t>Uposażenia żołnierzy zawodowych i nadterminowych oraz funkcjonariuszy</t>
  </si>
  <si>
    <t>Uposażenia i świadczenia pieniężne wypłacane przez okres roku żołnierzom i funkcjonariuszom zwolnionym ze służby</t>
  </si>
  <si>
    <t>wybory do jednostek pomocniczych miasta</t>
  </si>
  <si>
    <t xml:space="preserve">2. Komenda Straży Miejskiej </t>
  </si>
  <si>
    <t>Promocja jednostek samorządu terytorialnego</t>
  </si>
  <si>
    <t>promocja miasta</t>
  </si>
  <si>
    <t>bieżące utrzymanie dróg</t>
  </si>
  <si>
    <t>remonty</t>
  </si>
  <si>
    <t>Zakup usług remontowych</t>
  </si>
  <si>
    <t>remonty dróg</t>
  </si>
  <si>
    <t>Zespoły do spraw orzekania o niepełnosprawności</t>
  </si>
  <si>
    <t>Pozostałe zadania w zakresie kultury</t>
  </si>
  <si>
    <t>realizacja projektu "Wprowadzenie Elektronicznego Systemu Obiegu Dokumentów i informatyzacja Biura Obsługi Mieszkańców" - inwestycje</t>
  </si>
  <si>
    <t>wprowadzenie Elektronicznego Systemu Obiegu Dokumentów i informatyzacja Biura Obsługi Mieszkańców</t>
  </si>
  <si>
    <t>Rezerwy na inwestycje i zakupy inwestycyjne</t>
  </si>
  <si>
    <t>realizacja projektu "Wprowadzenie Elektronicznego Systemu Obiegu dokumentów i informatyzacja Biura Obsługi Mieszkańców"</t>
  </si>
  <si>
    <t>poprawa rozwoju infrastruktury społeczeństwa informacyjnego - informatyzacja Biura Obsługi Mieszkańców i wdrożenie elektronicznego systemu obiegu dokumentów</t>
  </si>
  <si>
    <t>Ośrodki wsparcia</t>
  </si>
  <si>
    <t>dotacja na prowadzenie środowiskowych domów samopomocy dla osób 
z zaburzeniami psychicznymi</t>
  </si>
  <si>
    <t>Dotacja celowa z budżetu na finansowanie lub dofinansowanie zadań zleconych do realizacji stowarzyszeniom</t>
  </si>
  <si>
    <t>Przedszkole nr 9</t>
  </si>
  <si>
    <t>Przedszkole nr 73</t>
  </si>
  <si>
    <t>Przedszkole nr 59</t>
  </si>
  <si>
    <t>Przedszkole nr 12</t>
  </si>
  <si>
    <t xml:space="preserve">dotacje dla publicznych i niepublicznych przedszkoli </t>
  </si>
  <si>
    <t>Przedszkole Prywatne "JAGODY"; Jadwiga Puła, ul. Skierki 1/77, 20-601 Lublin</t>
  </si>
  <si>
    <t>Przedszkole Prywatne "PIOTRUŚ PAN 2"; Mirosława Kamienobrodzka,                                   ul. Krasińskiego 3/53, 20-709 Lublin</t>
  </si>
  <si>
    <t>Przedszkole Prywatne "PIOTRUŚ PAN"; Mirosława Kamienobrodzka, 
ul. Krasińskiego 3/53, 20-709 Lublin</t>
  </si>
  <si>
    <t>Przedszkole Sióstr Urszulanek Serca Jezusa Konającego; Zgromadzenie Sióstr Urszulanek SJK DOM ZAKONNY, ul. Orlanda 15-17, 20-712 Lublin</t>
  </si>
  <si>
    <t>realizacja projektu "Fundusz stypendialny Miasta Lublin szansą ponadgimnazjalistów z terenów wiejskich"</t>
  </si>
  <si>
    <t>Zwrot dotacji wykorzystanych niezgodnie z przeznaczeniem lub pobranych w nadmiernej wysokości</t>
  </si>
  <si>
    <t xml:space="preserve">termomodernizacja obiektów </t>
  </si>
  <si>
    <t xml:space="preserve">termomodernizacja obiektu </t>
  </si>
  <si>
    <t>w tym: inwestycje - rezerwa celowa na finansowanie projektów współfinansowanych ze środków Unii Europejskiej</t>
  </si>
  <si>
    <t>Zakup usług remontowych - remont przedszkola</t>
  </si>
  <si>
    <t xml:space="preserve">1.1 Wydział Finansowy </t>
  </si>
  <si>
    <t>1.2 Wydział Gospodarki Komunalnej</t>
  </si>
  <si>
    <t>1.3 Wydział Informatyki i Telekomunikacji</t>
  </si>
  <si>
    <t>1.6 Wydział Spraw Administracyjnych</t>
  </si>
  <si>
    <t>1.7 Wydział Spraw Społecznych</t>
  </si>
  <si>
    <t>1.8 Kancelaria Prezydenta Miasta</t>
  </si>
  <si>
    <t>3.  Miejski Ośrodek Pomocy Rodzinie</t>
  </si>
  <si>
    <t>4. Komenda Miejska Państwowej Straży Pożarnej</t>
  </si>
  <si>
    <t>5. Szkoły i placówki oświatowe</t>
  </si>
  <si>
    <t>rezerwa celowa na uruchomienie od 1 września 2006 roku nowych segmentów w szkołach</t>
  </si>
  <si>
    <t xml:space="preserve">Rezerwy </t>
  </si>
  <si>
    <t>1.2 Wydział Informatyki 
i Telekomunikacji</t>
  </si>
  <si>
    <t>1.3 Wydział Organizacyjny</t>
  </si>
  <si>
    <t>1.4 Wydział Oświaty i Wychowania</t>
  </si>
  <si>
    <t>1.5 Wydział Spraw Społecznych</t>
  </si>
  <si>
    <t>1.6 Wydział Strategii i Rozwoju</t>
  </si>
  <si>
    <t>3. Miejski Ośrodek Pomocy Rodzinie</t>
  </si>
  <si>
    <t>4.  Szkoły i placówki oświatowe</t>
  </si>
  <si>
    <t>Wydatki                                                                                                                               (nazwa działu, rozdziału, zadania)</t>
  </si>
  <si>
    <t>Załącznik nr 1</t>
  </si>
  <si>
    <t>w tym: wynagrodzenia</t>
  </si>
  <si>
    <t>w tym: inwestycje</t>
  </si>
  <si>
    <t>w tym: remonty</t>
  </si>
  <si>
    <t>zadania realizowane w ramach Gminnego Programu Profilaktyki 
i Rozwiązywania Problemów Alkoholowych</t>
  </si>
  <si>
    <t xml:space="preserve">w tym: wynagrodzenia </t>
  </si>
  <si>
    <t>Załącznik nr 2</t>
  </si>
  <si>
    <t xml:space="preserve">do zarządzenia nr 345/2006 </t>
  </si>
  <si>
    <t>do zarządzenia nr 345/2006</t>
  </si>
  <si>
    <t>Lubelskie Stowarzyszenie Ochrony Zdrowia Psychicznego; ul Gospodarcza 32,
20-213 Lublin, Środowiskowy Dom Samopomocy - Ośrodek Wsparcia "Serce"</t>
  </si>
  <si>
    <t>realizacja projektu "Fundusz stypendialny Miasta Lublin szansą ponadgimnazjalistów 
z terenów wiejskich"</t>
  </si>
  <si>
    <t>Prywatne Przedszkole "STRUMYK" A. i W. Rożek nr 2; Anna i Wiesław Rożek, 
ul. Lwowska 24/34, 20-128 Lublin</t>
  </si>
  <si>
    <t>Prywatne Przedszkole "STRUMYK" A. i W. Rożek nr 3; Anna i Wiesław Rożek, 
ul. Lwowska 24/34, 20-128 Lublin</t>
  </si>
  <si>
    <t>realizacja projektu "Wprowadzenie Elektronicznego Systemu Obiegu Dokumentów 
i informatyzacja Biura Obsługi Mieszkańców" - inwestycje</t>
  </si>
  <si>
    <t>rezerwa budżetowa</t>
  </si>
  <si>
    <t>Katolicka Szkoła Podstawowa im. św Jadwigi Królowej; Parafia Rzymsko-Katolicka 
św. Jadwigi Królowej, ul. Koncertowa 15, 20-866 Lublin</t>
  </si>
  <si>
    <t>Przedszkole Niepubliczne im. św. Józefa; Zgromadzenie Sióstr św. Józefa z Cluny, 
ul. Ks. Michała Słowikowskiego 1a, 20-124 Lublin</t>
  </si>
  <si>
    <t>Przedszkole Prywatne "MARTYNKA - BIS"; Izabela Czechowska, ul. Urzędowska 150, 
20-727 Lublin, Agnieszka Sałaga, ul. Radomska 8, 20-729 Lublin</t>
  </si>
  <si>
    <t>Przedszkole Sióstr Nazaretanek; Zgromadzenie Sióstr Najświętszej Rodziny z Nazaretu, 
ul. Czerniakowska 137, 00-720 Warszawa</t>
  </si>
  <si>
    <t>Przedszkole Parafialne im. bł. Honorata Koźmińskiego; Parafia Rzymsko-Katolicka 
św. Stanisława Biskupa i Męczennika, ul. Zbożowa 75, 20-827 Lublin</t>
  </si>
  <si>
    <t>Zespół Szkół Elektronicznych 
(XX Liceum Profilowane)</t>
  </si>
  <si>
    <t>Dział 926 - Kultura fizyczna 
i sport</t>
  </si>
  <si>
    <t>zajęcia sportowo-rekreacyjne 
w szkołach</t>
  </si>
  <si>
    <t>Wydatki na 2006 rok z późn. zm., 
z tego ze środków:</t>
  </si>
  <si>
    <t>Wydatki na 2007 rok z późn. zm., 
z tego ze środków:</t>
  </si>
  <si>
    <t>Wydatki na 2008 rok z późn. zm., 
z tego ze środków:</t>
  </si>
  <si>
    <t>eksploatacja składowiska odpadów komunalnych w Rokitnie</t>
  </si>
  <si>
    <t>opłata za korzystanie ze środowiska</t>
  </si>
  <si>
    <t>Opłaty na rzecz budżetów jednostek samorządu terytorialnego</t>
  </si>
  <si>
    <t>1.9 Wydział Ochrony Środowiska</t>
  </si>
  <si>
    <t>termomodernizacja obiektu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</si>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</sst>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.00\ &quot;zł&quot;"/>
    <numFmt numFmtId="174" formatCode="#,##0.0"/>
    <numFmt numFmtId="175" formatCode="0.0"/>
    <numFmt numFmtId="176" formatCode="#,##0.0000"/>
    <numFmt numFmtId="177" formatCode="###0"/>
    <numFmt numFmtId="178" formatCode="h:m"/>
    <numFmt numFmtId="179" formatCode="#,##0.00\ &quot;zł&quot;;[Red]#,##0.00\ &quot;zł&quot;"/>
    <numFmt numFmtId="180" formatCode="#,##0\ &quot;zł&quot;"/>
    <numFmt numFmtId="181" formatCode="#,##0.000"/>
    <numFmt numFmtId="182" formatCode="#,##0.00\ _z_ł"/>
    <numFmt numFmtId="183" formatCode="#,##0\ _z_ł"/>
    <numFmt numFmtId="184" formatCode="#,##0_ ;\-#,##0\ "/>
    <numFmt numFmtId="185" formatCode="#,##0_ ;[Red]\-#,##0\ "/>
    <numFmt numFmtId="186" formatCode="#,##0;&quot;-&quot;#,##0"/>
    <numFmt numFmtId="187" formatCode="#,##0;[Red]&quot;-&quot;#,##0"/>
    <numFmt numFmtId="188" formatCode="#,##0.00;&quot;-&quot;#,##0.00"/>
    <numFmt numFmtId="189" formatCode="#,##0.00;[Red]&quot;-&quot;#,##0.00"/>
    <numFmt numFmtId="190" formatCode="\ h\ h:m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0"/>
      <name val="Arial"/>
      <family val="0"/>
    </font>
    <font>
      <sz val="8"/>
      <name val="Arial"/>
      <family val="0"/>
    </font>
    <font>
      <i/>
      <sz val="9"/>
      <name val="Arial CE"/>
      <family val="2"/>
    </font>
    <font>
      <sz val="12"/>
      <color indexed="10"/>
      <name val="Arial CE"/>
      <family val="2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8"/>
      <name val="Arial CE"/>
      <family val="2"/>
    </font>
    <font>
      <b/>
      <sz val="13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22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i/>
      <sz val="16"/>
      <name val="Arial CE"/>
      <family val="2"/>
    </font>
    <font>
      <sz val="18"/>
      <name val="Arial CE"/>
      <family val="2"/>
    </font>
    <font>
      <b/>
      <i/>
      <sz val="10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ashed"/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ashDotDot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tted"/>
      <bottom style="thin"/>
    </border>
    <border>
      <left style="double"/>
      <right style="thin"/>
      <top style="double"/>
      <bottom style="thin"/>
    </border>
    <border>
      <left style="thin"/>
      <right style="thin"/>
      <top style="dashed"/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6" xfId="0" applyFont="1" applyBorder="1" applyAlignment="1">
      <alignment wrapText="1"/>
    </xf>
    <xf numFmtId="3" fontId="10" fillId="0" borderId="16" xfId="0" applyNumberFormat="1" applyFont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3" fontId="5" fillId="2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 horizontal="right"/>
    </xf>
    <xf numFmtId="3" fontId="13" fillId="0" borderId="1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4" borderId="13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3" fontId="15" fillId="4" borderId="16" xfId="0" applyNumberFormat="1" applyFont="1" applyFill="1" applyBorder="1" applyAlignment="1">
      <alignment wrapText="1"/>
    </xf>
    <xf numFmtId="3" fontId="15" fillId="4" borderId="16" xfId="0" applyNumberFormat="1" applyFont="1" applyFill="1" applyBorder="1" applyAlignment="1">
      <alignment horizontal="right" wrapText="1"/>
    </xf>
    <xf numFmtId="0" fontId="13" fillId="2" borderId="17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/>
    </xf>
    <xf numFmtId="3" fontId="13" fillId="5" borderId="15" xfId="0" applyNumberFormat="1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7" xfId="0" applyNumberFormat="1" applyFont="1" applyBorder="1" applyAlignment="1">
      <alignment horizontal="right"/>
    </xf>
    <xf numFmtId="0" fontId="0" fillId="3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right" wrapText="1"/>
    </xf>
    <xf numFmtId="0" fontId="13" fillId="4" borderId="13" xfId="0" applyFont="1" applyFill="1" applyBorder="1" applyAlignment="1">
      <alignment/>
    </xf>
    <xf numFmtId="0" fontId="13" fillId="4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 wrapText="1"/>
    </xf>
    <xf numFmtId="3" fontId="15" fillId="0" borderId="16" xfId="0" applyNumberFormat="1" applyFont="1" applyBorder="1" applyAlignment="1">
      <alignment horizontal="right"/>
    </xf>
    <xf numFmtId="0" fontId="13" fillId="2" borderId="17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5" fillId="4" borderId="16" xfId="0" applyFont="1" applyFill="1" applyBorder="1" applyAlignment="1">
      <alignment/>
    </xf>
    <xf numFmtId="0" fontId="13" fillId="2" borderId="15" xfId="0" applyFont="1" applyFill="1" applyBorder="1" applyAlignment="1">
      <alignment wrapText="1"/>
    </xf>
    <xf numFmtId="0" fontId="0" fillId="0" borderId="13" xfId="0" applyBorder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3" fontId="13" fillId="2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2" fillId="0" borderId="13" xfId="0" applyFont="1" applyBorder="1" applyAlignment="1">
      <alignment vertical="top"/>
    </xf>
    <xf numFmtId="3" fontId="14" fillId="0" borderId="13" xfId="0" applyNumberFormat="1" applyFont="1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14" fillId="4" borderId="13" xfId="0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/>
    </xf>
    <xf numFmtId="3" fontId="15" fillId="4" borderId="16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5" fillId="4" borderId="16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3" fontId="15" fillId="0" borderId="16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3" fontId="12" fillId="0" borderId="25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3" fillId="0" borderId="17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 horizontal="right" wrapText="1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wrapText="1"/>
    </xf>
    <xf numFmtId="0" fontId="6" fillId="0" borderId="2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13" fillId="3" borderId="13" xfId="0" applyFont="1" applyFill="1" applyBorder="1" applyAlignment="1">
      <alignment/>
    </xf>
    <xf numFmtId="0" fontId="13" fillId="2" borderId="17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13" fillId="3" borderId="17" xfId="0" applyFont="1" applyFill="1" applyBorder="1" applyAlignment="1">
      <alignment/>
    </xf>
    <xf numFmtId="3" fontId="13" fillId="3" borderId="17" xfId="0" applyNumberFormat="1" applyFont="1" applyFill="1" applyBorder="1" applyAlignment="1">
      <alignment horizontal="right"/>
    </xf>
    <xf numFmtId="3" fontId="12" fillId="3" borderId="2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3" fontId="18" fillId="0" borderId="16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left" wrapText="1"/>
    </xf>
    <xf numFmtId="3" fontId="10" fillId="0" borderId="16" xfId="0" applyNumberFormat="1" applyFont="1" applyBorder="1" applyAlignment="1">
      <alignment horizontal="right"/>
    </xf>
    <xf numFmtId="0" fontId="12" fillId="3" borderId="13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21" xfId="0" applyFont="1" applyBorder="1" applyAlignment="1">
      <alignment/>
    </xf>
    <xf numFmtId="0" fontId="13" fillId="3" borderId="1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3" borderId="15" xfId="0" applyFont="1" applyFill="1" applyBorder="1" applyAlignment="1">
      <alignment wrapText="1"/>
    </xf>
    <xf numFmtId="3" fontId="3" fillId="3" borderId="15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2" borderId="29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7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1" xfId="0" applyFont="1" applyFill="1" applyBorder="1" applyAlignment="1">
      <alignment/>
    </xf>
    <xf numFmtId="3" fontId="13" fillId="4" borderId="30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wrapText="1"/>
    </xf>
    <xf numFmtId="0" fontId="13" fillId="2" borderId="29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3" fillId="0" borderId="13" xfId="0" applyFont="1" applyFill="1" applyBorder="1" applyAlignment="1">
      <alignment wrapText="1"/>
    </xf>
    <xf numFmtId="3" fontId="13" fillId="2" borderId="31" xfId="0" applyNumberFormat="1" applyFont="1" applyFill="1" applyBorder="1" applyAlignment="1">
      <alignment wrapText="1"/>
    </xf>
    <xf numFmtId="3" fontId="13" fillId="0" borderId="13" xfId="0" applyNumberFormat="1" applyFont="1" applyBorder="1" applyAlignment="1">
      <alignment/>
    </xf>
    <xf numFmtId="0" fontId="12" fillId="0" borderId="15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0" fontId="13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0" fillId="4" borderId="11" xfId="0" applyFont="1" applyFill="1" applyBorder="1" applyAlignment="1">
      <alignment/>
    </xf>
    <xf numFmtId="0" fontId="6" fillId="4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3" fontId="6" fillId="4" borderId="32" xfId="0" applyNumberFormat="1" applyFont="1" applyFill="1" applyBorder="1" applyAlignment="1">
      <alignment horizontal="right"/>
    </xf>
    <xf numFmtId="3" fontId="6" fillId="4" borderId="33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/>
    </xf>
    <xf numFmtId="3" fontId="6" fillId="4" borderId="34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24" xfId="0" applyFont="1" applyFill="1" applyBorder="1" applyAlignment="1">
      <alignment wrapText="1"/>
    </xf>
    <xf numFmtId="3" fontId="0" fillId="0" borderId="35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1" fontId="13" fillId="3" borderId="38" xfId="0" applyNumberFormat="1" applyFont="1" applyFill="1" applyBorder="1" applyAlignment="1">
      <alignment/>
    </xf>
    <xf numFmtId="3" fontId="13" fillId="3" borderId="38" xfId="0" applyNumberFormat="1" applyFont="1" applyFill="1" applyBorder="1" applyAlignment="1">
      <alignment wrapText="1"/>
    </xf>
    <xf numFmtId="3" fontId="13" fillId="0" borderId="39" xfId="0" applyNumberFormat="1" applyFont="1" applyBorder="1" applyAlignment="1">
      <alignment wrapText="1"/>
    </xf>
    <xf numFmtId="3" fontId="13" fillId="0" borderId="40" xfId="0" applyNumberFormat="1" applyFont="1" applyBorder="1" applyAlignment="1">
      <alignment wrapText="1"/>
    </xf>
    <xf numFmtId="3" fontId="13" fillId="0" borderId="41" xfId="0" applyNumberFormat="1" applyFont="1" applyBorder="1" applyAlignment="1">
      <alignment wrapText="1"/>
    </xf>
    <xf numFmtId="3" fontId="13" fillId="0" borderId="38" xfId="0" applyNumberFormat="1" applyFont="1" applyBorder="1" applyAlignment="1">
      <alignment wrapText="1"/>
    </xf>
    <xf numFmtId="3" fontId="13" fillId="0" borderId="42" xfId="0" applyNumberFormat="1" applyFont="1" applyBorder="1" applyAlignment="1">
      <alignment wrapText="1"/>
    </xf>
    <xf numFmtId="1" fontId="13" fillId="3" borderId="13" xfId="0" applyNumberFormat="1" applyFont="1" applyFill="1" applyBorder="1" applyAlignment="1">
      <alignment/>
    </xf>
    <xf numFmtId="1" fontId="13" fillId="0" borderId="17" xfId="0" applyNumberFormat="1" applyFont="1" applyBorder="1" applyAlignment="1">
      <alignment/>
    </xf>
    <xf numFmtId="3" fontId="13" fillId="0" borderId="23" xfId="0" applyNumberFormat="1" applyFont="1" applyBorder="1" applyAlignment="1">
      <alignment wrapText="1"/>
    </xf>
    <xf numFmtId="3" fontId="13" fillId="0" borderId="6" xfId="0" applyNumberFormat="1" applyFont="1" applyBorder="1" applyAlignment="1">
      <alignment wrapText="1"/>
    </xf>
    <xf numFmtId="3" fontId="13" fillId="0" borderId="43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4" xfId="0" applyNumberFormat="1" applyFont="1" applyBorder="1" applyAlignment="1">
      <alignment wrapText="1"/>
    </xf>
    <xf numFmtId="1" fontId="0" fillId="0" borderId="13" xfId="0" applyNumberFormat="1" applyFont="1" applyFill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49" fontId="15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44" xfId="0" applyNumberFormat="1" applyFont="1" applyBorder="1" applyAlignment="1">
      <alignment horizontal="right"/>
    </xf>
    <xf numFmtId="3" fontId="15" fillId="0" borderId="45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0" fillId="4" borderId="2" xfId="0" applyFont="1" applyFill="1" applyBorder="1" applyAlignment="1">
      <alignment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3" fontId="13" fillId="4" borderId="11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 wrapText="1"/>
    </xf>
    <xf numFmtId="3" fontId="13" fillId="2" borderId="17" xfId="0" applyNumberFormat="1" applyFont="1" applyFill="1" applyBorder="1" applyAlignment="1">
      <alignment horizontal="right" wrapText="1"/>
    </xf>
    <xf numFmtId="0" fontId="13" fillId="3" borderId="17" xfId="0" applyFont="1" applyFill="1" applyBorder="1" applyAlignment="1">
      <alignment horizontal="left" wrapText="1"/>
    </xf>
    <xf numFmtId="3" fontId="13" fillId="3" borderId="17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0" fillId="3" borderId="13" xfId="0" applyFont="1" applyFill="1" applyBorder="1" applyAlignment="1">
      <alignment horizontal="left" wrapText="1"/>
    </xf>
    <xf numFmtId="3" fontId="0" fillId="3" borderId="13" xfId="0" applyNumberFormat="1" applyFont="1" applyFill="1" applyBorder="1" applyAlignment="1">
      <alignment horizontal="right" wrapText="1"/>
    </xf>
    <xf numFmtId="0" fontId="15" fillId="4" borderId="15" xfId="0" applyFont="1" applyFill="1" applyBorder="1" applyAlignment="1">
      <alignment/>
    </xf>
    <xf numFmtId="0" fontId="15" fillId="3" borderId="0" xfId="0" applyFont="1" applyFill="1" applyAlignment="1">
      <alignment/>
    </xf>
    <xf numFmtId="0" fontId="15" fillId="4" borderId="17" xfId="0" applyFont="1" applyFill="1" applyBorder="1" applyAlignment="1">
      <alignment wrapText="1"/>
    </xf>
    <xf numFmtId="3" fontId="15" fillId="4" borderId="17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3" fontId="0" fillId="0" borderId="13" xfId="0" applyNumberFormat="1" applyFont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 horizontal="right" wrapText="1"/>
    </xf>
    <xf numFmtId="3" fontId="0" fillId="3" borderId="24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2" borderId="45" xfId="0" applyFont="1" applyFill="1" applyBorder="1" applyAlignment="1">
      <alignment wrapText="1"/>
    </xf>
    <xf numFmtId="0" fontId="13" fillId="2" borderId="15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46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0" fontId="13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5" xfId="0" applyFont="1" applyBorder="1" applyAlignment="1">
      <alignment vertical="top"/>
    </xf>
    <xf numFmtId="3" fontId="15" fillId="0" borderId="16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47" xfId="0" applyNumberFormat="1" applyFont="1" applyFill="1" applyBorder="1" applyAlignment="1">
      <alignment horizontal="right"/>
    </xf>
    <xf numFmtId="3" fontId="15" fillId="0" borderId="1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3" fontId="0" fillId="0" borderId="21" xfId="0" applyNumberFormat="1" applyFont="1" applyBorder="1" applyAlignment="1">
      <alignment horizontal="right" wrapText="1"/>
    </xf>
    <xf numFmtId="0" fontId="12" fillId="0" borderId="47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0" fontId="13" fillId="2" borderId="27" xfId="0" applyFont="1" applyFill="1" applyBorder="1" applyAlignment="1">
      <alignment horizontal="left"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/>
    </xf>
    <xf numFmtId="3" fontId="0" fillId="4" borderId="0" xfId="0" applyNumberFormat="1" applyFont="1" applyFill="1" applyAlignment="1">
      <alignment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48" xfId="0" applyNumberFormat="1" applyFont="1" applyFill="1" applyBorder="1" applyAlignment="1">
      <alignment horizontal="left"/>
    </xf>
    <xf numFmtId="3" fontId="13" fillId="4" borderId="4" xfId="15" applyNumberFormat="1" applyFont="1" applyFill="1" applyBorder="1" applyAlignment="1">
      <alignment horizontal="center"/>
    </xf>
    <xf numFmtId="3" fontId="0" fillId="4" borderId="49" xfId="0" applyNumberFormat="1" applyFont="1" applyFill="1" applyBorder="1" applyAlignment="1">
      <alignment/>
    </xf>
    <xf numFmtId="3" fontId="0" fillId="4" borderId="43" xfId="0" applyNumberFormat="1" applyFont="1" applyFill="1" applyBorder="1" applyAlignment="1">
      <alignment horizontal="center"/>
    </xf>
    <xf numFmtId="3" fontId="0" fillId="4" borderId="23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50" xfId="0" applyNumberFormat="1" applyFont="1" applyFill="1" applyBorder="1" applyAlignment="1">
      <alignment horizontal="center"/>
    </xf>
    <xf numFmtId="3" fontId="17" fillId="4" borderId="23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vertical="center"/>
    </xf>
    <xf numFmtId="3" fontId="17" fillId="4" borderId="13" xfId="0" applyNumberFormat="1" applyFont="1" applyFill="1" applyBorder="1" applyAlignment="1">
      <alignment horizontal="center"/>
    </xf>
    <xf numFmtId="3" fontId="0" fillId="4" borderId="50" xfId="0" applyNumberFormat="1" applyFont="1" applyFill="1" applyBorder="1" applyAlignment="1">
      <alignment horizontal="left"/>
    </xf>
    <xf numFmtId="3" fontId="0" fillId="4" borderId="27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3" fontId="7" fillId="4" borderId="51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7" fillId="4" borderId="52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13" fillId="4" borderId="53" xfId="0" applyNumberFormat="1" applyFont="1" applyFill="1" applyBorder="1" applyAlignment="1">
      <alignment horizontal="center" vertical="center"/>
    </xf>
    <xf numFmtId="3" fontId="15" fillId="4" borderId="54" xfId="0" applyNumberFormat="1" applyFont="1" applyFill="1" applyBorder="1" applyAlignment="1">
      <alignment horizontal="center" wrapText="1"/>
    </xf>
    <xf numFmtId="3" fontId="0" fillId="4" borderId="0" xfId="0" applyNumberFormat="1" applyFont="1" applyFill="1" applyBorder="1" applyAlignment="1">
      <alignment/>
    </xf>
    <xf numFmtId="3" fontId="0" fillId="4" borderId="55" xfId="0" applyNumberFormat="1" applyFont="1" applyFill="1" applyBorder="1" applyAlignment="1">
      <alignment vertical="center"/>
    </xf>
    <xf numFmtId="3" fontId="0" fillId="4" borderId="17" xfId="0" applyNumberFormat="1" applyFont="1" applyFill="1" applyBorder="1" applyAlignment="1">
      <alignment/>
    </xf>
    <xf numFmtId="3" fontId="0" fillId="4" borderId="29" xfId="0" applyNumberFormat="1" applyFont="1" applyFill="1" applyBorder="1" applyAlignment="1">
      <alignment/>
    </xf>
    <xf numFmtId="3" fontId="13" fillId="4" borderId="56" xfId="0" applyNumberFormat="1" applyFont="1" applyFill="1" applyBorder="1" applyAlignment="1">
      <alignment horizontal="left" vertical="center" wrapText="1"/>
    </xf>
    <xf numFmtId="3" fontId="0" fillId="6" borderId="55" xfId="0" applyNumberFormat="1" applyFont="1" applyFill="1" applyBorder="1" applyAlignment="1">
      <alignment horizontal="left" vertical="center" wrapText="1"/>
    </xf>
    <xf numFmtId="3" fontId="12" fillId="4" borderId="0" xfId="0" applyNumberFormat="1" applyFont="1" applyFill="1" applyBorder="1" applyAlignment="1">
      <alignment vertical="center"/>
    </xf>
    <xf numFmtId="3" fontId="0" fillId="4" borderId="54" xfId="0" applyNumberFormat="1" applyFont="1" applyFill="1" applyBorder="1" applyAlignment="1">
      <alignment vertical="center" wrapText="1"/>
    </xf>
    <xf numFmtId="1" fontId="0" fillId="4" borderId="54" xfId="0" applyNumberFormat="1" applyFont="1" applyFill="1" applyBorder="1" applyAlignment="1">
      <alignment vertical="center" wrapText="1"/>
    </xf>
    <xf numFmtId="3" fontId="13" fillId="4" borderId="57" xfId="0" applyNumberFormat="1" applyFont="1" applyFill="1" applyBorder="1" applyAlignment="1">
      <alignment horizontal="left" vertical="center" wrapText="1"/>
    </xf>
    <xf numFmtId="0" fontId="13" fillId="4" borderId="57" xfId="0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/>
    </xf>
    <xf numFmtId="3" fontId="8" fillId="4" borderId="29" xfId="0" applyNumberFormat="1" applyFont="1" applyFill="1" applyBorder="1" applyAlignment="1">
      <alignment/>
    </xf>
    <xf numFmtId="0" fontId="13" fillId="4" borderId="57" xfId="0" applyNumberFormat="1" applyFont="1" applyFill="1" applyBorder="1" applyAlignment="1">
      <alignment vertical="center" wrapText="1"/>
    </xf>
    <xf numFmtId="0" fontId="15" fillId="4" borderId="58" xfId="0" applyNumberFormat="1" applyFont="1" applyFill="1" applyBorder="1" applyAlignment="1">
      <alignment vertical="center" wrapText="1"/>
    </xf>
    <xf numFmtId="0" fontId="15" fillId="4" borderId="54" xfId="0" applyNumberFormat="1" applyFont="1" applyFill="1" applyBorder="1" applyAlignment="1">
      <alignment vertical="center" wrapText="1"/>
    </xf>
    <xf numFmtId="3" fontId="22" fillId="0" borderId="17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 wrapText="1"/>
    </xf>
    <xf numFmtId="3" fontId="13" fillId="2" borderId="15" xfId="0" applyNumberFormat="1" applyFont="1" applyFill="1" applyBorder="1" applyAlignment="1">
      <alignment horizontal="left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/>
    </xf>
    <xf numFmtId="0" fontId="0" fillId="0" borderId="59" xfId="0" applyFont="1" applyBorder="1" applyAlignment="1">
      <alignment wrapText="1"/>
    </xf>
    <xf numFmtId="3" fontId="0" fillId="0" borderId="59" xfId="0" applyNumberFormat="1" applyFont="1" applyBorder="1" applyAlignment="1">
      <alignment horizontal="right" wrapText="1"/>
    </xf>
    <xf numFmtId="0" fontId="12" fillId="0" borderId="15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12" fillId="3" borderId="15" xfId="0" applyFont="1" applyFill="1" applyBorder="1" applyAlignment="1">
      <alignment/>
    </xf>
    <xf numFmtId="3" fontId="23" fillId="0" borderId="59" xfId="18" applyNumberFormat="1" applyFont="1" applyFill="1" applyBorder="1" applyAlignment="1">
      <alignment/>
      <protection/>
    </xf>
    <xf numFmtId="3" fontId="23" fillId="0" borderId="59" xfId="18" applyNumberFormat="1" applyFont="1" applyFill="1" applyBorder="1" applyAlignment="1">
      <alignment horizontal="right"/>
      <protection/>
    </xf>
    <xf numFmtId="3" fontId="23" fillId="0" borderId="0" xfId="18" applyNumberFormat="1" applyFont="1" applyBorder="1">
      <alignment/>
      <protection/>
    </xf>
    <xf numFmtId="3" fontId="25" fillId="0" borderId="0" xfId="18" applyNumberFormat="1" applyFont="1" applyBorder="1">
      <alignment/>
      <protection/>
    </xf>
    <xf numFmtId="3" fontId="19" fillId="0" borderId="0" xfId="18" applyNumberFormat="1" applyFont="1" applyBorder="1">
      <alignment/>
      <protection/>
    </xf>
    <xf numFmtId="0" fontId="0" fillId="0" borderId="17" xfId="0" applyFont="1" applyFill="1" applyBorder="1" applyAlignment="1">
      <alignment wrapText="1"/>
    </xf>
    <xf numFmtId="3" fontId="23" fillId="0" borderId="46" xfId="18" applyNumberFormat="1" applyFont="1" applyFill="1" applyBorder="1" applyAlignment="1">
      <alignment/>
      <protection/>
    </xf>
    <xf numFmtId="3" fontId="23" fillId="0" borderId="46" xfId="18" applyNumberFormat="1" applyFont="1" applyFill="1" applyBorder="1" applyAlignment="1">
      <alignment horizontal="center"/>
      <protection/>
    </xf>
    <xf numFmtId="3" fontId="23" fillId="0" borderId="46" xfId="18" applyNumberFormat="1" applyFont="1" applyFill="1" applyBorder="1" applyAlignment="1">
      <alignment horizontal="right"/>
      <protection/>
    </xf>
    <xf numFmtId="3" fontId="24" fillId="0" borderId="21" xfId="18" applyNumberFormat="1" applyFont="1" applyFill="1" applyBorder="1" applyAlignment="1">
      <alignment horizontal="right"/>
      <protection/>
    </xf>
    <xf numFmtId="3" fontId="19" fillId="0" borderId="0" xfId="18" applyNumberFormat="1" applyBorder="1" applyAlignment="1">
      <alignment vertical="center"/>
      <protection/>
    </xf>
    <xf numFmtId="3" fontId="12" fillId="0" borderId="15" xfId="0" applyNumberFormat="1" applyFont="1" applyBorder="1" applyAlignment="1">
      <alignment horizontal="right"/>
    </xf>
    <xf numFmtId="0" fontId="12" fillId="0" borderId="61" xfId="0" applyFont="1" applyBorder="1" applyAlignment="1">
      <alignment wrapText="1"/>
    </xf>
    <xf numFmtId="0" fontId="12" fillId="0" borderId="47" xfId="0" applyFont="1" applyBorder="1" applyAlignment="1">
      <alignment/>
    </xf>
    <xf numFmtId="3" fontId="0" fillId="0" borderId="60" xfId="0" applyNumberFormat="1" applyFont="1" applyBorder="1" applyAlignment="1">
      <alignment horizontal="right"/>
    </xf>
    <xf numFmtId="3" fontId="17" fillId="4" borderId="0" xfId="0" applyNumberFormat="1" applyFont="1" applyFill="1" applyBorder="1" applyAlignment="1">
      <alignment horizontal="center"/>
    </xf>
    <xf numFmtId="3" fontId="0" fillId="4" borderId="62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3" fontId="13" fillId="0" borderId="15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29" xfId="0" applyNumberFormat="1" applyFont="1" applyBorder="1" applyAlignment="1">
      <alignment wrapText="1"/>
    </xf>
    <xf numFmtId="3" fontId="0" fillId="0" borderId="63" xfId="0" applyNumberFormat="1" applyFont="1" applyBorder="1" applyAlignment="1">
      <alignment wrapText="1"/>
    </xf>
    <xf numFmtId="3" fontId="0" fillId="0" borderId="64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46" xfId="0" applyNumberFormat="1" applyFont="1" applyBorder="1" applyAlignment="1">
      <alignment wrapText="1"/>
    </xf>
    <xf numFmtId="0" fontId="0" fillId="0" borderId="65" xfId="0" applyFont="1" applyBorder="1" applyAlignment="1">
      <alignment/>
    </xf>
    <xf numFmtId="3" fontId="0" fillId="0" borderId="65" xfId="0" applyNumberFormat="1" applyFont="1" applyFill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0" fontId="0" fillId="3" borderId="13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5" xfId="0" applyFont="1" applyFill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23" fillId="0" borderId="17" xfId="18" applyNumberFormat="1" applyFont="1" applyFill="1" applyBorder="1" applyAlignment="1">
      <alignment horizontal="right"/>
      <protection/>
    </xf>
    <xf numFmtId="0" fontId="13" fillId="4" borderId="66" xfId="0" applyFont="1" applyFill="1" applyBorder="1" applyAlignment="1">
      <alignment horizontal="center"/>
    </xf>
    <xf numFmtId="0" fontId="0" fillId="4" borderId="66" xfId="0" applyFont="1" applyFill="1" applyBorder="1" applyAlignment="1">
      <alignment horizontal="center"/>
    </xf>
    <xf numFmtId="0" fontId="0" fillId="4" borderId="67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25" fillId="0" borderId="0" xfId="18" applyNumberFormat="1" applyFont="1" applyBorder="1">
      <alignment/>
      <protection/>
    </xf>
    <xf numFmtId="3" fontId="28" fillId="4" borderId="4" xfId="15" applyNumberFormat="1" applyFont="1" applyFill="1" applyBorder="1" applyAlignment="1">
      <alignment horizontal="left"/>
    </xf>
    <xf numFmtId="3" fontId="13" fillId="4" borderId="5" xfId="15" applyNumberFormat="1" applyFont="1" applyFill="1" applyBorder="1" applyAlignment="1">
      <alignment horizontal="left"/>
    </xf>
    <xf numFmtId="3" fontId="0" fillId="4" borderId="66" xfId="0" applyNumberFormat="1" applyFont="1" applyFill="1" applyBorder="1" applyAlignment="1">
      <alignment horizontal="center"/>
    </xf>
    <xf numFmtId="3" fontId="17" fillId="4" borderId="66" xfId="0" applyNumberFormat="1" applyFont="1" applyFill="1" applyBorder="1" applyAlignment="1">
      <alignment horizontal="center"/>
    </xf>
    <xf numFmtId="3" fontId="7" fillId="4" borderId="66" xfId="0" applyNumberFormat="1" applyFont="1" applyFill="1" applyBorder="1" applyAlignment="1">
      <alignment horizontal="center"/>
    </xf>
    <xf numFmtId="3" fontId="7" fillId="4" borderId="67" xfId="0" applyNumberFormat="1" applyFont="1" applyFill="1" applyBorder="1" applyAlignment="1">
      <alignment horizontal="center"/>
    </xf>
    <xf numFmtId="3" fontId="17" fillId="4" borderId="67" xfId="0" applyNumberFormat="1" applyFont="1" applyFill="1" applyBorder="1" applyAlignment="1">
      <alignment horizontal="center"/>
    </xf>
    <xf numFmtId="3" fontId="13" fillId="2" borderId="15" xfId="0" applyNumberFormat="1" applyFont="1" applyFill="1" applyBorder="1" applyAlignment="1">
      <alignment wrapText="1"/>
    </xf>
    <xf numFmtId="3" fontId="0" fillId="4" borderId="55" xfId="0" applyNumberFormat="1" applyFont="1" applyFill="1" applyBorder="1" applyAlignment="1">
      <alignment vertical="center" wrapText="1"/>
    </xf>
    <xf numFmtId="0" fontId="6" fillId="4" borderId="68" xfId="0" applyFont="1" applyFill="1" applyBorder="1" applyAlignment="1">
      <alignment horizontal="left" vertical="center" wrapText="1"/>
    </xf>
    <xf numFmtId="0" fontId="0" fillId="4" borderId="55" xfId="0" applyFont="1" applyFill="1" applyBorder="1" applyAlignment="1">
      <alignment vertical="center" wrapText="1"/>
    </xf>
    <xf numFmtId="3" fontId="0" fillId="4" borderId="0" xfId="0" applyNumberFormat="1" applyFont="1" applyFill="1" applyAlignment="1">
      <alignment wrapText="1"/>
    </xf>
    <xf numFmtId="0" fontId="0" fillId="3" borderId="17" xfId="0" applyFont="1" applyFill="1" applyBorder="1" applyAlignment="1">
      <alignment horizontal="left" wrapText="1"/>
    </xf>
    <xf numFmtId="3" fontId="0" fillId="3" borderId="17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/>
    </xf>
    <xf numFmtId="3" fontId="0" fillId="0" borderId="15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13" fillId="2" borderId="27" xfId="0" applyFont="1" applyFill="1" applyBorder="1" applyAlignment="1">
      <alignment horizontal="left" wrapText="1"/>
    </xf>
    <xf numFmtId="3" fontId="15" fillId="4" borderId="15" xfId="0" applyNumberFormat="1" applyFont="1" applyFill="1" applyBorder="1" applyAlignment="1">
      <alignment horizontal="right"/>
    </xf>
    <xf numFmtId="0" fontId="15" fillId="0" borderId="69" xfId="0" applyFont="1" applyBorder="1" applyAlignment="1">
      <alignment wrapText="1"/>
    </xf>
    <xf numFmtId="0" fontId="17" fillId="0" borderId="0" xfId="0" applyNumberFormat="1" applyFont="1" applyAlignment="1">
      <alignment/>
    </xf>
    <xf numFmtId="0" fontId="8" fillId="0" borderId="0" xfId="0" applyFont="1" applyAlignment="1">
      <alignment/>
    </xf>
    <xf numFmtId="3" fontId="12" fillId="0" borderId="25" xfId="0" applyNumberFormat="1" applyFont="1" applyBorder="1" applyAlignment="1">
      <alignment horizontal="right"/>
    </xf>
    <xf numFmtId="0" fontId="0" fillId="3" borderId="22" xfId="0" applyFont="1" applyFill="1" applyBorder="1" applyAlignment="1">
      <alignment/>
    </xf>
    <xf numFmtId="3" fontId="10" fillId="0" borderId="16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3" fontId="0" fillId="4" borderId="17" xfId="15" applyNumberFormat="1" applyFont="1" applyFill="1" applyBorder="1" applyAlignment="1">
      <alignment horizontal="right"/>
    </xf>
    <xf numFmtId="3" fontId="13" fillId="4" borderId="42" xfId="0" applyNumberFormat="1" applyFont="1" applyFill="1" applyBorder="1" applyAlignment="1">
      <alignment horizontal="right"/>
    </xf>
    <xf numFmtId="3" fontId="13" fillId="4" borderId="38" xfId="15" applyNumberFormat="1" applyFont="1" applyFill="1" applyBorder="1" applyAlignment="1">
      <alignment horizontal="right"/>
    </xf>
    <xf numFmtId="3" fontId="13" fillId="4" borderId="15" xfId="0" applyNumberFormat="1" applyFont="1" applyFill="1" applyBorder="1" applyAlignment="1">
      <alignment/>
    </xf>
    <xf numFmtId="3" fontId="13" fillId="4" borderId="70" xfId="0" applyNumberFormat="1" applyFont="1" applyFill="1" applyBorder="1" applyAlignment="1">
      <alignment/>
    </xf>
    <xf numFmtId="3" fontId="13" fillId="4" borderId="70" xfId="15" applyNumberFormat="1" applyFont="1" applyFill="1" applyBorder="1" applyAlignment="1">
      <alignment horizontal="right"/>
    </xf>
    <xf numFmtId="3" fontId="0" fillId="4" borderId="27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13" fillId="4" borderId="71" xfId="0" applyNumberFormat="1" applyFont="1" applyFill="1" applyBorder="1" applyAlignment="1">
      <alignment/>
    </xf>
    <xf numFmtId="3" fontId="13" fillId="4" borderId="71" xfId="15" applyNumberFormat="1" applyFont="1" applyFill="1" applyBorder="1" applyAlignment="1">
      <alignment horizontal="right"/>
    </xf>
    <xf numFmtId="3" fontId="0" fillId="4" borderId="15" xfId="15" applyNumberFormat="1" applyFont="1" applyFill="1" applyBorder="1" applyAlignment="1">
      <alignment horizontal="right"/>
    </xf>
    <xf numFmtId="3" fontId="0" fillId="4" borderId="27" xfId="15" applyNumberFormat="1" applyFont="1" applyFill="1" applyBorder="1" applyAlignment="1">
      <alignment horizontal="right"/>
    </xf>
    <xf numFmtId="3" fontId="0" fillId="4" borderId="17" xfId="15" applyNumberFormat="1" applyFont="1" applyFill="1" applyBorder="1" applyAlignment="1">
      <alignment horizontal="right"/>
    </xf>
    <xf numFmtId="3" fontId="0" fillId="4" borderId="29" xfId="15" applyNumberFormat="1" applyFont="1" applyFill="1" applyBorder="1" applyAlignment="1">
      <alignment horizontal="right"/>
    </xf>
    <xf numFmtId="3" fontId="6" fillId="4" borderId="28" xfId="15" applyNumberFormat="1" applyFont="1" applyFill="1" applyBorder="1" applyAlignment="1">
      <alignment horizontal="right"/>
    </xf>
    <xf numFmtId="3" fontId="13" fillId="4" borderId="16" xfId="15" applyNumberFormat="1" applyFont="1" applyFill="1" applyBorder="1" applyAlignment="1">
      <alignment horizontal="right"/>
    </xf>
    <xf numFmtId="3" fontId="13" fillId="4" borderId="71" xfId="0" applyNumberFormat="1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3" fontId="13" fillId="4" borderId="72" xfId="0" applyNumberFormat="1" applyFont="1" applyFill="1" applyBorder="1" applyAlignment="1">
      <alignment horizontal="right"/>
    </xf>
    <xf numFmtId="3" fontId="15" fillId="4" borderId="15" xfId="15" applyNumberFormat="1" applyFont="1" applyFill="1" applyBorder="1" applyAlignment="1">
      <alignment horizontal="right"/>
    </xf>
    <xf numFmtId="3" fontId="0" fillId="4" borderId="17" xfId="0" applyNumberFormat="1" applyFont="1" applyFill="1" applyBorder="1" applyAlignment="1">
      <alignment horizontal="right"/>
    </xf>
    <xf numFmtId="3" fontId="0" fillId="4" borderId="29" xfId="0" applyNumberFormat="1" applyFont="1" applyFill="1" applyBorder="1" applyAlignment="1">
      <alignment horizontal="right"/>
    </xf>
    <xf numFmtId="0" fontId="6" fillId="0" borderId="73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15" fillId="3" borderId="74" xfId="0" applyFont="1" applyFill="1" applyBorder="1" applyAlignment="1">
      <alignment horizontal="left" wrapText="1"/>
    </xf>
    <xf numFmtId="3" fontId="15" fillId="3" borderId="16" xfId="0" applyNumberFormat="1" applyFont="1" applyFill="1" applyBorder="1" applyAlignment="1">
      <alignment horizontal="right" wrapText="1"/>
    </xf>
    <xf numFmtId="0" fontId="12" fillId="3" borderId="17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3" fillId="3" borderId="15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>
      <alignment wrapText="1"/>
    </xf>
    <xf numFmtId="0" fontId="6" fillId="2" borderId="15" xfId="0" applyFont="1" applyFill="1" applyBorder="1" applyAlignment="1">
      <alignment/>
    </xf>
    <xf numFmtId="1" fontId="13" fillId="3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3" fontId="0" fillId="4" borderId="21" xfId="0" applyNumberFormat="1" applyFont="1" applyFill="1" applyBorder="1" applyAlignment="1">
      <alignment horizontal="right"/>
    </xf>
    <xf numFmtId="0" fontId="0" fillId="4" borderId="21" xfId="0" applyFont="1" applyFill="1" applyBorder="1" applyAlignment="1">
      <alignment horizontal="left" wrapText="1"/>
    </xf>
    <xf numFmtId="0" fontId="12" fillId="4" borderId="61" xfId="0" applyFont="1" applyFill="1" applyBorder="1" applyAlignment="1">
      <alignment horizontal="left"/>
    </xf>
    <xf numFmtId="0" fontId="12" fillId="4" borderId="13" xfId="0" applyFont="1" applyFill="1" applyBorder="1" applyAlignment="1">
      <alignment/>
    </xf>
    <xf numFmtId="3" fontId="12" fillId="0" borderId="75" xfId="0" applyNumberFormat="1" applyFont="1" applyBorder="1" applyAlignment="1">
      <alignment horizontal="right"/>
    </xf>
    <xf numFmtId="3" fontId="12" fillId="4" borderId="75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 horizontal="right"/>
    </xf>
    <xf numFmtId="3" fontId="12" fillId="4" borderId="47" xfId="0" applyNumberFormat="1" applyFont="1" applyFill="1" applyBorder="1" applyAlignment="1">
      <alignment/>
    </xf>
    <xf numFmtId="3" fontId="12" fillId="4" borderId="61" xfId="0" applyNumberFormat="1" applyFont="1" applyFill="1" applyBorder="1" applyAlignment="1">
      <alignment/>
    </xf>
    <xf numFmtId="0" fontId="12" fillId="4" borderId="15" xfId="0" applyFont="1" applyFill="1" applyBorder="1" applyAlignment="1">
      <alignment/>
    </xf>
    <xf numFmtId="3" fontId="13" fillId="0" borderId="24" xfId="0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48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4" borderId="12" xfId="0" applyFont="1" applyFill="1" applyBorder="1" applyAlignment="1">
      <alignment/>
    </xf>
    <xf numFmtId="0" fontId="6" fillId="4" borderId="12" xfId="0" applyFont="1" applyFill="1" applyBorder="1" applyAlignment="1">
      <alignment horizontal="right" wrapText="1"/>
    </xf>
    <xf numFmtId="0" fontId="6" fillId="4" borderId="70" xfId="0" applyFont="1" applyFill="1" applyBorder="1" applyAlignment="1">
      <alignment wrapText="1"/>
    </xf>
    <xf numFmtId="0" fontId="6" fillId="4" borderId="70" xfId="0" applyFont="1" applyFill="1" applyBorder="1" applyAlignment="1">
      <alignment horizontal="center" wrapText="1"/>
    </xf>
    <xf numFmtId="3" fontId="6" fillId="4" borderId="70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/>
    </xf>
    <xf numFmtId="1" fontId="6" fillId="0" borderId="17" xfId="0" applyNumberFormat="1" applyFont="1" applyBorder="1" applyAlignment="1">
      <alignment/>
    </xf>
    <xf numFmtId="3" fontId="17" fillId="0" borderId="17" xfId="0" applyNumberFormat="1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right" wrapText="1"/>
    </xf>
    <xf numFmtId="1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 wrapText="1"/>
    </xf>
    <xf numFmtId="3" fontId="17" fillId="0" borderId="15" xfId="0" applyNumberFormat="1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right" wrapText="1"/>
    </xf>
    <xf numFmtId="3" fontId="8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22" xfId="0" applyFont="1" applyBorder="1" applyAlignment="1">
      <alignment wrapText="1"/>
    </xf>
    <xf numFmtId="3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3" fillId="4" borderId="4" xfId="15" applyNumberFormat="1" applyFont="1" applyFill="1" applyBorder="1" applyAlignment="1">
      <alignment horizontal="left"/>
    </xf>
    <xf numFmtId="3" fontId="0" fillId="4" borderId="77" xfId="0" applyNumberFormat="1" applyFont="1" applyFill="1" applyBorder="1" applyAlignment="1">
      <alignment horizontal="center"/>
    </xf>
    <xf numFmtId="3" fontId="17" fillId="4" borderId="50" xfId="0" applyNumberFormat="1" applyFont="1" applyFill="1" applyBorder="1" applyAlignment="1">
      <alignment horizontal="center"/>
    </xf>
    <xf numFmtId="3" fontId="17" fillId="4" borderId="78" xfId="0" applyNumberFormat="1" applyFont="1" applyFill="1" applyBorder="1" applyAlignment="1">
      <alignment horizontal="center"/>
    </xf>
    <xf numFmtId="0" fontId="12" fillId="0" borderId="61" xfId="0" applyFont="1" applyBorder="1" applyAlignment="1">
      <alignment/>
    </xf>
    <xf numFmtId="0" fontId="12" fillId="0" borderId="25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4" borderId="79" xfId="0" applyNumberFormat="1" applyFont="1" applyFill="1" applyBorder="1" applyAlignment="1">
      <alignment vertical="center" wrapText="1"/>
    </xf>
    <xf numFmtId="3" fontId="0" fillId="4" borderId="24" xfId="0" applyNumberFormat="1" applyFont="1" applyFill="1" applyBorder="1" applyAlignment="1">
      <alignment horizontal="right"/>
    </xf>
    <xf numFmtId="3" fontId="0" fillId="4" borderId="80" xfId="0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center" wrapText="1"/>
    </xf>
    <xf numFmtId="3" fontId="12" fillId="0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3" fontId="15" fillId="0" borderId="69" xfId="0" applyNumberFormat="1" applyFont="1" applyBorder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13" fillId="2" borderId="17" xfId="0" applyFont="1" applyFill="1" applyBorder="1" applyAlignment="1">
      <alignment wrapText="1"/>
    </xf>
    <xf numFmtId="3" fontId="13" fillId="4" borderId="13" xfId="0" applyNumberFormat="1" applyFont="1" applyFill="1" applyBorder="1" applyAlignment="1">
      <alignment/>
    </xf>
    <xf numFmtId="3" fontId="13" fillId="4" borderId="23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0" fontId="0" fillId="0" borderId="60" xfId="0" applyFont="1" applyBorder="1" applyAlignment="1">
      <alignment wrapText="1"/>
    </xf>
    <xf numFmtId="3" fontId="15" fillId="4" borderId="17" xfId="15" applyNumberFormat="1" applyFont="1" applyFill="1" applyBorder="1" applyAlignment="1">
      <alignment horizontal="right"/>
    </xf>
    <xf numFmtId="0" fontId="8" fillId="0" borderId="13" xfId="0" applyFont="1" applyBorder="1" applyAlignment="1">
      <alignment/>
    </xf>
    <xf numFmtId="3" fontId="12" fillId="0" borderId="47" xfId="0" applyNumberFormat="1" applyFont="1" applyBorder="1" applyAlignment="1">
      <alignment horizontal="right" wrapText="1"/>
    </xf>
    <xf numFmtId="3" fontId="12" fillId="0" borderId="61" xfId="0" applyNumberFormat="1" applyFont="1" applyBorder="1" applyAlignment="1">
      <alignment horizontal="right" wrapText="1"/>
    </xf>
    <xf numFmtId="3" fontId="12" fillId="0" borderId="75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 wrapText="1"/>
    </xf>
    <xf numFmtId="0" fontId="12" fillId="0" borderId="21" xfId="0" applyFont="1" applyBorder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35" fillId="0" borderId="0" xfId="0" applyFont="1" applyFill="1" applyAlignment="1">
      <alignment/>
    </xf>
    <xf numFmtId="0" fontId="39" fillId="0" borderId="0" xfId="0" applyFont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2" fillId="4" borderId="13" xfId="0" applyFont="1" applyFill="1" applyBorder="1" applyAlignment="1">
      <alignment/>
    </xf>
    <xf numFmtId="0" fontId="4" fillId="4" borderId="13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3" fontId="4" fillId="4" borderId="13" xfId="0" applyNumberFormat="1" applyFont="1" applyFill="1" applyBorder="1" applyAlignment="1">
      <alignment horizontal="right"/>
    </xf>
    <xf numFmtId="0" fontId="32" fillId="0" borderId="0" xfId="0" applyFont="1" applyAlignment="1">
      <alignment vertical="center"/>
    </xf>
    <xf numFmtId="0" fontId="34" fillId="4" borderId="13" xfId="0" applyFont="1" applyFill="1" applyBorder="1" applyAlignment="1">
      <alignment/>
    </xf>
    <xf numFmtId="0" fontId="33" fillId="4" borderId="12" xfId="0" applyFont="1" applyFill="1" applyBorder="1" applyAlignment="1">
      <alignment horizontal="left" wrapText="1"/>
    </xf>
    <xf numFmtId="0" fontId="33" fillId="4" borderId="12" xfId="0" applyFont="1" applyFill="1" applyBorder="1" applyAlignment="1">
      <alignment wrapText="1"/>
    </xf>
    <xf numFmtId="0" fontId="33" fillId="4" borderId="12" xfId="0" applyFont="1" applyFill="1" applyBorder="1" applyAlignment="1">
      <alignment horizontal="center" wrapText="1"/>
    </xf>
    <xf numFmtId="3" fontId="33" fillId="4" borderId="12" xfId="0" applyNumberFormat="1" applyFont="1" applyFill="1" applyBorder="1" applyAlignment="1">
      <alignment horizontal="right"/>
    </xf>
    <xf numFmtId="0" fontId="34" fillId="0" borderId="0" xfId="0" applyFont="1" applyAlignment="1">
      <alignment vertical="center"/>
    </xf>
    <xf numFmtId="0" fontId="4" fillId="2" borderId="17" xfId="0" applyFont="1" applyFill="1" applyBorder="1" applyAlignment="1">
      <alignment/>
    </xf>
    <xf numFmtId="1" fontId="32" fillId="2" borderId="17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 wrapText="1"/>
    </xf>
    <xf numFmtId="3" fontId="4" fillId="2" borderId="17" xfId="0" applyNumberFormat="1" applyFont="1" applyFill="1" applyBorder="1" applyAlignment="1">
      <alignment horizontal="center" wrapText="1"/>
    </xf>
    <xf numFmtId="3" fontId="4" fillId="2" borderId="17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1" fontId="32" fillId="0" borderId="13" xfId="0" applyNumberFormat="1" applyFont="1" applyBorder="1" applyAlignment="1">
      <alignment/>
    </xf>
    <xf numFmtId="0" fontId="32" fillId="0" borderId="60" xfId="0" applyFont="1" applyBorder="1" applyAlignment="1">
      <alignment horizontal="left" wrapText="1"/>
    </xf>
    <xf numFmtId="3" fontId="32" fillId="0" borderId="60" xfId="0" applyNumberFormat="1" applyFont="1" applyBorder="1" applyAlignment="1">
      <alignment horizontal="right" wrapText="1"/>
    </xf>
    <xf numFmtId="3" fontId="32" fillId="0" borderId="60" xfId="0" applyNumberFormat="1" applyFont="1" applyBorder="1" applyAlignment="1">
      <alignment/>
    </xf>
    <xf numFmtId="0" fontId="34" fillId="4" borderId="70" xfId="0" applyFont="1" applyFill="1" applyBorder="1" applyAlignment="1">
      <alignment/>
    </xf>
    <xf numFmtId="0" fontId="33" fillId="4" borderId="38" xfId="0" applyFont="1" applyFill="1" applyBorder="1" applyAlignment="1">
      <alignment horizontal="left" wrapText="1"/>
    </xf>
    <xf numFmtId="0" fontId="33" fillId="4" borderId="38" xfId="0" applyFont="1" applyFill="1" applyBorder="1" applyAlignment="1">
      <alignment wrapText="1"/>
    </xf>
    <xf numFmtId="0" fontId="33" fillId="4" borderId="38" xfId="0" applyFont="1" applyFill="1" applyBorder="1" applyAlignment="1">
      <alignment horizontal="center" wrapText="1"/>
    </xf>
    <xf numFmtId="3" fontId="33" fillId="4" borderId="38" xfId="0" applyNumberFormat="1" applyFont="1" applyFill="1" applyBorder="1" applyAlignment="1">
      <alignment horizontal="right"/>
    </xf>
    <xf numFmtId="3" fontId="33" fillId="4" borderId="13" xfId="0" applyNumberFormat="1" applyFont="1" applyFill="1" applyBorder="1" applyAlignment="1">
      <alignment horizontal="right"/>
    </xf>
    <xf numFmtId="3" fontId="6" fillId="4" borderId="16" xfId="15" applyNumberFormat="1" applyFont="1" applyFill="1" applyBorder="1" applyAlignment="1">
      <alignment horizontal="right"/>
    </xf>
    <xf numFmtId="3" fontId="13" fillId="4" borderId="81" xfId="15" applyNumberFormat="1" applyFont="1" applyFill="1" applyBorder="1" applyAlignment="1">
      <alignment horizontal="right"/>
    </xf>
    <xf numFmtId="3" fontId="13" fillId="4" borderId="82" xfId="15" applyNumberFormat="1" applyFont="1" applyFill="1" applyBorder="1" applyAlignment="1">
      <alignment horizontal="right"/>
    </xf>
    <xf numFmtId="0" fontId="5" fillId="2" borderId="46" xfId="0" applyFont="1" applyFill="1" applyBorder="1" applyAlignment="1">
      <alignment wrapText="1"/>
    </xf>
    <xf numFmtId="3" fontId="5" fillId="2" borderId="17" xfId="0" applyNumberFormat="1" applyFont="1" applyFill="1" applyBorder="1" applyAlignment="1">
      <alignment/>
    </xf>
    <xf numFmtId="0" fontId="40" fillId="0" borderId="0" xfId="0" applyFont="1" applyAlignment="1">
      <alignment/>
    </xf>
    <xf numFmtId="3" fontId="12" fillId="0" borderId="75" xfId="0" applyNumberFormat="1" applyFont="1" applyFill="1" applyBorder="1" applyAlignment="1">
      <alignment horizontal="right"/>
    </xf>
    <xf numFmtId="3" fontId="23" fillId="0" borderId="14" xfId="18" applyNumberFormat="1" applyFont="1" applyFill="1" applyBorder="1" applyAlignment="1">
      <alignment/>
      <protection/>
    </xf>
    <xf numFmtId="3" fontId="23" fillId="0" borderId="14" xfId="18" applyNumberFormat="1" applyFont="1" applyFill="1" applyBorder="1" applyAlignment="1">
      <alignment horizontal="center"/>
      <protection/>
    </xf>
    <xf numFmtId="3" fontId="23" fillId="0" borderId="14" xfId="18" applyNumberFormat="1" applyFont="1" applyFill="1" applyBorder="1" applyAlignment="1">
      <alignment horizontal="right"/>
      <protection/>
    </xf>
    <xf numFmtId="3" fontId="12" fillId="0" borderId="25" xfId="0" applyNumberFormat="1" applyFont="1" applyBorder="1" applyAlignment="1">
      <alignment/>
    </xf>
    <xf numFmtId="0" fontId="12" fillId="0" borderId="83" xfId="0" applyFont="1" applyBorder="1" applyAlignment="1">
      <alignment/>
    </xf>
    <xf numFmtId="3" fontId="12" fillId="0" borderId="8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wrapText="1"/>
    </xf>
    <xf numFmtId="3" fontId="12" fillId="0" borderId="84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 wrapText="1"/>
    </xf>
    <xf numFmtId="3" fontId="0" fillId="0" borderId="22" xfId="0" applyNumberFormat="1" applyFont="1" applyFill="1" applyBorder="1" applyAlignment="1">
      <alignment/>
    </xf>
    <xf numFmtId="3" fontId="13" fillId="4" borderId="85" xfId="0" applyNumberFormat="1" applyFont="1" applyFill="1" applyBorder="1" applyAlignment="1">
      <alignment horizontal="left" vertical="center"/>
    </xf>
    <xf numFmtId="3" fontId="13" fillId="4" borderId="69" xfId="0" applyNumberFormat="1" applyFont="1" applyFill="1" applyBorder="1" applyAlignment="1">
      <alignment horizontal="right"/>
    </xf>
    <xf numFmtId="3" fontId="13" fillId="4" borderId="69" xfId="15" applyNumberFormat="1" applyFont="1" applyFill="1" applyBorder="1" applyAlignment="1">
      <alignment horizontal="right"/>
    </xf>
    <xf numFmtId="0" fontId="6" fillId="0" borderId="86" xfId="18" applyFont="1" applyFill="1" applyBorder="1" applyAlignment="1">
      <alignment horizontal="left" wrapText="1"/>
      <protection/>
    </xf>
    <xf numFmtId="3" fontId="27" fillId="0" borderId="86" xfId="18" applyNumberFormat="1" applyFont="1" applyFill="1" applyBorder="1" applyAlignment="1">
      <alignment horizontal="right" wrapText="1"/>
      <protection/>
    </xf>
    <xf numFmtId="0" fontId="0" fillId="0" borderId="13" xfId="0" applyFont="1" applyFill="1" applyBorder="1" applyAlignment="1">
      <alignment wrapText="1"/>
    </xf>
    <xf numFmtId="3" fontId="24" fillId="0" borderId="87" xfId="18" applyNumberFormat="1" applyFont="1" applyFill="1" applyBorder="1" applyAlignment="1">
      <alignment/>
      <protection/>
    </xf>
    <xf numFmtId="3" fontId="23" fillId="0" borderId="25" xfId="18" applyNumberFormat="1" applyFont="1" applyFill="1" applyBorder="1" applyAlignment="1">
      <alignment horizontal="right"/>
      <protection/>
    </xf>
    <xf numFmtId="0" fontId="12" fillId="0" borderId="24" xfId="0" applyFont="1" applyBorder="1" applyAlignment="1">
      <alignment/>
    </xf>
    <xf numFmtId="3" fontId="12" fillId="0" borderId="83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0" fontId="14" fillId="4" borderId="24" xfId="0" applyFont="1" applyFill="1" applyBorder="1" applyAlignment="1">
      <alignment horizontal="center"/>
    </xf>
    <xf numFmtId="0" fontId="0" fillId="3" borderId="60" xfId="0" applyFont="1" applyFill="1" applyBorder="1" applyAlignment="1">
      <alignment/>
    </xf>
    <xf numFmtId="3" fontId="12" fillId="3" borderId="17" xfId="0" applyNumberFormat="1" applyFont="1" applyFill="1" applyBorder="1" applyAlignment="1">
      <alignment horizontal="right"/>
    </xf>
    <xf numFmtId="0" fontId="12" fillId="0" borderId="13" xfId="0" applyFont="1" applyBorder="1" applyAlignment="1">
      <alignment wrapText="1"/>
    </xf>
    <xf numFmtId="0" fontId="8" fillId="0" borderId="24" xfId="0" applyFont="1" applyBorder="1" applyAlignment="1">
      <alignment/>
    </xf>
    <xf numFmtId="3" fontId="12" fillId="4" borderId="15" xfId="0" applyNumberFormat="1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17" xfId="0" applyFont="1" applyFill="1" applyBorder="1" applyAlignment="1">
      <alignment/>
    </xf>
    <xf numFmtId="3" fontId="32" fillId="0" borderId="17" xfId="0" applyNumberFormat="1" applyFont="1" applyBorder="1" applyAlignment="1">
      <alignment horizontal="center" wrapText="1"/>
    </xf>
    <xf numFmtId="3" fontId="32" fillId="0" borderId="17" xfId="0" applyNumberFormat="1" applyFont="1" applyBorder="1" applyAlignment="1">
      <alignment wrapText="1"/>
    </xf>
    <xf numFmtId="1" fontId="32" fillId="0" borderId="17" xfId="0" applyNumberFormat="1" applyFont="1" applyBorder="1" applyAlignment="1">
      <alignment horizontal="center" wrapText="1"/>
    </xf>
    <xf numFmtId="3" fontId="32" fillId="0" borderId="17" xfId="0" applyNumberFormat="1" applyFont="1" applyBorder="1" applyAlignment="1">
      <alignment horizontal="right" wrapText="1"/>
    </xf>
    <xf numFmtId="0" fontId="12" fillId="0" borderId="88" xfId="0" applyFont="1" applyFill="1" applyBorder="1" applyAlignment="1">
      <alignment wrapText="1"/>
    </xf>
    <xf numFmtId="0" fontId="12" fillId="0" borderId="75" xfId="0" applyFont="1" applyBorder="1" applyAlignment="1">
      <alignment wrapText="1"/>
    </xf>
    <xf numFmtId="3" fontId="12" fillId="0" borderId="88" xfId="0" applyNumberFormat="1" applyFont="1" applyFill="1" applyBorder="1" applyAlignment="1">
      <alignment horizontal="right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vertical="top"/>
    </xf>
    <xf numFmtId="3" fontId="0" fillId="0" borderId="59" xfId="0" applyNumberFormat="1" applyFont="1" applyBorder="1" applyAlignment="1">
      <alignment/>
    </xf>
    <xf numFmtId="0" fontId="0" fillId="0" borderId="89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0" fontId="24" fillId="0" borderId="47" xfId="0" applyFont="1" applyBorder="1" applyAlignment="1">
      <alignment wrapText="1"/>
    </xf>
    <xf numFmtId="0" fontId="24" fillId="0" borderId="61" xfId="0" applyFont="1" applyBorder="1" applyAlignment="1">
      <alignment wrapText="1"/>
    </xf>
    <xf numFmtId="0" fontId="24" fillId="0" borderId="90" xfId="0" applyFont="1" applyBorder="1" applyAlignment="1">
      <alignment wrapText="1"/>
    </xf>
    <xf numFmtId="3" fontId="0" fillId="0" borderId="13" xfId="0" applyNumberFormat="1" applyFont="1" applyBorder="1" applyAlignment="1">
      <alignment horizontal="right" wrapText="1"/>
    </xf>
    <xf numFmtId="3" fontId="13" fillId="0" borderId="17" xfId="0" applyNumberFormat="1" applyFont="1" applyBorder="1" applyAlignment="1">
      <alignment horizontal="right" wrapText="1"/>
    </xf>
    <xf numFmtId="0" fontId="0" fillId="0" borderId="24" xfId="0" applyFont="1" applyBorder="1" applyAlignment="1">
      <alignment/>
    </xf>
    <xf numFmtId="0" fontId="3" fillId="2" borderId="15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25" xfId="0" applyFont="1" applyFill="1" applyBorder="1" applyAlignment="1">
      <alignment wrapText="1"/>
    </xf>
    <xf numFmtId="3" fontId="23" fillId="0" borderId="91" xfId="18" applyNumberFormat="1" applyFont="1" applyFill="1" applyBorder="1" applyAlignment="1">
      <alignment/>
      <protection/>
    </xf>
    <xf numFmtId="3" fontId="23" fillId="0" borderId="91" xfId="18" applyNumberFormat="1" applyFont="1" applyFill="1" applyBorder="1" applyAlignment="1">
      <alignment horizontal="center"/>
      <protection/>
    </xf>
    <xf numFmtId="3" fontId="23" fillId="0" borderId="91" xfId="18" applyNumberFormat="1" applyFont="1" applyFill="1" applyBorder="1" applyAlignment="1">
      <alignment horizontal="right"/>
      <protection/>
    </xf>
    <xf numFmtId="0" fontId="12" fillId="0" borderId="90" xfId="0" applyFont="1" applyBorder="1" applyAlignment="1">
      <alignment wrapText="1"/>
    </xf>
    <xf numFmtId="0" fontId="12" fillId="0" borderId="88" xfId="0" applyFont="1" applyBorder="1" applyAlignment="1">
      <alignment wrapText="1"/>
    </xf>
    <xf numFmtId="0" fontId="25" fillId="0" borderId="61" xfId="0" applyFont="1" applyBorder="1" applyAlignment="1">
      <alignment horizontal="left" wrapText="1"/>
    </xf>
    <xf numFmtId="0" fontId="25" fillId="0" borderId="90" xfId="0" applyFont="1" applyBorder="1" applyAlignment="1">
      <alignment horizontal="left" wrapText="1"/>
    </xf>
    <xf numFmtId="3" fontId="12" fillId="0" borderId="47" xfId="0" applyNumberFormat="1" applyFont="1" applyFill="1" applyBorder="1" applyAlignment="1">
      <alignment horizontal="right" wrapText="1"/>
    </xf>
    <xf numFmtId="3" fontId="12" fillId="0" borderId="61" xfId="0" applyNumberFormat="1" applyFont="1" applyFill="1" applyBorder="1" applyAlignment="1">
      <alignment horizontal="right" wrapText="1"/>
    </xf>
    <xf numFmtId="3" fontId="12" fillId="0" borderId="75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 wrapText="1"/>
    </xf>
    <xf numFmtId="3" fontId="13" fillId="4" borderId="92" xfId="15" applyNumberFormat="1" applyFont="1" applyFill="1" applyBorder="1" applyAlignment="1">
      <alignment horizontal="center"/>
    </xf>
    <xf numFmtId="3" fontId="0" fillId="4" borderId="78" xfId="0" applyNumberFormat="1" applyFont="1" applyFill="1" applyBorder="1" applyAlignment="1">
      <alignment horizontal="center"/>
    </xf>
    <xf numFmtId="0" fontId="12" fillId="0" borderId="84" xfId="0" applyFont="1" applyBorder="1" applyAlignment="1">
      <alignment wrapText="1"/>
    </xf>
    <xf numFmtId="0" fontId="15" fillId="2" borderId="17" xfId="0" applyFont="1" applyFill="1" applyBorder="1" applyAlignment="1">
      <alignment/>
    </xf>
    <xf numFmtId="3" fontId="41" fillId="0" borderId="13" xfId="0" applyNumberFormat="1" applyFont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13" fillId="2" borderId="17" xfId="0" applyNumberFormat="1" applyFont="1" applyFill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0" fontId="12" fillId="0" borderId="47" xfId="0" applyFont="1" applyFill="1" applyBorder="1" applyAlignment="1">
      <alignment wrapText="1"/>
    </xf>
    <xf numFmtId="3" fontId="12" fillId="0" borderId="47" xfId="0" applyNumberFormat="1" applyFont="1" applyFill="1" applyBorder="1" applyAlignment="1">
      <alignment/>
    </xf>
    <xf numFmtId="3" fontId="15" fillId="0" borderId="30" xfId="0" applyNumberFormat="1" applyFont="1" applyBorder="1" applyAlignment="1">
      <alignment/>
    </xf>
    <xf numFmtId="0" fontId="15" fillId="0" borderId="38" xfId="0" applyFont="1" applyBorder="1" applyAlignment="1">
      <alignment/>
    </xf>
    <xf numFmtId="3" fontId="15" fillId="0" borderId="38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wrapText="1"/>
    </xf>
    <xf numFmtId="3" fontId="0" fillId="0" borderId="60" xfId="0" applyNumberFormat="1" applyFont="1" applyFill="1" applyBorder="1" applyAlignment="1">
      <alignment horizontal="right"/>
    </xf>
    <xf numFmtId="0" fontId="0" fillId="0" borderId="25" xfId="0" applyFont="1" applyBorder="1" applyAlignment="1">
      <alignment wrapText="1"/>
    </xf>
    <xf numFmtId="3" fontId="0" fillId="0" borderId="25" xfId="0" applyNumberFormat="1" applyFont="1" applyFill="1" applyBorder="1" applyAlignment="1">
      <alignment horizontal="right" wrapText="1"/>
    </xf>
    <xf numFmtId="0" fontId="12" fillId="0" borderId="84" xfId="0" applyFont="1" applyFill="1" applyBorder="1" applyAlignment="1">
      <alignment wrapText="1"/>
    </xf>
    <xf numFmtId="0" fontId="0" fillId="0" borderId="75" xfId="0" applyFont="1" applyBorder="1" applyAlignment="1">
      <alignment wrapText="1"/>
    </xf>
    <xf numFmtId="3" fontId="0" fillId="0" borderId="75" xfId="0" applyNumberFormat="1" applyFont="1" applyFill="1" applyBorder="1" applyAlignment="1">
      <alignment horizontal="right" wrapText="1"/>
    </xf>
    <xf numFmtId="3" fontId="0" fillId="0" borderId="75" xfId="0" applyNumberFormat="1" applyFont="1" applyFill="1" applyBorder="1" applyAlignment="1">
      <alignment horizontal="right"/>
    </xf>
    <xf numFmtId="0" fontId="0" fillId="0" borderId="60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0" fontId="12" fillId="0" borderId="47" xfId="0" applyFont="1" applyBorder="1" applyAlignment="1">
      <alignment/>
    </xf>
    <xf numFmtId="3" fontId="12" fillId="0" borderId="47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3" fontId="12" fillId="0" borderId="47" xfId="0" applyNumberFormat="1" applyFont="1" applyFill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0" fontId="0" fillId="0" borderId="75" xfId="0" applyFont="1" applyBorder="1" applyAlignment="1">
      <alignment/>
    </xf>
    <xf numFmtId="0" fontId="12" fillId="0" borderId="93" xfId="0" applyFont="1" applyBorder="1" applyAlignment="1">
      <alignment/>
    </xf>
    <xf numFmtId="3" fontId="12" fillId="0" borderId="93" xfId="0" applyNumberFormat="1" applyFont="1" applyFill="1" applyBorder="1" applyAlignment="1">
      <alignment horizontal="right"/>
    </xf>
    <xf numFmtId="0" fontId="12" fillId="0" borderId="75" xfId="0" applyFont="1" applyBorder="1" applyAlignment="1">
      <alignment/>
    </xf>
    <xf numFmtId="3" fontId="0" fillId="0" borderId="25" xfId="0" applyNumberFormat="1" applyFont="1" applyBorder="1" applyAlignment="1">
      <alignment/>
    </xf>
    <xf numFmtId="1" fontId="13" fillId="3" borderId="70" xfId="0" applyNumberFormat="1" applyFont="1" applyFill="1" applyBorder="1" applyAlignment="1">
      <alignment/>
    </xf>
    <xf numFmtId="3" fontId="13" fillId="3" borderId="70" xfId="0" applyNumberFormat="1" applyFont="1" applyFill="1" applyBorder="1" applyAlignment="1">
      <alignment wrapText="1"/>
    </xf>
    <xf numFmtId="3" fontId="13" fillId="0" borderId="94" xfId="0" applyNumberFormat="1" applyFont="1" applyBorder="1" applyAlignment="1">
      <alignment wrapText="1"/>
    </xf>
    <xf numFmtId="3" fontId="13" fillId="0" borderId="95" xfId="0" applyNumberFormat="1" applyFont="1" applyBorder="1" applyAlignment="1">
      <alignment wrapText="1"/>
    </xf>
    <xf numFmtId="3" fontId="13" fillId="0" borderId="96" xfId="0" applyNumberFormat="1" applyFont="1" applyBorder="1" applyAlignment="1">
      <alignment wrapText="1"/>
    </xf>
    <xf numFmtId="3" fontId="13" fillId="0" borderId="70" xfId="0" applyNumberFormat="1" applyFont="1" applyBorder="1" applyAlignment="1">
      <alignment wrapText="1"/>
    </xf>
    <xf numFmtId="3" fontId="13" fillId="0" borderId="82" xfId="0" applyNumberFormat="1" applyFont="1" applyBorder="1" applyAlignment="1">
      <alignment wrapText="1"/>
    </xf>
    <xf numFmtId="1" fontId="13" fillId="3" borderId="97" xfId="0" applyNumberFormat="1" applyFont="1" applyFill="1" applyBorder="1" applyAlignment="1">
      <alignment/>
    </xf>
    <xf numFmtId="1" fontId="0" fillId="0" borderId="97" xfId="0" applyNumberFormat="1" applyFont="1" applyFill="1" applyBorder="1" applyAlignment="1">
      <alignment/>
    </xf>
    <xf numFmtId="3" fontId="0" fillId="0" borderId="97" xfId="0" applyNumberFormat="1" applyFont="1" applyBorder="1" applyAlignment="1">
      <alignment wrapText="1"/>
    </xf>
    <xf numFmtId="0" fontId="13" fillId="3" borderId="15" xfId="0" applyFont="1" applyFill="1" applyBorder="1" applyAlignment="1">
      <alignment/>
    </xf>
    <xf numFmtId="0" fontId="13" fillId="3" borderId="15" xfId="0" applyFont="1" applyFill="1" applyBorder="1" applyAlignment="1">
      <alignment horizontal="left" wrapText="1"/>
    </xf>
    <xf numFmtId="3" fontId="13" fillId="3" borderId="15" xfId="0" applyNumberFormat="1" applyFont="1" applyFill="1" applyBorder="1" applyAlignment="1">
      <alignment horizontal="right" wrapText="1"/>
    </xf>
    <xf numFmtId="0" fontId="0" fillId="3" borderId="97" xfId="0" applyFont="1" applyFill="1" applyBorder="1" applyAlignment="1">
      <alignment/>
    </xf>
    <xf numFmtId="0" fontId="0" fillId="3" borderId="97" xfId="0" applyFont="1" applyFill="1" applyBorder="1" applyAlignment="1">
      <alignment horizontal="left" wrapText="1"/>
    </xf>
    <xf numFmtId="3" fontId="0" fillId="3" borderId="97" xfId="0" applyNumberFormat="1" applyFont="1" applyFill="1" applyBorder="1" applyAlignment="1">
      <alignment horizontal="right" wrapText="1"/>
    </xf>
    <xf numFmtId="3" fontId="12" fillId="3" borderId="15" xfId="0" applyNumberFormat="1" applyFont="1" applyFill="1" applyBorder="1" applyAlignment="1">
      <alignment horizontal="right"/>
    </xf>
    <xf numFmtId="0" fontId="12" fillId="0" borderId="97" xfId="0" applyFont="1" applyBorder="1" applyAlignment="1">
      <alignment/>
    </xf>
    <xf numFmtId="0" fontId="14" fillId="0" borderId="13" xfId="0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2" fillId="4" borderId="88" xfId="0" applyNumberFormat="1" applyFont="1" applyFill="1" applyBorder="1" applyAlignment="1">
      <alignment/>
    </xf>
    <xf numFmtId="0" fontId="13" fillId="0" borderId="97" xfId="0" applyFont="1" applyBorder="1" applyAlignment="1">
      <alignment/>
    </xf>
    <xf numFmtId="0" fontId="12" fillId="0" borderId="97" xfId="0" applyFont="1" applyBorder="1" applyAlignment="1">
      <alignment wrapText="1"/>
    </xf>
    <xf numFmtId="3" fontId="12" fillId="4" borderId="97" xfId="0" applyNumberFormat="1" applyFont="1" applyFill="1" applyBorder="1" applyAlignment="1">
      <alignment/>
    </xf>
    <xf numFmtId="0" fontId="12" fillId="3" borderId="97" xfId="0" applyFont="1" applyFill="1" applyBorder="1" applyAlignment="1">
      <alignment/>
    </xf>
    <xf numFmtId="0" fontId="12" fillId="0" borderId="97" xfId="0" applyFont="1" applyBorder="1" applyAlignment="1">
      <alignment/>
    </xf>
    <xf numFmtId="0" fontId="12" fillId="0" borderId="97" xfId="0" applyFont="1" applyFill="1" applyBorder="1" applyAlignment="1">
      <alignment/>
    </xf>
    <xf numFmtId="0" fontId="12" fillId="0" borderId="97" xfId="0" applyFont="1" applyFill="1" applyBorder="1" applyAlignment="1">
      <alignment wrapText="1"/>
    </xf>
    <xf numFmtId="3" fontId="12" fillId="0" borderId="97" xfId="0" applyNumberFormat="1" applyFont="1" applyFill="1" applyBorder="1" applyAlignment="1">
      <alignment horizontal="right"/>
    </xf>
    <xf numFmtId="3" fontId="12" fillId="0" borderId="90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/>
    </xf>
    <xf numFmtId="0" fontId="25" fillId="0" borderId="75" xfId="0" applyFont="1" applyBorder="1" applyAlignment="1">
      <alignment horizontal="left" wrapText="1"/>
    </xf>
    <xf numFmtId="0" fontId="0" fillId="3" borderId="15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 horizontal="right" wrapText="1"/>
    </xf>
    <xf numFmtId="3" fontId="12" fillId="0" borderId="90" xfId="0" applyNumberFormat="1" applyFont="1" applyBorder="1" applyAlignment="1">
      <alignment horizontal="right" wrapText="1"/>
    </xf>
    <xf numFmtId="0" fontId="24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14" fillId="0" borderId="13" xfId="0" applyFont="1" applyBorder="1" applyAlignment="1">
      <alignment horizontal="center"/>
    </xf>
    <xf numFmtId="0" fontId="12" fillId="0" borderId="17" xfId="0" applyFont="1" applyFill="1" applyBorder="1" applyAlignment="1">
      <alignment wrapText="1"/>
    </xf>
    <xf numFmtId="3" fontId="12" fillId="0" borderId="17" xfId="0" applyNumberFormat="1" applyFont="1" applyBorder="1" applyAlignment="1">
      <alignment wrapText="1"/>
    </xf>
    <xf numFmtId="3" fontId="12" fillId="3" borderId="17" xfId="0" applyNumberFormat="1" applyFont="1" applyFill="1" applyBorder="1" applyAlignment="1">
      <alignment horizontal="right"/>
    </xf>
    <xf numFmtId="0" fontId="15" fillId="0" borderId="30" xfId="0" applyFont="1" applyBorder="1" applyAlignment="1">
      <alignment wrapText="1"/>
    </xf>
    <xf numFmtId="3" fontId="15" fillId="0" borderId="30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wrapText="1"/>
    </xf>
    <xf numFmtId="0" fontId="12" fillId="3" borderId="97" xfId="0" applyFont="1" applyFill="1" applyBorder="1" applyAlignment="1">
      <alignment/>
    </xf>
    <xf numFmtId="3" fontId="12" fillId="0" borderId="97" xfId="0" applyNumberFormat="1" applyFont="1" applyFill="1" applyBorder="1" applyAlignment="1">
      <alignment horizontal="right"/>
    </xf>
    <xf numFmtId="3" fontId="12" fillId="0" borderId="97" xfId="0" applyNumberFormat="1" applyFont="1" applyBorder="1" applyAlignment="1">
      <alignment horizontal="right"/>
    </xf>
    <xf numFmtId="3" fontId="18" fillId="0" borderId="16" xfId="0" applyNumberFormat="1" applyFont="1" applyFill="1" applyBorder="1" applyAlignment="1">
      <alignment/>
    </xf>
    <xf numFmtId="3" fontId="18" fillId="4" borderId="7" xfId="0" applyNumberFormat="1" applyFont="1" applyFill="1" applyBorder="1" applyAlignment="1">
      <alignment/>
    </xf>
    <xf numFmtId="3" fontId="18" fillId="4" borderId="98" xfId="0" applyNumberFormat="1" applyFont="1" applyFill="1" applyBorder="1" applyAlignment="1">
      <alignment/>
    </xf>
    <xf numFmtId="3" fontId="18" fillId="4" borderId="16" xfId="0" applyNumberFormat="1" applyFont="1" applyFill="1" applyBorder="1" applyAlignment="1">
      <alignment/>
    </xf>
    <xf numFmtId="3" fontId="18" fillId="4" borderId="28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 wrapText="1"/>
    </xf>
    <xf numFmtId="49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15" fillId="0" borderId="69" xfId="0" applyNumberFormat="1" applyFont="1" applyBorder="1" applyAlignment="1">
      <alignment horizontal="right"/>
    </xf>
    <xf numFmtId="3" fontId="15" fillId="0" borderId="99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3" fontId="15" fillId="0" borderId="100" xfId="0" applyNumberFormat="1" applyFont="1" applyBorder="1" applyAlignment="1">
      <alignment horizontal="right"/>
    </xf>
    <xf numFmtId="49" fontId="15" fillId="0" borderId="69" xfId="0" applyNumberFormat="1" applyFont="1" applyBorder="1" applyAlignment="1">
      <alignment wrapText="1"/>
    </xf>
    <xf numFmtId="0" fontId="13" fillId="4" borderId="76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3" fontId="6" fillId="4" borderId="82" xfId="0" applyNumberFormat="1" applyFont="1" applyFill="1" applyBorder="1" applyAlignment="1">
      <alignment horizontal="right"/>
    </xf>
    <xf numFmtId="3" fontId="6" fillId="2" borderId="45" xfId="0" applyNumberFormat="1" applyFont="1" applyFill="1" applyBorder="1" applyAlignment="1">
      <alignment horizontal="right"/>
    </xf>
    <xf numFmtId="3" fontId="6" fillId="0" borderId="26" xfId="0" applyNumberFormat="1" applyFont="1" applyBorder="1" applyAlignment="1">
      <alignment horizontal="right" wrapText="1"/>
    </xf>
    <xf numFmtId="3" fontId="8" fillId="0" borderId="46" xfId="0" applyNumberFormat="1" applyFont="1" applyBorder="1" applyAlignment="1">
      <alignment/>
    </xf>
    <xf numFmtId="0" fontId="13" fillId="4" borderId="101" xfId="0" applyFont="1" applyFill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/>
    </xf>
    <xf numFmtId="3" fontId="6" fillId="4" borderId="102" xfId="0" applyNumberFormat="1" applyFont="1" applyFill="1" applyBorder="1" applyAlignment="1">
      <alignment horizontal="right"/>
    </xf>
    <xf numFmtId="3" fontId="6" fillId="2" borderId="103" xfId="0" applyNumberFormat="1" applyFont="1" applyFill="1" applyBorder="1" applyAlignment="1">
      <alignment/>
    </xf>
    <xf numFmtId="3" fontId="6" fillId="0" borderId="104" xfId="0" applyNumberFormat="1" applyFont="1" applyBorder="1" applyAlignment="1">
      <alignment horizontal="right" wrapText="1"/>
    </xf>
    <xf numFmtId="3" fontId="8" fillId="0" borderId="105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25" xfId="0" applyFont="1" applyBorder="1" applyAlignment="1">
      <alignment/>
    </xf>
    <xf numFmtId="3" fontId="12" fillId="0" borderId="13" xfId="0" applyNumberFormat="1" applyFont="1" applyFill="1" applyBorder="1" applyAlignment="1">
      <alignment horizontal="right" wrapText="1"/>
    </xf>
    <xf numFmtId="3" fontId="12" fillId="0" borderId="84" xfId="0" applyNumberFormat="1" applyFont="1" applyBorder="1" applyAlignment="1">
      <alignment horizontal="right"/>
    </xf>
    <xf numFmtId="0" fontId="15" fillId="0" borderId="70" xfId="0" applyFont="1" applyBorder="1" applyAlignment="1">
      <alignment/>
    </xf>
    <xf numFmtId="3" fontId="15" fillId="0" borderId="70" xfId="0" applyNumberFormat="1" applyFont="1" applyBorder="1" applyAlignment="1">
      <alignment/>
    </xf>
    <xf numFmtId="0" fontId="0" fillId="0" borderId="97" xfId="0" applyFont="1" applyBorder="1" applyAlignment="1">
      <alignment/>
    </xf>
    <xf numFmtId="3" fontId="12" fillId="0" borderId="97" xfId="0" applyNumberFormat="1" applyFont="1" applyFill="1" applyBorder="1" applyAlignment="1">
      <alignment horizontal="right" wrapText="1"/>
    </xf>
    <xf numFmtId="0" fontId="3" fillId="0" borderId="26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/>
    </xf>
    <xf numFmtId="0" fontId="3" fillId="0" borderId="97" xfId="0" applyFont="1" applyFill="1" applyBorder="1" applyAlignment="1">
      <alignment/>
    </xf>
    <xf numFmtId="0" fontId="3" fillId="0" borderId="97" xfId="0" applyFont="1" applyFill="1" applyBorder="1" applyAlignment="1">
      <alignment wrapText="1"/>
    </xf>
    <xf numFmtId="3" fontId="3" fillId="0" borderId="97" xfId="0" applyNumberFormat="1" applyFont="1" applyFill="1" applyBorder="1" applyAlignment="1">
      <alignment/>
    </xf>
    <xf numFmtId="3" fontId="0" fillId="0" borderId="84" xfId="0" applyNumberFormat="1" applyFont="1" applyFill="1" applyBorder="1" applyAlignment="1">
      <alignment horizontal="right" wrapText="1"/>
    </xf>
    <xf numFmtId="0" fontId="0" fillId="3" borderId="97" xfId="0" applyFont="1" applyFill="1" applyBorder="1" applyAlignment="1">
      <alignment/>
    </xf>
    <xf numFmtId="0" fontId="0" fillId="0" borderId="97" xfId="0" applyFont="1" applyFill="1" applyBorder="1" applyAlignment="1">
      <alignment wrapText="1"/>
    </xf>
    <xf numFmtId="3" fontId="0" fillId="0" borderId="97" xfId="0" applyNumberFormat="1" applyFont="1" applyFill="1" applyBorder="1" applyAlignment="1">
      <alignment horizontal="right" wrapText="1"/>
    </xf>
    <xf numFmtId="0" fontId="0" fillId="0" borderId="84" xfId="0" applyFont="1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/>
    </xf>
    <xf numFmtId="3" fontId="0" fillId="0" borderId="84" xfId="0" applyNumberFormat="1" applyFont="1" applyFill="1" applyBorder="1" applyAlignment="1">
      <alignment horizontal="right"/>
    </xf>
    <xf numFmtId="0" fontId="0" fillId="0" borderId="97" xfId="0" applyFont="1" applyBorder="1" applyAlignment="1">
      <alignment/>
    </xf>
    <xf numFmtId="0" fontId="0" fillId="0" borderId="97" xfId="0" applyFont="1" applyBorder="1" applyAlignment="1">
      <alignment/>
    </xf>
    <xf numFmtId="3" fontId="0" fillId="0" borderId="97" xfId="0" applyNumberFormat="1" applyFont="1" applyFill="1" applyBorder="1" applyAlignment="1">
      <alignment horizontal="right"/>
    </xf>
    <xf numFmtId="0" fontId="0" fillId="3" borderId="2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13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4" borderId="106" xfId="0" applyFont="1" applyFill="1" applyBorder="1" applyAlignment="1">
      <alignment horizontal="left" vertical="center" wrapText="1"/>
    </xf>
    <xf numFmtId="0" fontId="0" fillId="0" borderId="107" xfId="0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5" fillId="4" borderId="106" xfId="0" applyFont="1" applyFill="1" applyBorder="1" applyAlignment="1">
      <alignment horizontal="left" vertical="center" wrapText="1"/>
    </xf>
    <xf numFmtId="0" fontId="5" fillId="4" borderId="107" xfId="0" applyFont="1" applyFill="1" applyBorder="1" applyAlignment="1">
      <alignment horizontal="left" vertical="center" wrapText="1"/>
    </xf>
    <xf numFmtId="0" fontId="5" fillId="4" borderId="76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13" fillId="4" borderId="107" xfId="0" applyFont="1" applyFill="1" applyBorder="1" applyAlignment="1">
      <alignment horizontal="left" vertical="center" wrapText="1"/>
    </xf>
    <xf numFmtId="0" fontId="13" fillId="4" borderId="76" xfId="0" applyFont="1" applyFill="1" applyBorder="1" applyAlignment="1">
      <alignment horizontal="left" vertical="center" wrapText="1"/>
    </xf>
    <xf numFmtId="0" fontId="13" fillId="4" borderId="108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3" fontId="13" fillId="4" borderId="106" xfId="15" applyNumberFormat="1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mniejszenia-zwiększeni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4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5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6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7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8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9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0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1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2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3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4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5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6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7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8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9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0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1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2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3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4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5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6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7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8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9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0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1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2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3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4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5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6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7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8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9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0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1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2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3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4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5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6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7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8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9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0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1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2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3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4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5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6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7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8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9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0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1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2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3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4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5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6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7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8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9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0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1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2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3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4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5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6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7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8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9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0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1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2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3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4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5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6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7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8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9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0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1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2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3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4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5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6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7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8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9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0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1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2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3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4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5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6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7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8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9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0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1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2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3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4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5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6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7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8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9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0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1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2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3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4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5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6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7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8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9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0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1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2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3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4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5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6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7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8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9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0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1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2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3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4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5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6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7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8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9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0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1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2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3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4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5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6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7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8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9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0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1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2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3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4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5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6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7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8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9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0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1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2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3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4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5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6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7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8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9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0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1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2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3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4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5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6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7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8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9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0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1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2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3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4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5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6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7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8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9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0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1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2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3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4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5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6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7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8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9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0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1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2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3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4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5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6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7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8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9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0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1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2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3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4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5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6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7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8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9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0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1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2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3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4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5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6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7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8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9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0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1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2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3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4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5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6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7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8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9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0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1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2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3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4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5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6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7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8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9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0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1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2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3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4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5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6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7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8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9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0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1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2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3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4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5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6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7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8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9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0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1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2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3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4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5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6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7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8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9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0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1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2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3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4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5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6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7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8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9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0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1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2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3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4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5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6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7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8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9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0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1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2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3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4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5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6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7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8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9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0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1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2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3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4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5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6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7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8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9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0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1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2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3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4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5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6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7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8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9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0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1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2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3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4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5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6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7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8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9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0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1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2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3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4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5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6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7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8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9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0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1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2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3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4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5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6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7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8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9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0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1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2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3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4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5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6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7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8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9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0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1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2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3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4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5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6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7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8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9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0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1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2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3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4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5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6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7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8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9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0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1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2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3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4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5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6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7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8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9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0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1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2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3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4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5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6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7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8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9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0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1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2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3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4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5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6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7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8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9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0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1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2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3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4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5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6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7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8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9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0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1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2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3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4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5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6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7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8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9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0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1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2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3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4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5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6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7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8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9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0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1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2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3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4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5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6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7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8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9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0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1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2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3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4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5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6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7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8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9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0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1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2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3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4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5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6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7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8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9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0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1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2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3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4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5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6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7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8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9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0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1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2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3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4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5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6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7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8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9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0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1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2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3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4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5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6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7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8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9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0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1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2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3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4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5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6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7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8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9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0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1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2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3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4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5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6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7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8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9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0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1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2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3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4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5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6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7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8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9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0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1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2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3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4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5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6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1577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8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9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0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1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2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3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4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5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6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7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8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9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0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1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2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3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4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5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6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7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8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9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0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1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2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3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4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5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6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7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8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9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0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1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2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3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4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5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6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7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8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9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0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1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2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3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4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5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6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7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8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9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0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1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2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3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4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5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6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7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8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9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0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1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2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3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4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5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6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7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8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9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0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1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2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3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4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5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6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7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8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9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0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1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2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3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4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5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6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7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8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9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0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1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2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3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4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5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6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7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8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9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0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1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2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3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4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5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6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7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8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9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0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1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2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3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4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5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6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7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8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9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0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1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2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3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4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5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6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7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8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9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0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1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2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3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4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5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6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7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8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9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0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1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2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3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4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5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6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7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8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9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0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1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2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3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4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5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6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7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8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9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0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1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2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3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4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5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6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7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8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9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0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1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2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3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4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5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6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7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8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9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0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1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2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3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4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5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6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7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8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9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0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1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2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3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4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5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6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7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8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9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0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1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2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3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4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5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6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7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8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9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0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1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2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3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4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5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6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7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8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9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0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1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2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3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4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5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6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7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8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9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0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1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2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3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4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5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6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7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8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9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0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1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2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3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4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5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6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7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8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9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0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1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2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3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4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5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6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7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8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9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0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1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2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3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4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5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6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7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8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9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0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1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2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3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4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5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6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7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8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9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0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1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2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3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4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5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6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7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8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9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0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1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2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3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4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5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6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7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8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9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0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1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2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3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4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5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6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7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8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9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0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1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2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3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4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5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6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7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8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9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0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1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2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3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4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5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6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7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8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9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0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1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2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3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4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5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6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7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8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9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0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1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2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3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4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5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6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7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8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9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0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1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2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3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4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5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6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7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8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9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0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1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2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3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4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5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6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7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8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9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0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1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2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3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4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5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6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7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8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9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0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1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2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3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4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5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6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7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8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9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0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1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2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3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4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5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6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7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8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9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0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1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2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3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4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5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6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7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8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9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0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1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2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3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4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5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6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7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8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9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0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1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2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3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4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5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6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7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8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9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0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1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2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3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4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5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6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7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8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9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0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1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2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3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4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5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6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7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8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9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0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1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2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3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4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5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6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7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8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9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0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1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2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3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4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5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6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7" name="Line 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48" name="Line 1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049" name="Line 2"/>
        <xdr:cNvSpPr>
          <a:spLocks/>
        </xdr:cNvSpPr>
      </xdr:nvSpPr>
      <xdr:spPr>
        <a:xfrm>
          <a:off x="38100" y="110775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0" name="Line 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051" name="Line 4"/>
        <xdr:cNvSpPr>
          <a:spLocks/>
        </xdr:cNvSpPr>
      </xdr:nvSpPr>
      <xdr:spPr>
        <a:xfrm>
          <a:off x="38100" y="110775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52" name="Line 5"/>
        <xdr:cNvSpPr>
          <a:spLocks/>
        </xdr:cNvSpPr>
      </xdr:nvSpPr>
      <xdr:spPr>
        <a:xfrm>
          <a:off x="38100" y="125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3" name="Line 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54" name="Line 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5" name="Line 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56" name="Line 9"/>
        <xdr:cNvSpPr>
          <a:spLocks/>
        </xdr:cNvSpPr>
      </xdr:nvSpPr>
      <xdr:spPr>
        <a:xfrm>
          <a:off x="38100" y="125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57" name="Line 10"/>
        <xdr:cNvSpPr>
          <a:spLocks/>
        </xdr:cNvSpPr>
      </xdr:nvSpPr>
      <xdr:spPr>
        <a:xfrm>
          <a:off x="38100" y="125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58" name="Line 1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59" name="Line 1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60" name="Line 1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61" name="Line 1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62" name="Line 1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063" name="Line 16"/>
        <xdr:cNvSpPr>
          <a:spLocks/>
        </xdr:cNvSpPr>
      </xdr:nvSpPr>
      <xdr:spPr>
        <a:xfrm>
          <a:off x="38100" y="19640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064" name="Line 17"/>
        <xdr:cNvSpPr>
          <a:spLocks/>
        </xdr:cNvSpPr>
      </xdr:nvSpPr>
      <xdr:spPr>
        <a:xfrm>
          <a:off x="38100" y="19640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065" name="Line 18"/>
        <xdr:cNvSpPr>
          <a:spLocks/>
        </xdr:cNvSpPr>
      </xdr:nvSpPr>
      <xdr:spPr>
        <a:xfrm>
          <a:off x="38100" y="19640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066" name="Line 19"/>
        <xdr:cNvSpPr>
          <a:spLocks/>
        </xdr:cNvSpPr>
      </xdr:nvSpPr>
      <xdr:spPr>
        <a:xfrm>
          <a:off x="38100" y="2101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067" name="Line 20"/>
        <xdr:cNvSpPr>
          <a:spLocks/>
        </xdr:cNvSpPr>
      </xdr:nvSpPr>
      <xdr:spPr>
        <a:xfrm>
          <a:off x="38100" y="2101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068" name="Line 21"/>
        <xdr:cNvSpPr>
          <a:spLocks/>
        </xdr:cNvSpPr>
      </xdr:nvSpPr>
      <xdr:spPr>
        <a:xfrm>
          <a:off x="38100" y="2101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69" name="Line 22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070" name="Line 23"/>
        <xdr:cNvSpPr>
          <a:spLocks/>
        </xdr:cNvSpPr>
      </xdr:nvSpPr>
      <xdr:spPr>
        <a:xfrm>
          <a:off x="38100" y="110775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1" name="Line 2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072" name="Line 25"/>
        <xdr:cNvSpPr>
          <a:spLocks/>
        </xdr:cNvSpPr>
      </xdr:nvSpPr>
      <xdr:spPr>
        <a:xfrm>
          <a:off x="38100" y="110775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73" name="Line 26"/>
        <xdr:cNvSpPr>
          <a:spLocks/>
        </xdr:cNvSpPr>
      </xdr:nvSpPr>
      <xdr:spPr>
        <a:xfrm>
          <a:off x="38100" y="125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4" name="Line 2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75" name="Line 2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6" name="Line 2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77" name="Line 30"/>
        <xdr:cNvSpPr>
          <a:spLocks/>
        </xdr:cNvSpPr>
      </xdr:nvSpPr>
      <xdr:spPr>
        <a:xfrm>
          <a:off x="38100" y="125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2419350</xdr:colOff>
      <xdr:row>55</xdr:row>
      <xdr:rowOff>0</xdr:rowOff>
    </xdr:to>
    <xdr:sp>
      <xdr:nvSpPr>
        <xdr:cNvPr id="2078" name="Line 31"/>
        <xdr:cNvSpPr>
          <a:spLocks/>
        </xdr:cNvSpPr>
      </xdr:nvSpPr>
      <xdr:spPr>
        <a:xfrm>
          <a:off x="0" y="125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79" name="Line 3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80" name="Line 3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81" name="Line 3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82" name="Line 3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083" name="Line 3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084" name="Line 37"/>
        <xdr:cNvSpPr>
          <a:spLocks/>
        </xdr:cNvSpPr>
      </xdr:nvSpPr>
      <xdr:spPr>
        <a:xfrm>
          <a:off x="38100" y="19640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085" name="Line 38"/>
        <xdr:cNvSpPr>
          <a:spLocks/>
        </xdr:cNvSpPr>
      </xdr:nvSpPr>
      <xdr:spPr>
        <a:xfrm>
          <a:off x="38100" y="19640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086" name="Line 39"/>
        <xdr:cNvSpPr>
          <a:spLocks/>
        </xdr:cNvSpPr>
      </xdr:nvSpPr>
      <xdr:spPr>
        <a:xfrm>
          <a:off x="38100" y="19640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087" name="Line 40"/>
        <xdr:cNvSpPr>
          <a:spLocks/>
        </xdr:cNvSpPr>
      </xdr:nvSpPr>
      <xdr:spPr>
        <a:xfrm>
          <a:off x="38100" y="2101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088" name="Line 41"/>
        <xdr:cNvSpPr>
          <a:spLocks/>
        </xdr:cNvSpPr>
      </xdr:nvSpPr>
      <xdr:spPr>
        <a:xfrm>
          <a:off x="38100" y="2101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089" name="Line 42"/>
        <xdr:cNvSpPr>
          <a:spLocks/>
        </xdr:cNvSpPr>
      </xdr:nvSpPr>
      <xdr:spPr>
        <a:xfrm>
          <a:off x="38100" y="2101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90" name="Line 43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1" name="Line 4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2" name="Line 4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3" name="Line 4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4" name="Line 4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5" name="Line 4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096" name="Line 49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7" name="Line 5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8" name="Line 5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9" name="Line 5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00" name="Line 53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01" name="Line 54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02" name="Line 5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03" name="Line 5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04" name="Line 5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05" name="Line 5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06" name="Line 5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07" name="Line 6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08" name="Line 6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09" name="Line 6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10" name="Line 6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11" name="Line 64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2" name="Line 6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3" name="Line 6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4" name="Line 6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5" name="Line 6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6" name="Line 6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17" name="Line 70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8" name="Line 7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9" name="Line 7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20" name="Line 7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21" name="Line 74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22" name="Line 75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23" name="Line 7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24" name="Line 7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25" name="Line 7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26" name="Line 7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27" name="Line 8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28" name="Line 8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29" name="Line 8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30" name="Line 8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31" name="Line 8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32" name="Line 85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3" name="Line 8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4" name="Line 8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5" name="Line 8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6" name="Line 8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7" name="Line 9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38" name="Line 91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9" name="Line 9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40" name="Line 9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41" name="Line 9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42" name="Line 95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43" name="Line 96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44" name="Line 9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45" name="Line 9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46" name="Line 9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47" name="Line 10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48" name="Line 10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49" name="Line 10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50" name="Line 10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51" name="Line 10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52" name="Line 10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53" name="Line 106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4" name="Line 10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5" name="Line 10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6" name="Line 10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7" name="Line 11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8" name="Line 11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59" name="Line 112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0" name="Line 11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1" name="Line 11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2" name="Line 11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63" name="Line 116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64" name="Line 117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65" name="Line 11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66" name="Line 11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67" name="Line 12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68" name="Line 12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69" name="Line 12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70" name="Line 12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71" name="Line 12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72" name="Line 12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73" name="Line 12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74" name="Line 127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5" name="Line 12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6" name="Line 12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7" name="Line 13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8" name="Line 13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9" name="Line 13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80" name="Line 133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1" name="Line 13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2" name="Line 13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3" name="Line 13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84" name="Line 137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85" name="Line 138"/>
        <xdr:cNvSpPr>
          <a:spLocks/>
        </xdr:cNvSpPr>
      </xdr:nvSpPr>
      <xdr:spPr>
        <a:xfrm>
          <a:off x="38100" y="13935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86" name="Line 13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87" name="Line 14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88" name="Line 14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89" name="Line 14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90" name="Line 14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91" name="Line 14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92" name="Line 14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93" name="Line 14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94" name="Line 14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95" name="Line 148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6" name="Line 14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7" name="Line 15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8" name="Line 15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199" name="Line 15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00" name="Line 15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01" name="Line 154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02" name="Line 15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03" name="Line 15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04" name="Line 15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05" name="Line 158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06" name="Line 159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07" name="Line 160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08" name="Line 161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09" name="Line 162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10" name="Line 163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11" name="Line 164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12" name="Line 165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13" name="Line 166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14" name="Line 167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15" name="Line 168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16" name="Line 169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7" name="Line 17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8" name="Line 17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9" name="Line 17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20" name="Line 17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21" name="Line 17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22" name="Line 175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23" name="Line 17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24" name="Line 17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25" name="Line 17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26" name="Line 179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27" name="Line 180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28" name="Line 181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29" name="Line 182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30" name="Line 183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31" name="Line 184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32" name="Line 185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33" name="Line 186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34" name="Line 187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35" name="Line 188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36" name="Line 189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37" name="Line 190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38" name="Line 19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39" name="Line 19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0" name="Line 19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41" name="Line 19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2" name="Line 19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43" name="Line 196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4" name="Line 19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45" name="Line 19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46" name="Line 19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47" name="Line 200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48" name="Line 201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49" name="Line 202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50" name="Line 203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51" name="Line 204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52" name="Line 205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53" name="Line 206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54" name="Line 207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55" name="Line 208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56" name="Line 209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57" name="Line 210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58" name="Line 211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59" name="Line 21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0" name="Line 21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1" name="Line 21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62" name="Line 21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3" name="Line 21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64" name="Line 217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5" name="Line 21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66" name="Line 21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67" name="Line 22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68" name="Line 221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69" name="Line 222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70" name="Line 223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71" name="Line 224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72" name="Line 225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73" name="Line 226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74" name="Line 227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75" name="Line 228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76" name="Line 229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77" name="Line 230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78" name="Line 231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79" name="Line 232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0" name="Line 23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1" name="Line 23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2" name="Line 23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83" name="Line 23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4" name="Line 23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85" name="Line 238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6" name="Line 23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87" name="Line 24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288" name="Line 24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89" name="Line 242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90" name="Line 243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91" name="Line 244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92" name="Line 245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293" name="Line 246"/>
        <xdr:cNvSpPr>
          <a:spLocks/>
        </xdr:cNvSpPr>
      </xdr:nvSpPr>
      <xdr:spPr>
        <a:xfrm>
          <a:off x="38100" y="24526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94" name="Line 247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95" name="Line 248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96" name="Line 249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97" name="Line 250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98" name="Line 251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299" name="Line 252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00" name="Line 253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01" name="Line 254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02" name="Line 255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03" name="Line 256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04" name="Line 257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05" name="Line 258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06" name="Line 259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07" name="Line 260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08" name="Line 261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09" name="Line 262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10" name="Line 263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11" name="Line 264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12" name="Line 265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13" name="Line 266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2314" name="Line 267"/>
        <xdr:cNvSpPr>
          <a:spLocks/>
        </xdr:cNvSpPr>
      </xdr:nvSpPr>
      <xdr:spPr>
        <a:xfrm>
          <a:off x="38100" y="24774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15" name="Line 26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16" name="Line 26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17" name="Line 27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18" name="Line 27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19" name="Line 27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20" name="Line 27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21" name="Line 27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22" name="Line 27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23" name="Line 27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24" name="Line 27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25" name="Line 27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26" name="Line 27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27" name="Line 28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28" name="Line 28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29" name="Line 28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30" name="Line 28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31" name="Line 28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32" name="Line 28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33" name="Line 28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34" name="Line 28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35" name="Line 28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36" name="Line 28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37" name="Line 29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38" name="Line 29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39" name="Line 29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40" name="Line 29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41" name="Line 29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42" name="Line 29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43" name="Line 29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44" name="Line 29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45" name="Line 29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46" name="Line 29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47" name="Line 30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48" name="Line 30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49" name="Line 30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50" name="Line 30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51" name="Line 30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52" name="Line 30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53" name="Line 30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54" name="Line 30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55" name="Line 30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56" name="Line 30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57" name="Line 31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58" name="Line 31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59" name="Line 31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60" name="Line 31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61" name="Line 31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62" name="Line 31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63" name="Line 31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64" name="Line 31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65" name="Line 31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66" name="Line 31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67" name="Line 32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68" name="Line 32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69" name="Line 32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70" name="Line 32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71" name="Line 32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72" name="Line 32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73" name="Line 32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74" name="Line 32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75" name="Line 32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76" name="Line 32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77" name="Line 33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78" name="Line 33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79" name="Line 33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80" name="Line 33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81" name="Line 33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82" name="Line 33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83" name="Line 33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84" name="Line 33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85" name="Line 33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86" name="Line 33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87" name="Line 34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88" name="Line 34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89" name="Line 34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0" name="Line 34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1" name="Line 43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2" name="Line 43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3" name="Line 43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4" name="Line 43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5" name="Line 43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6" name="Line 43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7" name="Line 44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8" name="Line 44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9" name="Line 44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00" name="Line 44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01" name="Line 44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02" name="Line 44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03" name="Line 44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04" name="Line 44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05" name="Line 44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06" name="Line 44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07" name="Line 45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08" name="Line 45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09" name="Line 45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0" name="Line 45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1" name="Line 45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2" name="Line 45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3" name="Line 45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4" name="Line 45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5" name="Line 45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6" name="Line 45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7" name="Line 46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8" name="Line 46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9" name="Line 46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20" name="Line 46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21" name="Line 46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22" name="Line 46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23" name="Line 46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24" name="Line 46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25" name="Line 46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26" name="Line 46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27" name="Line 47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28" name="Line 47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29" name="Line 47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0" name="Line 47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1" name="Line 47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2" name="Line 47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3" name="Line 47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4" name="Line 47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5" name="Line 47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6" name="Line 47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7" name="Line 48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8" name="Line 48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9" name="Line 48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40" name="Line 48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41" name="Line 48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42" name="Line 48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43" name="Line 48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44" name="Line 48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45" name="Line 48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46" name="Line 48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47" name="Line 49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48" name="Line 49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49" name="Line 49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0" name="Line 49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1" name="Line 49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2" name="Line 49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3" name="Line 49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4" name="Line 49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5" name="Line 49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6" name="Line 49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7" name="Line 50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8" name="Line 50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9" name="Line 50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0" name="Line 50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1" name="Line 50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2" name="Line 50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3" name="Line 50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4" name="Line 50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5" name="Line 50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6" name="Line 50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7" name="Line 51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8" name="Line 51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9" name="Line 51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0" name="Line 51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1" name="Line 514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2" name="Line 515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3" name="Line 516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4" name="Line 517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5" name="Line 518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6" name="Line 519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7" name="Line 520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8" name="Line 521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9" name="Line 522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80" name="Line 523"/>
        <xdr:cNvSpPr>
          <a:spLocks/>
        </xdr:cNvSpPr>
      </xdr:nvSpPr>
      <xdr:spPr>
        <a:xfrm>
          <a:off x="38100" y="14563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" name="Arc 129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0125" y="2962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095375" y="2962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K160"/>
  <sheetViews>
    <sheetView tabSelected="1" zoomScale="90" zoomScaleNormal="90" zoomScaleSheetLayoutView="75" workbookViewId="0" topLeftCell="A1">
      <selection activeCell="C110" sqref="C110:F113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58.75390625" style="22" customWidth="1"/>
    <col min="4" max="7" width="21.75390625" style="22" customWidth="1"/>
    <col min="8" max="8" width="11.875" style="22" customWidth="1"/>
    <col min="9" max="9" width="12.375" style="22" customWidth="1"/>
    <col min="10" max="10" width="13.375" style="22" customWidth="1"/>
    <col min="11" max="11" width="11.00390625" style="22" customWidth="1"/>
    <col min="12" max="16384" width="9.125" style="22" customWidth="1"/>
  </cols>
  <sheetData>
    <row r="1" ht="18" customHeight="1">
      <c r="F1" s="50" t="s">
        <v>456</v>
      </c>
    </row>
    <row r="2" ht="18" customHeight="1">
      <c r="F2" s="22" t="s">
        <v>463</v>
      </c>
    </row>
    <row r="3" ht="18" customHeight="1">
      <c r="F3" s="22" t="s">
        <v>72</v>
      </c>
    </row>
    <row r="4" spans="3:6" ht="18" customHeight="1">
      <c r="C4" s="4" t="s">
        <v>122</v>
      </c>
      <c r="F4" s="22" t="s">
        <v>398</v>
      </c>
    </row>
    <row r="5" ht="17.25" customHeight="1" thickBot="1">
      <c r="G5" s="54" t="s">
        <v>73</v>
      </c>
    </row>
    <row r="6" spans="1:7" ht="66.75" customHeight="1" thickBot="1" thickTop="1">
      <c r="A6" s="108" t="s">
        <v>123</v>
      </c>
      <c r="B6" s="108" t="s">
        <v>78</v>
      </c>
      <c r="C6" s="109" t="s">
        <v>455</v>
      </c>
      <c r="D6" s="110" t="s">
        <v>125</v>
      </c>
      <c r="E6" s="109" t="s">
        <v>114</v>
      </c>
      <c r="F6" s="109" t="s">
        <v>115</v>
      </c>
      <c r="G6" s="109" t="s">
        <v>126</v>
      </c>
    </row>
    <row r="7" spans="1:9" ht="18.75" customHeight="1" thickBot="1" thickTop="1">
      <c r="A7" s="16">
        <v>1</v>
      </c>
      <c r="B7" s="16">
        <v>2</v>
      </c>
      <c r="C7" s="111">
        <v>4</v>
      </c>
      <c r="D7" s="111">
        <v>5</v>
      </c>
      <c r="E7" s="111">
        <v>6</v>
      </c>
      <c r="F7" s="111">
        <v>7</v>
      </c>
      <c r="G7" s="111">
        <v>8</v>
      </c>
      <c r="I7" s="47"/>
    </row>
    <row r="8" spans="1:11" ht="21.75" customHeight="1" thickBot="1" thickTop="1">
      <c r="A8" s="85"/>
      <c r="B8" s="112"/>
      <c r="C8" s="113" t="s">
        <v>93</v>
      </c>
      <c r="D8" s="114">
        <v>944854770</v>
      </c>
      <c r="E8" s="114">
        <f>E10+E93+E97</f>
        <v>1196315</v>
      </c>
      <c r="F8" s="114">
        <f>F10+F93+F97</f>
        <v>1196315</v>
      </c>
      <c r="G8" s="114">
        <f>D8+F8-E8</f>
        <v>944854770</v>
      </c>
      <c r="H8" s="47"/>
      <c r="I8" s="47"/>
      <c r="J8" s="47"/>
      <c r="K8" s="47"/>
    </row>
    <row r="9" spans="1:9" ht="21" customHeight="1">
      <c r="A9" s="67"/>
      <c r="B9" s="67"/>
      <c r="C9" s="67" t="s">
        <v>94</v>
      </c>
      <c r="D9" s="115"/>
      <c r="E9" s="115"/>
      <c r="F9" s="115"/>
      <c r="G9" s="115"/>
      <c r="I9" s="116"/>
    </row>
    <row r="10" spans="1:11" ht="21" customHeight="1" thickBot="1">
      <c r="A10" s="86"/>
      <c r="B10" s="86"/>
      <c r="C10" s="91" t="s">
        <v>96</v>
      </c>
      <c r="D10" s="88">
        <v>840424401</v>
      </c>
      <c r="E10" s="117">
        <f>E11+E15+E23+E28+E34+E64+E69+E89+E85</f>
        <v>1117612</v>
      </c>
      <c r="F10" s="117">
        <f>F11+F15+F23+F28+F34+F64+F69+F89+F85</f>
        <v>1117399</v>
      </c>
      <c r="G10" s="117">
        <f>D10+F10-E10</f>
        <v>840424188</v>
      </c>
      <c r="H10" s="47"/>
      <c r="I10" s="47"/>
      <c r="K10" s="47"/>
    </row>
    <row r="11" spans="1:11" ht="21" customHeight="1" thickTop="1">
      <c r="A11" s="89">
        <v>600</v>
      </c>
      <c r="B11" s="89"/>
      <c r="C11" s="89" t="s">
        <v>100</v>
      </c>
      <c r="D11" s="74">
        <v>124332191</v>
      </c>
      <c r="E11" s="75">
        <f>E12</f>
        <v>33911</v>
      </c>
      <c r="F11" s="75">
        <f>F12</f>
        <v>33911</v>
      </c>
      <c r="G11" s="75">
        <f>D11+F11-E11</f>
        <v>124332191</v>
      </c>
      <c r="H11" s="47"/>
      <c r="I11" s="47"/>
      <c r="K11" s="47"/>
    </row>
    <row r="12" spans="1:11" s="121" customFormat="1" ht="21" customHeight="1">
      <c r="A12" s="81"/>
      <c r="B12" s="78">
        <v>60015</v>
      </c>
      <c r="C12" s="547" t="s">
        <v>271</v>
      </c>
      <c r="D12" s="127">
        <v>88810356</v>
      </c>
      <c r="E12" s="127">
        <f>E13+E14</f>
        <v>33911</v>
      </c>
      <c r="F12" s="127">
        <f>F13+F14</f>
        <v>33911</v>
      </c>
      <c r="G12" s="127">
        <f>D12+F12-E12</f>
        <v>88810356</v>
      </c>
      <c r="H12" s="128"/>
      <c r="I12" s="128"/>
      <c r="K12" s="128"/>
    </row>
    <row r="13" spans="1:11" s="121" customFormat="1" ht="21" customHeight="1">
      <c r="A13" s="81"/>
      <c r="B13" s="344"/>
      <c r="C13" s="199" t="s">
        <v>408</v>
      </c>
      <c r="D13" s="133">
        <v>7800000</v>
      </c>
      <c r="E13" s="133"/>
      <c r="F13" s="133">
        <v>33911</v>
      </c>
      <c r="G13" s="133">
        <f>D13-E13+F13</f>
        <v>7833911</v>
      </c>
      <c r="H13" s="128"/>
      <c r="I13" s="128"/>
      <c r="K13" s="128"/>
    </row>
    <row r="14" spans="1:11" s="121" customFormat="1" ht="21" customHeight="1">
      <c r="A14" s="81"/>
      <c r="B14" s="344"/>
      <c r="C14" s="450" t="s">
        <v>409</v>
      </c>
      <c r="D14" s="756">
        <v>3325000</v>
      </c>
      <c r="E14" s="756">
        <v>33911</v>
      </c>
      <c r="F14" s="756"/>
      <c r="G14" s="756">
        <f>D14-E14+F14</f>
        <v>3291089</v>
      </c>
      <c r="H14" s="128"/>
      <c r="I14" s="128"/>
      <c r="K14" s="128"/>
    </row>
    <row r="15" spans="1:11" ht="21" customHeight="1">
      <c r="A15" s="89">
        <v>750</v>
      </c>
      <c r="B15" s="89"/>
      <c r="C15" s="89" t="s">
        <v>107</v>
      </c>
      <c r="D15" s="74">
        <v>64661471</v>
      </c>
      <c r="E15" s="75">
        <f>E16+E19</f>
        <v>20000</v>
      </c>
      <c r="F15" s="75">
        <f>F16+F19</f>
        <v>139170</v>
      </c>
      <c r="G15" s="75">
        <f aca="true" t="shared" si="0" ref="G15:G26">D15+F15-E15</f>
        <v>64780641</v>
      </c>
      <c r="H15" s="47"/>
      <c r="I15" s="47"/>
      <c r="K15" s="47"/>
    </row>
    <row r="16" spans="1:11" s="121" customFormat="1" ht="21" customHeight="1">
      <c r="A16" s="81"/>
      <c r="B16" s="77">
        <v>75022</v>
      </c>
      <c r="C16" s="77" t="s">
        <v>65</v>
      </c>
      <c r="D16" s="127">
        <v>1517000</v>
      </c>
      <c r="E16" s="127"/>
      <c r="F16" s="127"/>
      <c r="G16" s="127">
        <f t="shared" si="0"/>
        <v>1517000</v>
      </c>
      <c r="H16" s="128"/>
      <c r="I16" s="128"/>
      <c r="K16" s="128"/>
    </row>
    <row r="17" spans="1:11" s="121" customFormat="1" ht="21" customHeight="1">
      <c r="A17" s="194"/>
      <c r="B17" s="93"/>
      <c r="C17" s="581" t="s">
        <v>404</v>
      </c>
      <c r="D17" s="407">
        <v>100000</v>
      </c>
      <c r="E17" s="407"/>
      <c r="F17" s="407"/>
      <c r="G17" s="133">
        <f t="shared" si="0"/>
        <v>100000</v>
      </c>
      <c r="H17" s="128"/>
      <c r="I17" s="128"/>
      <c r="K17" s="128"/>
    </row>
    <row r="18" spans="1:11" s="146" customFormat="1" ht="21" customHeight="1">
      <c r="A18" s="193"/>
      <c r="B18" s="228"/>
      <c r="C18" s="227" t="s">
        <v>457</v>
      </c>
      <c r="D18" s="150"/>
      <c r="E18" s="150"/>
      <c r="F18" s="150">
        <v>35000</v>
      </c>
      <c r="G18" s="320">
        <f t="shared" si="0"/>
        <v>35000</v>
      </c>
      <c r="H18" s="145"/>
      <c r="I18" s="145"/>
      <c r="K18" s="145"/>
    </row>
    <row r="19" spans="1:11" s="121" customFormat="1" ht="21" customHeight="1">
      <c r="A19" s="81"/>
      <c r="B19" s="78">
        <v>75023</v>
      </c>
      <c r="C19" s="78" t="s">
        <v>120</v>
      </c>
      <c r="D19" s="127">
        <v>60981030</v>
      </c>
      <c r="E19" s="127">
        <f>E20+E21+E22</f>
        <v>20000</v>
      </c>
      <c r="F19" s="127">
        <f>F20+F21+F22</f>
        <v>139170</v>
      </c>
      <c r="G19" s="127">
        <f t="shared" si="0"/>
        <v>61100200</v>
      </c>
      <c r="H19" s="128"/>
      <c r="I19" s="128"/>
      <c r="K19" s="128"/>
    </row>
    <row r="20" spans="1:11" s="121" customFormat="1" ht="21" customHeight="1">
      <c r="A20" s="194"/>
      <c r="B20" s="202"/>
      <c r="C20" s="97" t="s">
        <v>121</v>
      </c>
      <c r="D20" s="133">
        <v>12031000</v>
      </c>
      <c r="E20" s="133"/>
      <c r="F20" s="133">
        <v>80000</v>
      </c>
      <c r="G20" s="133">
        <f t="shared" si="0"/>
        <v>12111000</v>
      </c>
      <c r="H20" s="128"/>
      <c r="I20" s="128"/>
      <c r="K20" s="128"/>
    </row>
    <row r="21" spans="1:11" s="121" customFormat="1" ht="21" customHeight="1">
      <c r="A21" s="194"/>
      <c r="B21" s="202"/>
      <c r="C21" s="757" t="s">
        <v>146</v>
      </c>
      <c r="D21" s="758">
        <v>6032000</v>
      </c>
      <c r="E21" s="758">
        <v>20000</v>
      </c>
      <c r="F21" s="758"/>
      <c r="G21" s="758">
        <f t="shared" si="0"/>
        <v>6012000</v>
      </c>
      <c r="H21" s="128"/>
      <c r="I21" s="128"/>
      <c r="K21" s="128"/>
    </row>
    <row r="22" spans="1:11" s="146" customFormat="1" ht="25.5" customHeight="1">
      <c r="A22" s="210"/>
      <c r="B22" s="228"/>
      <c r="C22" s="759" t="s">
        <v>414</v>
      </c>
      <c r="D22" s="760">
        <v>743509</v>
      </c>
      <c r="E22" s="760"/>
      <c r="F22" s="760">
        <v>59170</v>
      </c>
      <c r="G22" s="756">
        <f t="shared" si="0"/>
        <v>802679</v>
      </c>
      <c r="H22" s="145"/>
      <c r="I22" s="145"/>
      <c r="K22" s="145"/>
    </row>
    <row r="23" spans="1:11" ht="19.5" customHeight="1">
      <c r="A23" s="73">
        <v>754</v>
      </c>
      <c r="B23" s="73"/>
      <c r="C23" s="73" t="s">
        <v>97</v>
      </c>
      <c r="D23" s="74">
        <v>6638000</v>
      </c>
      <c r="E23" s="75">
        <f>E24</f>
        <v>1914</v>
      </c>
      <c r="F23" s="75">
        <f>F24</f>
        <v>1914</v>
      </c>
      <c r="G23" s="75">
        <f t="shared" si="0"/>
        <v>6638000</v>
      </c>
      <c r="H23" s="47"/>
      <c r="I23" s="47"/>
      <c r="K23" s="47"/>
    </row>
    <row r="24" spans="1:11" s="121" customFormat="1" ht="19.5" customHeight="1">
      <c r="A24" s="81"/>
      <c r="B24" s="78">
        <v>75416</v>
      </c>
      <c r="C24" s="78" t="s">
        <v>210</v>
      </c>
      <c r="D24" s="127">
        <v>5445000</v>
      </c>
      <c r="E24" s="127">
        <f>E25+E26</f>
        <v>1914</v>
      </c>
      <c r="F24" s="127">
        <f>F25+F26</f>
        <v>1914</v>
      </c>
      <c r="G24" s="127">
        <f t="shared" si="0"/>
        <v>5445000</v>
      </c>
      <c r="H24" s="128"/>
      <c r="I24" s="128"/>
      <c r="K24" s="128"/>
    </row>
    <row r="25" spans="1:11" s="121" customFormat="1" ht="19.5" customHeight="1">
      <c r="A25" s="80"/>
      <c r="B25" s="353"/>
      <c r="C25" s="415" t="s">
        <v>121</v>
      </c>
      <c r="D25" s="407">
        <v>925000</v>
      </c>
      <c r="E25" s="407">
        <v>1914</v>
      </c>
      <c r="F25" s="407"/>
      <c r="G25" s="407">
        <f t="shared" si="0"/>
        <v>923086</v>
      </c>
      <c r="H25" s="128"/>
      <c r="I25" s="128"/>
      <c r="K25" s="128"/>
    </row>
    <row r="26" spans="1:11" s="121" customFormat="1" ht="21" customHeight="1">
      <c r="A26" s="194"/>
      <c r="B26" s="202"/>
      <c r="C26" s="693" t="s">
        <v>206</v>
      </c>
      <c r="D26" s="870">
        <v>100000</v>
      </c>
      <c r="E26" s="870"/>
      <c r="F26" s="870">
        <v>1914</v>
      </c>
      <c r="G26" s="870">
        <f t="shared" si="0"/>
        <v>101914</v>
      </c>
      <c r="H26" s="128"/>
      <c r="I26" s="128"/>
      <c r="K26" s="128"/>
    </row>
    <row r="27" spans="1:11" s="121" customFormat="1" ht="21" customHeight="1">
      <c r="A27" s="871"/>
      <c r="B27" s="862"/>
      <c r="C27" s="872"/>
      <c r="D27" s="873"/>
      <c r="E27" s="873"/>
      <c r="F27" s="873"/>
      <c r="G27" s="873"/>
      <c r="H27" s="128"/>
      <c r="I27" s="128"/>
      <c r="K27" s="128"/>
    </row>
    <row r="28" spans="1:11" ht="19.5" customHeight="1">
      <c r="A28" s="73">
        <v>758</v>
      </c>
      <c r="B28" s="73"/>
      <c r="C28" s="73" t="s">
        <v>98</v>
      </c>
      <c r="D28" s="74">
        <v>11146549</v>
      </c>
      <c r="E28" s="75">
        <f>E29</f>
        <v>396870</v>
      </c>
      <c r="F28" s="75"/>
      <c r="G28" s="75">
        <f>D28+F28-E28</f>
        <v>10749679</v>
      </c>
      <c r="H28" s="47"/>
      <c r="I28" s="47"/>
      <c r="K28" s="47"/>
    </row>
    <row r="29" spans="1:11" s="121" customFormat="1" ht="19.5" customHeight="1">
      <c r="A29" s="410"/>
      <c r="B29" s="77">
        <v>75818</v>
      </c>
      <c r="C29" s="77" t="s">
        <v>99</v>
      </c>
      <c r="D29" s="127">
        <v>7938726</v>
      </c>
      <c r="E29" s="127">
        <f>E31+E33+E30</f>
        <v>396870</v>
      </c>
      <c r="F29" s="127"/>
      <c r="G29" s="127">
        <f>D29+F29-E29</f>
        <v>7541856</v>
      </c>
      <c r="H29" s="128"/>
      <c r="I29" s="128"/>
      <c r="K29" s="128"/>
    </row>
    <row r="30" spans="1:11" s="121" customFormat="1" ht="21" customHeight="1">
      <c r="A30" s="194"/>
      <c r="B30" s="202"/>
      <c r="C30" s="97" t="s">
        <v>470</v>
      </c>
      <c r="D30" s="133">
        <v>4534858</v>
      </c>
      <c r="E30" s="133">
        <v>60000</v>
      </c>
      <c r="F30" s="133"/>
      <c r="G30" s="133">
        <f>D30-E30+F30</f>
        <v>4474858</v>
      </c>
      <c r="H30" s="128"/>
      <c r="I30" s="128"/>
      <c r="K30" s="128"/>
    </row>
    <row r="31" spans="1:11" s="121" customFormat="1" ht="27.75" customHeight="1">
      <c r="A31" s="194"/>
      <c r="B31" s="202"/>
      <c r="C31" s="100" t="s">
        <v>310</v>
      </c>
      <c r="D31" s="220">
        <v>2553868</v>
      </c>
      <c r="E31" s="220">
        <v>59170</v>
      </c>
      <c r="F31" s="220"/>
      <c r="G31" s="220">
        <f>D31+F31-E31</f>
        <v>2494698</v>
      </c>
      <c r="H31" s="128"/>
      <c r="I31" s="128"/>
      <c r="K31" s="128"/>
    </row>
    <row r="32" spans="1:11" s="121" customFormat="1" ht="19.5" customHeight="1">
      <c r="A32" s="194"/>
      <c r="B32" s="202"/>
      <c r="C32" s="761" t="s">
        <v>458</v>
      </c>
      <c r="D32" s="684">
        <v>2457141</v>
      </c>
      <c r="E32" s="684">
        <v>59170</v>
      </c>
      <c r="F32" s="684"/>
      <c r="G32" s="544">
        <f>D32-E32+F32</f>
        <v>2397971</v>
      </c>
      <c r="H32" s="128"/>
      <c r="I32" s="128"/>
      <c r="K32" s="128"/>
    </row>
    <row r="33" spans="1:11" s="146" customFormat="1" ht="27" customHeight="1">
      <c r="A33" s="193"/>
      <c r="B33" s="158"/>
      <c r="C33" s="762" t="s">
        <v>446</v>
      </c>
      <c r="D33" s="763">
        <v>800000</v>
      </c>
      <c r="E33" s="763">
        <v>277700</v>
      </c>
      <c r="F33" s="763"/>
      <c r="G33" s="764">
        <f aca="true" t="shared" si="1" ref="G33:G49">D33+F33-E33</f>
        <v>522300</v>
      </c>
      <c r="H33" s="145"/>
      <c r="I33" s="145"/>
      <c r="K33" s="145"/>
    </row>
    <row r="34" spans="1:11" ht="18.75" customHeight="1">
      <c r="A34" s="72">
        <v>801</v>
      </c>
      <c r="B34" s="89"/>
      <c r="C34" s="92" t="s">
        <v>103</v>
      </c>
      <c r="D34" s="74">
        <v>352787051</v>
      </c>
      <c r="E34" s="75">
        <f>E35+E40+E43+E47+E50+E55+E58+E60</f>
        <v>501754</v>
      </c>
      <c r="F34" s="75">
        <f>F35+F40+F43+F47+F50+F55+F58+F60</f>
        <v>779454</v>
      </c>
      <c r="G34" s="75">
        <f t="shared" si="1"/>
        <v>353064751</v>
      </c>
      <c r="H34" s="47">
        <f>F34-E34</f>
        <v>277700</v>
      </c>
      <c r="I34" s="47"/>
      <c r="K34" s="47"/>
    </row>
    <row r="35" spans="1:11" s="95" customFormat="1" ht="18.75" customHeight="1">
      <c r="A35" s="76"/>
      <c r="B35" s="78">
        <v>80101</v>
      </c>
      <c r="C35" s="78" t="s">
        <v>265</v>
      </c>
      <c r="D35" s="441">
        <v>100988391</v>
      </c>
      <c r="E35" s="406">
        <f>E36+E37+E39</f>
        <v>52760</v>
      </c>
      <c r="F35" s="406">
        <f>F36+F37+F39</f>
        <v>120500</v>
      </c>
      <c r="G35" s="406">
        <f t="shared" si="1"/>
        <v>101056131</v>
      </c>
      <c r="H35" s="128"/>
      <c r="I35" s="128"/>
      <c r="K35" s="94"/>
    </row>
    <row r="36" spans="1:11" s="121" customFormat="1" ht="18.75" customHeight="1">
      <c r="A36" s="80"/>
      <c r="B36" s="353"/>
      <c r="C36" s="199" t="s">
        <v>208</v>
      </c>
      <c r="D36" s="133">
        <v>57844250</v>
      </c>
      <c r="E36" s="133">
        <v>44000</v>
      </c>
      <c r="F36" s="133"/>
      <c r="G36" s="133">
        <f t="shared" si="1"/>
        <v>57800250</v>
      </c>
      <c r="H36" s="128"/>
      <c r="I36" s="128"/>
      <c r="K36" s="128"/>
    </row>
    <row r="37" spans="1:11" s="95" customFormat="1" ht="18.75" customHeight="1">
      <c r="A37" s="80"/>
      <c r="B37" s="66"/>
      <c r="C37" s="765" t="s">
        <v>121</v>
      </c>
      <c r="D37" s="758">
        <v>11895004</v>
      </c>
      <c r="E37" s="432"/>
      <c r="F37" s="432">
        <v>120500</v>
      </c>
      <c r="G37" s="432">
        <f t="shared" si="1"/>
        <v>12015504</v>
      </c>
      <c r="H37" s="128"/>
      <c r="I37" s="128"/>
      <c r="K37" s="94"/>
    </row>
    <row r="38" spans="1:11" s="443" customFormat="1" ht="18.75" customHeight="1">
      <c r="A38" s="192"/>
      <c r="B38" s="81"/>
      <c r="C38" s="768" t="s">
        <v>459</v>
      </c>
      <c r="D38" s="351">
        <v>925949</v>
      </c>
      <c r="E38" s="769"/>
      <c r="F38" s="769">
        <v>120500</v>
      </c>
      <c r="G38" s="769">
        <f t="shared" si="1"/>
        <v>1046449</v>
      </c>
      <c r="H38" s="147"/>
      <c r="I38" s="147"/>
      <c r="K38" s="444"/>
    </row>
    <row r="39" spans="1:11" s="95" customFormat="1" ht="18.75" customHeight="1">
      <c r="A39" s="80"/>
      <c r="B39" s="66"/>
      <c r="C39" s="766" t="s">
        <v>146</v>
      </c>
      <c r="D39" s="685">
        <v>11233400</v>
      </c>
      <c r="E39" s="767">
        <v>8760</v>
      </c>
      <c r="F39" s="767"/>
      <c r="G39" s="767">
        <f t="shared" si="1"/>
        <v>11224640</v>
      </c>
      <c r="H39" s="128"/>
      <c r="I39" s="128"/>
      <c r="K39" s="94"/>
    </row>
    <row r="40" spans="1:11" s="121" customFormat="1" ht="18.75" customHeight="1">
      <c r="A40" s="76"/>
      <c r="B40" s="77">
        <v>80103</v>
      </c>
      <c r="C40" s="77" t="s">
        <v>312</v>
      </c>
      <c r="D40" s="127">
        <v>1660700</v>
      </c>
      <c r="E40" s="127"/>
      <c r="F40" s="127">
        <f>F41+F42</f>
        <v>52760</v>
      </c>
      <c r="G40" s="127">
        <f t="shared" si="1"/>
        <v>1713460</v>
      </c>
      <c r="H40" s="128"/>
      <c r="I40" s="128"/>
      <c r="K40" s="128"/>
    </row>
    <row r="41" spans="1:11" s="95" customFormat="1" ht="18.75" customHeight="1">
      <c r="A41" s="80"/>
      <c r="B41" s="66"/>
      <c r="C41" s="199" t="s">
        <v>208</v>
      </c>
      <c r="D41" s="133">
        <v>1244600</v>
      </c>
      <c r="E41" s="442"/>
      <c r="F41" s="442">
        <v>44000</v>
      </c>
      <c r="G41" s="133">
        <f t="shared" si="1"/>
        <v>1288600</v>
      </c>
      <c r="H41" s="128"/>
      <c r="I41" s="128"/>
      <c r="K41" s="94"/>
    </row>
    <row r="42" spans="1:11" s="95" customFormat="1" ht="18.75" customHeight="1">
      <c r="A42" s="80"/>
      <c r="B42" s="66"/>
      <c r="C42" s="770" t="s">
        <v>146</v>
      </c>
      <c r="D42" s="756">
        <v>253200</v>
      </c>
      <c r="E42" s="771"/>
      <c r="F42" s="771">
        <v>8760</v>
      </c>
      <c r="G42" s="756">
        <f t="shared" si="1"/>
        <v>261960</v>
      </c>
      <c r="H42" s="128"/>
      <c r="I42" s="128"/>
      <c r="K42" s="94"/>
    </row>
    <row r="43" spans="1:11" s="121" customFormat="1" ht="18.75" customHeight="1">
      <c r="A43" s="76"/>
      <c r="B43" s="77">
        <v>80104</v>
      </c>
      <c r="C43" s="77" t="s">
        <v>149</v>
      </c>
      <c r="D43" s="127">
        <v>49087000</v>
      </c>
      <c r="E43" s="127"/>
      <c r="F43" s="127">
        <f>F44+F46</f>
        <v>185000</v>
      </c>
      <c r="G43" s="127">
        <f t="shared" si="1"/>
        <v>49272000</v>
      </c>
      <c r="H43" s="128"/>
      <c r="I43" s="128"/>
      <c r="K43" s="128"/>
    </row>
    <row r="44" spans="1:11" s="121" customFormat="1" ht="18.75" customHeight="1">
      <c r="A44" s="80"/>
      <c r="B44" s="66"/>
      <c r="C44" s="414" t="s">
        <v>121</v>
      </c>
      <c r="D44" s="133">
        <v>6402954</v>
      </c>
      <c r="E44" s="133"/>
      <c r="F44" s="133">
        <v>181000</v>
      </c>
      <c r="G44" s="133">
        <f t="shared" si="1"/>
        <v>6583954</v>
      </c>
      <c r="H44" s="128"/>
      <c r="I44" s="128"/>
      <c r="K44" s="128"/>
    </row>
    <row r="45" spans="1:11" s="146" customFormat="1" ht="18.75" customHeight="1">
      <c r="A45" s="193"/>
      <c r="B45" s="158"/>
      <c r="C45" s="768" t="s">
        <v>459</v>
      </c>
      <c r="D45" s="351">
        <v>187202</v>
      </c>
      <c r="E45" s="351"/>
      <c r="F45" s="351">
        <f>2125+215000-30000</f>
        <v>187125</v>
      </c>
      <c r="G45" s="351">
        <f t="shared" si="1"/>
        <v>374327</v>
      </c>
      <c r="H45" s="145"/>
      <c r="I45" s="145"/>
      <c r="K45" s="145"/>
    </row>
    <row r="46" spans="1:11" s="121" customFormat="1" ht="18.75" customHeight="1">
      <c r="A46" s="80"/>
      <c r="B46" s="66"/>
      <c r="C46" s="450" t="s">
        <v>206</v>
      </c>
      <c r="D46" s="685">
        <v>1404475</v>
      </c>
      <c r="E46" s="685"/>
      <c r="F46" s="685">
        <v>4000</v>
      </c>
      <c r="G46" s="685">
        <f t="shared" si="1"/>
        <v>1408475</v>
      </c>
      <c r="H46" s="128"/>
      <c r="I46" s="128"/>
      <c r="K46" s="128"/>
    </row>
    <row r="47" spans="1:11" s="121" customFormat="1" ht="18.75" customHeight="1">
      <c r="A47" s="76"/>
      <c r="B47" s="77">
        <v>80105</v>
      </c>
      <c r="C47" s="77" t="s">
        <v>314</v>
      </c>
      <c r="D47" s="127">
        <v>1600000</v>
      </c>
      <c r="E47" s="127"/>
      <c r="F47" s="127">
        <f>F48</f>
        <v>30000</v>
      </c>
      <c r="G47" s="127">
        <f t="shared" si="1"/>
        <v>1630000</v>
      </c>
      <c r="H47" s="128"/>
      <c r="I47" s="128"/>
      <c r="K47" s="128"/>
    </row>
    <row r="48" spans="1:11" s="121" customFormat="1" ht="18.75" customHeight="1">
      <c r="A48" s="80"/>
      <c r="B48" s="66"/>
      <c r="C48" s="414" t="s">
        <v>121</v>
      </c>
      <c r="D48" s="133">
        <v>155600</v>
      </c>
      <c r="E48" s="133"/>
      <c r="F48" s="133">
        <v>30000</v>
      </c>
      <c r="G48" s="133">
        <f t="shared" si="1"/>
        <v>185600</v>
      </c>
      <c r="H48" s="128"/>
      <c r="I48" s="128"/>
      <c r="K48" s="128"/>
    </row>
    <row r="49" spans="1:11" s="146" customFormat="1" ht="18.75" customHeight="1">
      <c r="A49" s="193"/>
      <c r="B49" s="228"/>
      <c r="C49" s="448" t="s">
        <v>459</v>
      </c>
      <c r="D49" s="320"/>
      <c r="E49" s="320"/>
      <c r="F49" s="320">
        <v>30000</v>
      </c>
      <c r="G49" s="320">
        <f t="shared" si="1"/>
        <v>30000</v>
      </c>
      <c r="H49" s="145"/>
      <c r="I49" s="145"/>
      <c r="K49" s="145"/>
    </row>
    <row r="50" spans="1:11" s="95" customFormat="1" ht="18.75" customHeight="1">
      <c r="A50" s="76"/>
      <c r="B50" s="78">
        <v>80110</v>
      </c>
      <c r="C50" s="78" t="s">
        <v>266</v>
      </c>
      <c r="D50" s="441">
        <v>54021046</v>
      </c>
      <c r="E50" s="406"/>
      <c r="F50" s="406">
        <f>F51+F52+F54</f>
        <v>365714</v>
      </c>
      <c r="G50" s="406">
        <f aca="true" t="shared" si="2" ref="G50:G66">D50+F50-E50</f>
        <v>54386760</v>
      </c>
      <c r="H50" s="128"/>
      <c r="I50" s="128"/>
      <c r="K50" s="94"/>
    </row>
    <row r="51" spans="1:11" s="95" customFormat="1" ht="18.75" customHeight="1">
      <c r="A51" s="80"/>
      <c r="B51" s="66"/>
      <c r="C51" s="199" t="s">
        <v>208</v>
      </c>
      <c r="D51" s="133">
        <v>34381400</v>
      </c>
      <c r="E51" s="442"/>
      <c r="F51" s="442">
        <v>190000</v>
      </c>
      <c r="G51" s="133">
        <f t="shared" si="2"/>
        <v>34571400</v>
      </c>
      <c r="H51" s="128"/>
      <c r="I51" s="128"/>
      <c r="K51" s="94"/>
    </row>
    <row r="52" spans="1:11" s="95" customFormat="1" ht="18.75" customHeight="1">
      <c r="A52" s="80"/>
      <c r="B52" s="66"/>
      <c r="C52" s="765" t="s">
        <v>121</v>
      </c>
      <c r="D52" s="758">
        <v>6543085</v>
      </c>
      <c r="E52" s="432"/>
      <c r="F52" s="432">
        <v>138014</v>
      </c>
      <c r="G52" s="432">
        <f t="shared" si="2"/>
        <v>6681099</v>
      </c>
      <c r="H52" s="128"/>
      <c r="I52" s="128"/>
      <c r="K52" s="94"/>
    </row>
    <row r="53" spans="1:11" s="443" customFormat="1" ht="18.75" customHeight="1">
      <c r="A53" s="192"/>
      <c r="B53" s="81"/>
      <c r="C53" s="768" t="s">
        <v>459</v>
      </c>
      <c r="D53" s="772">
        <v>701168</v>
      </c>
      <c r="E53" s="773"/>
      <c r="F53" s="773">
        <f>88014-5500</f>
        <v>82514</v>
      </c>
      <c r="G53" s="773">
        <f t="shared" si="2"/>
        <v>783682</v>
      </c>
      <c r="H53" s="147"/>
      <c r="I53" s="147"/>
      <c r="K53" s="444"/>
    </row>
    <row r="54" spans="1:11" s="95" customFormat="1" ht="18.75" customHeight="1">
      <c r="A54" s="80"/>
      <c r="B54" s="66"/>
      <c r="C54" s="766" t="s">
        <v>146</v>
      </c>
      <c r="D54" s="685">
        <v>6773000</v>
      </c>
      <c r="E54" s="767"/>
      <c r="F54" s="767">
        <v>37700</v>
      </c>
      <c r="G54" s="685">
        <f t="shared" si="2"/>
        <v>6810700</v>
      </c>
      <c r="H54" s="128"/>
      <c r="I54" s="128"/>
      <c r="K54" s="94"/>
    </row>
    <row r="55" spans="1:11" s="95" customFormat="1" ht="18.75" customHeight="1">
      <c r="A55" s="76"/>
      <c r="B55" s="77">
        <v>80120</v>
      </c>
      <c r="C55" s="77" t="s">
        <v>267</v>
      </c>
      <c r="D55" s="127">
        <v>49954963</v>
      </c>
      <c r="E55" s="79"/>
      <c r="F55" s="79">
        <f>F56</f>
        <v>21480</v>
      </c>
      <c r="G55" s="79">
        <f t="shared" si="2"/>
        <v>49976443</v>
      </c>
      <c r="H55" s="128"/>
      <c r="I55" s="128"/>
      <c r="K55" s="94"/>
    </row>
    <row r="56" spans="1:11" s="95" customFormat="1" ht="18.75" customHeight="1">
      <c r="A56" s="80"/>
      <c r="B56" s="353"/>
      <c r="C56" s="416" t="s">
        <v>121</v>
      </c>
      <c r="D56" s="133">
        <v>5424143</v>
      </c>
      <c r="E56" s="442"/>
      <c r="F56" s="442">
        <v>21480</v>
      </c>
      <c r="G56" s="442">
        <f t="shared" si="2"/>
        <v>5445623</v>
      </c>
      <c r="H56" s="128"/>
      <c r="I56" s="128"/>
      <c r="K56" s="94"/>
    </row>
    <row r="57" spans="1:11" s="443" customFormat="1" ht="18.75" customHeight="1">
      <c r="A57" s="417"/>
      <c r="B57" s="82"/>
      <c r="C57" s="448" t="s">
        <v>459</v>
      </c>
      <c r="D57" s="142">
        <v>625143</v>
      </c>
      <c r="E57" s="429"/>
      <c r="F57" s="429">
        <v>15000</v>
      </c>
      <c r="G57" s="429">
        <f t="shared" si="2"/>
        <v>640143</v>
      </c>
      <c r="H57" s="147"/>
      <c r="I57" s="147"/>
      <c r="K57" s="444"/>
    </row>
    <row r="58" spans="1:11" s="95" customFormat="1" ht="19.5" customHeight="1">
      <c r="A58" s="76"/>
      <c r="B58" s="77">
        <v>80123</v>
      </c>
      <c r="C58" s="77" t="s">
        <v>318</v>
      </c>
      <c r="D58" s="127">
        <v>8592000</v>
      </c>
      <c r="E58" s="79"/>
      <c r="F58" s="79">
        <f>F59</f>
        <v>4000</v>
      </c>
      <c r="G58" s="79">
        <f t="shared" si="2"/>
        <v>8596000</v>
      </c>
      <c r="H58" s="128"/>
      <c r="I58" s="128"/>
      <c r="K58" s="94"/>
    </row>
    <row r="59" spans="1:11" s="95" customFormat="1" ht="19.5" customHeight="1">
      <c r="A59" s="80"/>
      <c r="B59" s="353"/>
      <c r="C59" s="416" t="s">
        <v>121</v>
      </c>
      <c r="D59" s="133">
        <v>644900</v>
      </c>
      <c r="E59" s="442"/>
      <c r="F59" s="442">
        <v>4000</v>
      </c>
      <c r="G59" s="442">
        <f t="shared" si="2"/>
        <v>648900</v>
      </c>
      <c r="H59" s="128"/>
      <c r="I59" s="128"/>
      <c r="K59" s="94"/>
    </row>
    <row r="60" spans="1:11" s="95" customFormat="1" ht="19.5" customHeight="1">
      <c r="A60" s="76"/>
      <c r="B60" s="77">
        <v>80130</v>
      </c>
      <c r="C60" s="77" t="s">
        <v>148</v>
      </c>
      <c r="D60" s="127">
        <v>49998717</v>
      </c>
      <c r="E60" s="79">
        <f>E61+E63</f>
        <v>448994</v>
      </c>
      <c r="F60" s="79"/>
      <c r="G60" s="79">
        <f t="shared" si="2"/>
        <v>49549723</v>
      </c>
      <c r="H60" s="128"/>
      <c r="I60" s="128"/>
      <c r="K60" s="94"/>
    </row>
    <row r="61" spans="1:11" s="95" customFormat="1" ht="19.5" customHeight="1">
      <c r="A61" s="80"/>
      <c r="B61" s="353"/>
      <c r="C61" s="416" t="s">
        <v>121</v>
      </c>
      <c r="D61" s="133">
        <v>4899952</v>
      </c>
      <c r="E61" s="442">
        <v>480</v>
      </c>
      <c r="F61" s="442"/>
      <c r="G61" s="442">
        <f t="shared" si="2"/>
        <v>4899472</v>
      </c>
      <c r="H61" s="128"/>
      <c r="I61" s="128"/>
      <c r="K61" s="94"/>
    </row>
    <row r="62" spans="1:11" s="148" customFormat="1" ht="19.5" customHeight="1">
      <c r="A62" s="192"/>
      <c r="B62" s="81"/>
      <c r="C62" s="768" t="s">
        <v>459</v>
      </c>
      <c r="D62" s="435">
        <v>427166</v>
      </c>
      <c r="E62" s="435"/>
      <c r="F62" s="435">
        <v>10000</v>
      </c>
      <c r="G62" s="435">
        <f t="shared" si="2"/>
        <v>437166</v>
      </c>
      <c r="H62" s="147"/>
      <c r="I62" s="147"/>
      <c r="K62" s="147"/>
    </row>
    <row r="63" spans="1:11" s="121" customFormat="1" ht="21" customHeight="1">
      <c r="A63" s="80"/>
      <c r="B63" s="66"/>
      <c r="C63" s="774" t="s">
        <v>206</v>
      </c>
      <c r="D63" s="764">
        <v>10436585</v>
      </c>
      <c r="E63" s="764">
        <v>448514</v>
      </c>
      <c r="F63" s="764"/>
      <c r="G63" s="764">
        <f t="shared" si="2"/>
        <v>9988071</v>
      </c>
      <c r="H63" s="128"/>
      <c r="I63" s="128"/>
      <c r="K63" s="128"/>
    </row>
    <row r="64" spans="1:11" ht="21" customHeight="1">
      <c r="A64" s="72">
        <v>851</v>
      </c>
      <c r="B64" s="89"/>
      <c r="C64" s="92" t="s">
        <v>106</v>
      </c>
      <c r="D64" s="74">
        <v>6235000</v>
      </c>
      <c r="E64" s="75"/>
      <c r="F64" s="75"/>
      <c r="G64" s="75">
        <f t="shared" si="2"/>
        <v>6235000</v>
      </c>
      <c r="H64" s="47"/>
      <c r="I64" s="47"/>
      <c r="K64" s="47"/>
    </row>
    <row r="65" spans="1:11" s="121" customFormat="1" ht="21" customHeight="1">
      <c r="A65" s="76"/>
      <c r="B65" s="78">
        <v>85154</v>
      </c>
      <c r="C65" s="78" t="s">
        <v>127</v>
      </c>
      <c r="D65" s="127">
        <v>4345000</v>
      </c>
      <c r="E65" s="127"/>
      <c r="F65" s="127"/>
      <c r="G65" s="127">
        <f t="shared" si="2"/>
        <v>4345000</v>
      </c>
      <c r="H65" s="128"/>
      <c r="I65" s="128"/>
      <c r="K65" s="128"/>
    </row>
    <row r="66" spans="1:11" s="121" customFormat="1" ht="29.25" customHeight="1">
      <c r="A66" s="80"/>
      <c r="B66" s="353"/>
      <c r="C66" s="411" t="s">
        <v>460</v>
      </c>
      <c r="D66" s="412">
        <v>4345000</v>
      </c>
      <c r="E66" s="412"/>
      <c r="F66" s="412"/>
      <c r="G66" s="412">
        <f t="shared" si="2"/>
        <v>4345000</v>
      </c>
      <c r="H66" s="128"/>
      <c r="I66" s="128"/>
      <c r="K66" s="128"/>
    </row>
    <row r="67" spans="1:11" s="148" customFormat="1" ht="21" customHeight="1">
      <c r="A67" s="192"/>
      <c r="B67" s="81"/>
      <c r="C67" s="775" t="s">
        <v>461</v>
      </c>
      <c r="D67" s="776">
        <v>886063</v>
      </c>
      <c r="E67" s="776">
        <f>1370-98</f>
        <v>1272</v>
      </c>
      <c r="F67" s="776"/>
      <c r="G67" s="776">
        <f>D67+F67-E67</f>
        <v>884791</v>
      </c>
      <c r="H67" s="147"/>
      <c r="I67" s="147"/>
      <c r="K67" s="147"/>
    </row>
    <row r="68" spans="1:11" s="121" customFormat="1" ht="21" customHeight="1">
      <c r="A68" s="193"/>
      <c r="B68" s="158"/>
      <c r="C68" s="777" t="s">
        <v>458</v>
      </c>
      <c r="D68" s="616">
        <v>777000</v>
      </c>
      <c r="E68" s="616">
        <f>8000-3500</f>
        <v>4500</v>
      </c>
      <c r="F68" s="616"/>
      <c r="G68" s="676">
        <f>D68-E68+F68</f>
        <v>772500</v>
      </c>
      <c r="H68" s="128"/>
      <c r="I68" s="128"/>
      <c r="K68" s="128"/>
    </row>
    <row r="69" spans="1:11" ht="21" customHeight="1">
      <c r="A69" s="72">
        <v>854</v>
      </c>
      <c r="B69" s="89"/>
      <c r="C69" s="92" t="s">
        <v>105</v>
      </c>
      <c r="D69" s="74">
        <v>43712593</v>
      </c>
      <c r="E69" s="75">
        <f>E70+E74+E77+E81</f>
        <v>79463</v>
      </c>
      <c r="F69" s="75">
        <f>F70+F74+F77+F81</f>
        <v>79250</v>
      </c>
      <c r="G69" s="75">
        <f aca="true" t="shared" si="3" ref="G69:G91">D69+F69-E69</f>
        <v>43712380</v>
      </c>
      <c r="H69" s="47"/>
      <c r="I69" s="47"/>
      <c r="K69" s="47"/>
    </row>
    <row r="70" spans="1:11" s="95" customFormat="1" ht="19.5" customHeight="1">
      <c r="A70" s="76"/>
      <c r="B70" s="77">
        <v>85403</v>
      </c>
      <c r="C70" s="231" t="s">
        <v>324</v>
      </c>
      <c r="D70" s="127">
        <v>10802676</v>
      </c>
      <c r="E70" s="79">
        <f>E73+E71</f>
        <v>59000</v>
      </c>
      <c r="F70" s="79">
        <f>F73+F71</f>
        <v>44000</v>
      </c>
      <c r="G70" s="79">
        <f t="shared" si="3"/>
        <v>10787676</v>
      </c>
      <c r="H70" s="128"/>
      <c r="I70" s="128"/>
      <c r="K70" s="94"/>
    </row>
    <row r="71" spans="1:11" s="95" customFormat="1" ht="18.75" customHeight="1">
      <c r="A71" s="80"/>
      <c r="B71" s="66"/>
      <c r="C71" s="416" t="s">
        <v>121</v>
      </c>
      <c r="D71" s="133">
        <v>1278134</v>
      </c>
      <c r="E71" s="442"/>
      <c r="F71" s="442">
        <v>44000</v>
      </c>
      <c r="G71" s="442">
        <f t="shared" si="3"/>
        <v>1322134</v>
      </c>
      <c r="H71" s="128"/>
      <c r="I71" s="128"/>
      <c r="K71" s="94"/>
    </row>
    <row r="72" spans="1:11" s="148" customFormat="1" ht="19.5" customHeight="1">
      <c r="A72" s="192"/>
      <c r="B72" s="81"/>
      <c r="C72" s="768" t="s">
        <v>459</v>
      </c>
      <c r="D72" s="435">
        <v>150943</v>
      </c>
      <c r="E72" s="435"/>
      <c r="F72" s="435">
        <v>44000</v>
      </c>
      <c r="G72" s="435">
        <f t="shared" si="3"/>
        <v>194943</v>
      </c>
      <c r="H72" s="147"/>
      <c r="I72" s="147"/>
      <c r="K72" s="147"/>
    </row>
    <row r="73" spans="1:11" s="121" customFormat="1" ht="21" customHeight="1">
      <c r="A73" s="80"/>
      <c r="B73" s="69"/>
      <c r="C73" s="774" t="s">
        <v>206</v>
      </c>
      <c r="D73" s="764">
        <v>99057</v>
      </c>
      <c r="E73" s="764">
        <v>59000</v>
      </c>
      <c r="F73" s="764"/>
      <c r="G73" s="764">
        <f t="shared" si="3"/>
        <v>40057</v>
      </c>
      <c r="H73" s="128"/>
      <c r="I73" s="128"/>
      <c r="K73" s="128"/>
    </row>
    <row r="74" spans="1:11" s="95" customFormat="1" ht="18.75" customHeight="1">
      <c r="A74" s="76"/>
      <c r="B74" s="78">
        <v>85410</v>
      </c>
      <c r="C74" s="78" t="s">
        <v>274</v>
      </c>
      <c r="D74" s="441">
        <v>7351200</v>
      </c>
      <c r="E74" s="406"/>
      <c r="F74" s="406">
        <f>F75</f>
        <v>35000</v>
      </c>
      <c r="G74" s="406">
        <f t="shared" si="3"/>
        <v>7386200</v>
      </c>
      <c r="H74" s="128"/>
      <c r="I74" s="128"/>
      <c r="K74" s="94"/>
    </row>
    <row r="75" spans="1:11" s="95" customFormat="1" ht="18.75" customHeight="1">
      <c r="A75" s="80"/>
      <c r="B75" s="66"/>
      <c r="C75" s="416" t="s">
        <v>121</v>
      </c>
      <c r="D75" s="133">
        <v>1490500</v>
      </c>
      <c r="E75" s="442"/>
      <c r="F75" s="442">
        <v>35000</v>
      </c>
      <c r="G75" s="442">
        <f t="shared" si="3"/>
        <v>1525500</v>
      </c>
      <c r="H75" s="128"/>
      <c r="I75" s="128"/>
      <c r="K75" s="94"/>
    </row>
    <row r="76" spans="1:11" s="439" customFormat="1" ht="18.75" customHeight="1">
      <c r="A76" s="193"/>
      <c r="B76" s="158"/>
      <c r="C76" s="768" t="s">
        <v>459</v>
      </c>
      <c r="D76" s="320">
        <v>90000</v>
      </c>
      <c r="E76" s="230"/>
      <c r="F76" s="230">
        <v>15000</v>
      </c>
      <c r="G76" s="320">
        <f t="shared" si="3"/>
        <v>105000</v>
      </c>
      <c r="H76" s="145"/>
      <c r="I76" s="145"/>
      <c r="K76" s="440"/>
    </row>
    <row r="77" spans="1:11" s="121" customFormat="1" ht="18.75" customHeight="1">
      <c r="A77" s="76"/>
      <c r="B77" s="77">
        <v>85415</v>
      </c>
      <c r="C77" s="77" t="s">
        <v>264</v>
      </c>
      <c r="D77" s="127">
        <v>1745917</v>
      </c>
      <c r="E77" s="127">
        <f>E78+E79</f>
        <v>20213</v>
      </c>
      <c r="F77" s="127"/>
      <c r="G77" s="127">
        <f t="shared" si="3"/>
        <v>1725704</v>
      </c>
      <c r="H77" s="128"/>
      <c r="I77" s="128"/>
      <c r="K77" s="128"/>
    </row>
    <row r="78" spans="1:11" s="121" customFormat="1" ht="18.75" customHeight="1">
      <c r="A78" s="76"/>
      <c r="B78" s="580"/>
      <c r="C78" s="353" t="s">
        <v>372</v>
      </c>
      <c r="D78" s="134">
        <v>454000</v>
      </c>
      <c r="E78" s="134">
        <v>213</v>
      </c>
      <c r="F78" s="134"/>
      <c r="G78" s="134">
        <f t="shared" si="3"/>
        <v>453787</v>
      </c>
      <c r="H78" s="128"/>
      <c r="I78" s="128"/>
      <c r="K78" s="128"/>
    </row>
    <row r="79" spans="1:11" s="148" customFormat="1" ht="19.5" customHeight="1">
      <c r="A79" s="192"/>
      <c r="B79" s="81"/>
      <c r="C79" s="611" t="s">
        <v>382</v>
      </c>
      <c r="D79" s="758">
        <v>160000</v>
      </c>
      <c r="E79" s="432">
        <v>20000</v>
      </c>
      <c r="F79" s="432"/>
      <c r="G79" s="432">
        <f t="shared" si="3"/>
        <v>140000</v>
      </c>
      <c r="H79" s="147"/>
      <c r="I79" s="147"/>
      <c r="K79" s="147"/>
    </row>
    <row r="80" spans="1:11" s="148" customFormat="1" ht="18.75" customHeight="1">
      <c r="A80" s="192"/>
      <c r="B80" s="81"/>
      <c r="C80" s="413" t="s">
        <v>457</v>
      </c>
      <c r="D80" s="320">
        <v>129800</v>
      </c>
      <c r="E80" s="230">
        <v>15500</v>
      </c>
      <c r="F80" s="230"/>
      <c r="G80" s="320">
        <f t="shared" si="3"/>
        <v>114300</v>
      </c>
      <c r="H80" s="147"/>
      <c r="I80" s="147"/>
      <c r="K80" s="147"/>
    </row>
    <row r="81" spans="1:11" s="95" customFormat="1" ht="19.5" customHeight="1">
      <c r="A81" s="76"/>
      <c r="B81" s="77">
        <v>85421</v>
      </c>
      <c r="C81" s="231" t="s">
        <v>327</v>
      </c>
      <c r="D81" s="127">
        <v>570000</v>
      </c>
      <c r="E81" s="79">
        <f>E82+E83</f>
        <v>250</v>
      </c>
      <c r="F81" s="79">
        <f>F82+F83</f>
        <v>250</v>
      </c>
      <c r="G81" s="127">
        <f t="shared" si="3"/>
        <v>570000</v>
      </c>
      <c r="H81" s="128"/>
      <c r="I81" s="128"/>
      <c r="K81" s="94"/>
    </row>
    <row r="82" spans="1:11" s="437" customFormat="1" ht="18.75" customHeight="1">
      <c r="A82" s="194"/>
      <c r="B82" s="195"/>
      <c r="C82" s="196" t="s">
        <v>369</v>
      </c>
      <c r="D82" s="436">
        <v>417500</v>
      </c>
      <c r="E82" s="197"/>
      <c r="F82" s="197">
        <v>250</v>
      </c>
      <c r="G82" s="133">
        <f t="shared" si="3"/>
        <v>417750</v>
      </c>
      <c r="H82" s="198"/>
      <c r="I82" s="198"/>
      <c r="K82" s="438"/>
    </row>
    <row r="83" spans="1:11" s="121" customFormat="1" ht="21" customHeight="1">
      <c r="A83" s="80"/>
      <c r="B83" s="66"/>
      <c r="C83" s="874" t="s">
        <v>121</v>
      </c>
      <c r="D83" s="877">
        <v>69800</v>
      </c>
      <c r="E83" s="877">
        <v>250</v>
      </c>
      <c r="F83" s="877"/>
      <c r="G83" s="877">
        <f t="shared" si="3"/>
        <v>69550</v>
      </c>
      <c r="H83" s="128"/>
      <c r="I83" s="128"/>
      <c r="K83" s="128"/>
    </row>
    <row r="84" spans="1:11" s="121" customFormat="1" ht="50.25" customHeight="1">
      <c r="A84" s="792"/>
      <c r="B84" s="878"/>
      <c r="C84" s="879"/>
      <c r="D84" s="880"/>
      <c r="E84" s="880"/>
      <c r="F84" s="880"/>
      <c r="G84" s="880"/>
      <c r="H84" s="128"/>
      <c r="I84" s="128"/>
      <c r="K84" s="128"/>
    </row>
    <row r="85" spans="1:11" s="182" customFormat="1" ht="18.75" customHeight="1">
      <c r="A85" s="328">
        <v>900</v>
      </c>
      <c r="B85" s="73"/>
      <c r="C85" s="490" t="s">
        <v>207</v>
      </c>
      <c r="D85" s="478">
        <v>63154206</v>
      </c>
      <c r="E85" s="478">
        <f>E86</f>
        <v>83700</v>
      </c>
      <c r="F85" s="478">
        <f>F86</f>
        <v>83700</v>
      </c>
      <c r="G85" s="75">
        <f t="shared" si="3"/>
        <v>63154206</v>
      </c>
      <c r="H85" s="183"/>
      <c r="I85" s="183"/>
      <c r="K85" s="183"/>
    </row>
    <row r="86" spans="1:11" s="182" customFormat="1" ht="18.75" customHeight="1">
      <c r="A86" s="131"/>
      <c r="B86" s="78">
        <v>90002</v>
      </c>
      <c r="C86" s="200" t="s">
        <v>304</v>
      </c>
      <c r="D86" s="224">
        <v>15979206</v>
      </c>
      <c r="E86" s="224">
        <f>SUM(E87:E88)</f>
        <v>83700</v>
      </c>
      <c r="F86" s="224">
        <f>SUM(F87:F88)</f>
        <v>83700</v>
      </c>
      <c r="G86" s="441">
        <f t="shared" si="3"/>
        <v>15979206</v>
      </c>
      <c r="H86" s="183"/>
      <c r="I86" s="183"/>
      <c r="K86" s="183"/>
    </row>
    <row r="87" spans="1:11" s="182" customFormat="1" ht="18.75" customHeight="1">
      <c r="A87" s="158"/>
      <c r="B87" s="613"/>
      <c r="C87" s="414" t="s">
        <v>482</v>
      </c>
      <c r="D87" s="747">
        <v>4000000</v>
      </c>
      <c r="E87" s="747">
        <v>83700</v>
      </c>
      <c r="F87" s="747"/>
      <c r="G87" s="133">
        <f t="shared" si="3"/>
        <v>3916300</v>
      </c>
      <c r="H87" s="183"/>
      <c r="I87" s="183"/>
      <c r="K87" s="183"/>
    </row>
    <row r="88" spans="1:11" s="182" customFormat="1" ht="18.75" customHeight="1">
      <c r="A88" s="93"/>
      <c r="B88" s="459"/>
      <c r="C88" s="857" t="s">
        <v>483</v>
      </c>
      <c r="D88" s="778">
        <v>420000</v>
      </c>
      <c r="E88" s="778"/>
      <c r="F88" s="778">
        <v>83700</v>
      </c>
      <c r="G88" s="756">
        <f t="shared" si="3"/>
        <v>503700</v>
      </c>
      <c r="H88" s="183"/>
      <c r="I88" s="183"/>
      <c r="K88" s="183"/>
    </row>
    <row r="89" spans="1:11" ht="21" customHeight="1">
      <c r="A89" s="72">
        <v>926</v>
      </c>
      <c r="B89" s="89"/>
      <c r="C89" s="92" t="s">
        <v>307</v>
      </c>
      <c r="D89" s="74">
        <v>19758114</v>
      </c>
      <c r="E89" s="75"/>
      <c r="F89" s="75"/>
      <c r="G89" s="75">
        <f t="shared" si="3"/>
        <v>19758114</v>
      </c>
      <c r="H89" s="47"/>
      <c r="I89" s="47"/>
      <c r="K89" s="47"/>
    </row>
    <row r="90" spans="1:11" s="121" customFormat="1" ht="18.75" customHeight="1">
      <c r="A90" s="76"/>
      <c r="B90" s="78">
        <v>92605</v>
      </c>
      <c r="C90" s="78" t="s">
        <v>322</v>
      </c>
      <c r="D90" s="441">
        <v>3840000</v>
      </c>
      <c r="E90" s="441"/>
      <c r="F90" s="441"/>
      <c r="G90" s="441">
        <f t="shared" si="3"/>
        <v>3840000</v>
      </c>
      <c r="H90" s="128"/>
      <c r="I90" s="128"/>
      <c r="K90" s="128"/>
    </row>
    <row r="91" spans="1:11" s="121" customFormat="1" ht="18.75" customHeight="1">
      <c r="A91" s="80"/>
      <c r="B91" s="66"/>
      <c r="C91" s="496" t="s">
        <v>160</v>
      </c>
      <c r="D91" s="133">
        <v>800000</v>
      </c>
      <c r="E91" s="133"/>
      <c r="F91" s="133"/>
      <c r="G91" s="133">
        <f t="shared" si="3"/>
        <v>800000</v>
      </c>
      <c r="H91" s="128"/>
      <c r="I91" s="128"/>
      <c r="K91" s="128"/>
    </row>
    <row r="92" spans="1:11" s="148" customFormat="1" ht="18.75" customHeight="1">
      <c r="A92" s="192"/>
      <c r="B92" s="81"/>
      <c r="C92" s="413" t="s">
        <v>457</v>
      </c>
      <c r="D92" s="135">
        <v>623911</v>
      </c>
      <c r="E92" s="135"/>
      <c r="F92" s="135">
        <v>713</v>
      </c>
      <c r="G92" s="135">
        <f aca="true" t="shared" si="4" ref="G92:G107">D92+F92-E92</f>
        <v>624624</v>
      </c>
      <c r="H92" s="147"/>
      <c r="I92" s="147"/>
      <c r="K92" s="147"/>
    </row>
    <row r="93" spans="1:11" ht="27.75" customHeight="1" thickBot="1">
      <c r="A93" s="66"/>
      <c r="B93" s="66"/>
      <c r="C93" s="492" t="s">
        <v>69</v>
      </c>
      <c r="D93" s="597">
        <v>5057335</v>
      </c>
      <c r="E93" s="597"/>
      <c r="F93" s="597">
        <f>F94</f>
        <v>213</v>
      </c>
      <c r="G93" s="352">
        <f t="shared" si="4"/>
        <v>5057548</v>
      </c>
      <c r="H93" s="47"/>
      <c r="I93" s="47"/>
      <c r="K93" s="47"/>
    </row>
    <row r="94" spans="1:11" ht="19.5" customHeight="1" thickTop="1">
      <c r="A94" s="89">
        <v>854</v>
      </c>
      <c r="B94" s="89"/>
      <c r="C94" s="607" t="s">
        <v>105</v>
      </c>
      <c r="D94" s="749">
        <v>1239025</v>
      </c>
      <c r="E94" s="749"/>
      <c r="F94" s="749">
        <f>F95</f>
        <v>213</v>
      </c>
      <c r="G94" s="223">
        <f t="shared" si="4"/>
        <v>1239238</v>
      </c>
      <c r="H94" s="47"/>
      <c r="I94" s="47"/>
      <c r="K94" s="47"/>
    </row>
    <row r="95" spans="1:11" ht="19.5" customHeight="1">
      <c r="A95" s="202"/>
      <c r="B95" s="77">
        <v>85415</v>
      </c>
      <c r="C95" s="231" t="s">
        <v>264</v>
      </c>
      <c r="D95" s="750">
        <v>1239025</v>
      </c>
      <c r="E95" s="750"/>
      <c r="F95" s="750">
        <f>F96</f>
        <v>213</v>
      </c>
      <c r="G95" s="224">
        <f t="shared" si="4"/>
        <v>1239238</v>
      </c>
      <c r="H95" s="47"/>
      <c r="I95" s="47"/>
      <c r="K95" s="47"/>
    </row>
    <row r="96" spans="1:11" ht="27.75" customHeight="1">
      <c r="A96" s="202"/>
      <c r="B96" s="344"/>
      <c r="C96" s="415" t="s">
        <v>431</v>
      </c>
      <c r="D96" s="197">
        <v>1239025</v>
      </c>
      <c r="E96" s="197"/>
      <c r="F96" s="197">
        <v>213</v>
      </c>
      <c r="G96" s="747">
        <f t="shared" si="4"/>
        <v>1239238</v>
      </c>
      <c r="H96" s="47"/>
      <c r="I96" s="47"/>
      <c r="K96" s="47"/>
    </row>
    <row r="97" spans="1:11" ht="20.25" customHeight="1" thickBot="1">
      <c r="A97" s="66"/>
      <c r="B97" s="66"/>
      <c r="C97" s="754" t="s">
        <v>130</v>
      </c>
      <c r="D97" s="755">
        <v>99373034</v>
      </c>
      <c r="E97" s="755">
        <f>E98+E99</f>
        <v>78703</v>
      </c>
      <c r="F97" s="755">
        <f>F98+F99</f>
        <v>78703</v>
      </c>
      <c r="G97" s="755">
        <f t="shared" si="4"/>
        <v>99373034</v>
      </c>
      <c r="H97" s="47"/>
      <c r="I97" s="47"/>
      <c r="K97" s="47"/>
    </row>
    <row r="98" spans="1:11" s="182" customFormat="1" ht="21" customHeight="1" thickBot="1">
      <c r="A98" s="158"/>
      <c r="B98" s="158"/>
      <c r="C98" s="151" t="s">
        <v>131</v>
      </c>
      <c r="D98" s="352">
        <v>77259529</v>
      </c>
      <c r="E98" s="352"/>
      <c r="F98" s="352"/>
      <c r="G98" s="352">
        <f t="shared" si="4"/>
        <v>77259529</v>
      </c>
      <c r="H98" s="183"/>
      <c r="I98" s="183"/>
      <c r="K98" s="183"/>
    </row>
    <row r="99" spans="1:11" s="182" customFormat="1" ht="29.25" customHeight="1" thickBot="1" thickTop="1">
      <c r="A99" s="228"/>
      <c r="B99" s="228"/>
      <c r="C99" s="492" t="s">
        <v>132</v>
      </c>
      <c r="D99" s="753">
        <v>22113505</v>
      </c>
      <c r="E99" s="753">
        <f>E100+E104</f>
        <v>78703</v>
      </c>
      <c r="F99" s="753">
        <f>F100+F104</f>
        <v>78703</v>
      </c>
      <c r="G99" s="753">
        <f t="shared" si="4"/>
        <v>22113505</v>
      </c>
      <c r="H99" s="183"/>
      <c r="I99" s="183"/>
      <c r="K99" s="183"/>
    </row>
    <row r="100" spans="1:11" s="182" customFormat="1" ht="18.75" customHeight="1" thickTop="1">
      <c r="A100" s="72">
        <v>754</v>
      </c>
      <c r="B100" s="89"/>
      <c r="C100" s="490" t="s">
        <v>97</v>
      </c>
      <c r="D100" s="478">
        <v>12959000</v>
      </c>
      <c r="E100" s="478">
        <f>E101</f>
        <v>53000</v>
      </c>
      <c r="F100" s="478">
        <f>F101</f>
        <v>53000</v>
      </c>
      <c r="G100" s="478">
        <f t="shared" si="4"/>
        <v>12959000</v>
      </c>
      <c r="H100" s="183"/>
      <c r="I100" s="183"/>
      <c r="K100" s="183"/>
    </row>
    <row r="101" spans="1:11" s="182" customFormat="1" ht="18.75" customHeight="1">
      <c r="A101" s="131"/>
      <c r="B101" s="78">
        <v>75411</v>
      </c>
      <c r="C101" s="200" t="s">
        <v>400</v>
      </c>
      <c r="D101" s="224">
        <v>12959000</v>
      </c>
      <c r="E101" s="224">
        <f>E102+E103</f>
        <v>53000</v>
      </c>
      <c r="F101" s="224">
        <f>F102+F103</f>
        <v>53000</v>
      </c>
      <c r="G101" s="224">
        <f t="shared" si="4"/>
        <v>12959000</v>
      </c>
      <c r="H101" s="183"/>
      <c r="I101" s="183"/>
      <c r="K101" s="183"/>
    </row>
    <row r="102" spans="1:11" s="182" customFormat="1" ht="18.75" customHeight="1">
      <c r="A102" s="158"/>
      <c r="B102" s="66"/>
      <c r="C102" s="414" t="s">
        <v>208</v>
      </c>
      <c r="D102" s="747">
        <v>9891800</v>
      </c>
      <c r="E102" s="747">
        <v>53000</v>
      </c>
      <c r="F102" s="747"/>
      <c r="G102" s="747">
        <f t="shared" si="4"/>
        <v>9838800</v>
      </c>
      <c r="H102" s="183"/>
      <c r="I102" s="183"/>
      <c r="K102" s="183"/>
    </row>
    <row r="103" spans="1:11" s="182" customFormat="1" ht="18.75" customHeight="1">
      <c r="A103" s="93"/>
      <c r="B103" s="459"/>
      <c r="C103" s="881" t="s">
        <v>146</v>
      </c>
      <c r="D103" s="778">
        <v>36700</v>
      </c>
      <c r="E103" s="778"/>
      <c r="F103" s="778">
        <v>53000</v>
      </c>
      <c r="G103" s="778">
        <f t="shared" si="4"/>
        <v>89700</v>
      </c>
      <c r="H103" s="183"/>
      <c r="I103" s="183"/>
      <c r="K103" s="183"/>
    </row>
    <row r="104" spans="1:11" s="182" customFormat="1" ht="21" customHeight="1">
      <c r="A104" s="72">
        <v>853</v>
      </c>
      <c r="B104" s="89"/>
      <c r="C104" s="92" t="s">
        <v>145</v>
      </c>
      <c r="D104" s="478">
        <v>585369</v>
      </c>
      <c r="E104" s="478">
        <f>E105</f>
        <v>25703</v>
      </c>
      <c r="F104" s="478">
        <f>F105</f>
        <v>25703</v>
      </c>
      <c r="G104" s="478">
        <f t="shared" si="4"/>
        <v>585369</v>
      </c>
      <c r="H104" s="183"/>
      <c r="I104" s="183"/>
      <c r="K104" s="183"/>
    </row>
    <row r="105" spans="1:11" s="182" customFormat="1" ht="19.5" customHeight="1">
      <c r="A105" s="66"/>
      <c r="B105" s="78">
        <v>85321</v>
      </c>
      <c r="C105" s="78" t="s">
        <v>412</v>
      </c>
      <c r="D105" s="224">
        <v>552000</v>
      </c>
      <c r="E105" s="224">
        <f>E106+E107</f>
        <v>25703</v>
      </c>
      <c r="F105" s="224">
        <f>F106+F107</f>
        <v>25703</v>
      </c>
      <c r="G105" s="224">
        <f t="shared" si="4"/>
        <v>552000</v>
      </c>
      <c r="H105" s="183"/>
      <c r="I105" s="183"/>
      <c r="K105" s="183"/>
    </row>
    <row r="106" spans="1:11" s="182" customFormat="1" ht="19.5" customHeight="1">
      <c r="A106" s="66"/>
      <c r="B106" s="353"/>
      <c r="C106" s="415" t="s">
        <v>208</v>
      </c>
      <c r="D106" s="747">
        <v>354300</v>
      </c>
      <c r="E106" s="747"/>
      <c r="F106" s="747">
        <v>25703</v>
      </c>
      <c r="G106" s="747">
        <f t="shared" si="4"/>
        <v>380003</v>
      </c>
      <c r="H106" s="183"/>
      <c r="I106" s="183"/>
      <c r="K106" s="183"/>
    </row>
    <row r="107" spans="1:11" s="182" customFormat="1" ht="19.5" customHeight="1">
      <c r="A107" s="69"/>
      <c r="B107" s="69"/>
      <c r="C107" s="759" t="s">
        <v>121</v>
      </c>
      <c r="D107" s="778">
        <v>109400</v>
      </c>
      <c r="E107" s="778">
        <v>25703</v>
      </c>
      <c r="F107" s="778"/>
      <c r="G107" s="778">
        <f t="shared" si="4"/>
        <v>83697</v>
      </c>
      <c r="H107" s="183"/>
      <c r="I107" s="183"/>
      <c r="K107" s="183"/>
    </row>
    <row r="108" spans="8:11" ht="21" customHeight="1">
      <c r="H108" s="47"/>
      <c r="I108" s="47"/>
      <c r="K108" s="47"/>
    </row>
    <row r="109" spans="8:11" ht="21" customHeight="1">
      <c r="H109" s="47"/>
      <c r="I109" s="47"/>
      <c r="K109" s="47"/>
    </row>
    <row r="110" spans="3:6" ht="15.75" customHeight="1">
      <c r="C110" s="912" t="s">
        <v>487</v>
      </c>
      <c r="F110" s="912" t="s">
        <v>489</v>
      </c>
    </row>
    <row r="111" spans="3:6" ht="15.75" customHeight="1">
      <c r="C111" s="912"/>
      <c r="F111" s="912" t="s">
        <v>490</v>
      </c>
    </row>
    <row r="112" spans="3:11" ht="15.75" customHeight="1">
      <c r="C112" s="912" t="s">
        <v>488</v>
      </c>
      <c r="F112" s="912"/>
      <c r="H112" s="47"/>
      <c r="I112" s="47"/>
      <c r="K112" s="47"/>
    </row>
    <row r="113" ht="18.75" customHeight="1">
      <c r="F113" s="912" t="s">
        <v>491</v>
      </c>
    </row>
    <row r="114" ht="19.5" customHeight="1"/>
    <row r="115" ht="19.5" customHeight="1"/>
    <row r="116" ht="19.5" customHeight="1"/>
    <row r="117" ht="18.75" customHeight="1"/>
    <row r="118" ht="18.75" customHeight="1"/>
    <row r="119" ht="28.5" customHeight="1"/>
    <row r="120" spans="1:8" s="33" customFormat="1" ht="18.75" customHeight="1">
      <c r="A120" s="22"/>
      <c r="B120" s="22"/>
      <c r="C120" s="22"/>
      <c r="D120" s="22"/>
      <c r="E120" s="22"/>
      <c r="F120" s="22"/>
      <c r="G120" s="22"/>
      <c r="H120" s="118"/>
    </row>
    <row r="121" spans="1:8" s="33" customFormat="1" ht="18.75" customHeight="1">
      <c r="A121" s="22"/>
      <c r="B121" s="22"/>
      <c r="C121" s="22"/>
      <c r="D121" s="22"/>
      <c r="E121" s="22"/>
      <c r="F121" s="22"/>
      <c r="G121" s="22"/>
      <c r="H121" s="118"/>
    </row>
    <row r="122" spans="1:8" s="33" customFormat="1" ht="18.75" customHeight="1">
      <c r="A122" s="22"/>
      <c r="B122" s="22"/>
      <c r="C122" s="22"/>
      <c r="D122" s="22"/>
      <c r="E122" s="22"/>
      <c r="F122" s="22"/>
      <c r="G122" s="22"/>
      <c r="H122" s="118"/>
    </row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spans="1:8" s="33" customFormat="1" ht="19.5" customHeight="1">
      <c r="A131" s="22"/>
      <c r="B131" s="22"/>
      <c r="C131" s="22"/>
      <c r="D131" s="22"/>
      <c r="E131" s="22"/>
      <c r="F131" s="22"/>
      <c r="G131" s="22"/>
      <c r="H131" s="119"/>
    </row>
    <row r="132" spans="1:8" s="33" customFormat="1" ht="18.75" customHeight="1">
      <c r="A132" s="22"/>
      <c r="B132" s="22"/>
      <c r="C132" s="22"/>
      <c r="D132" s="22"/>
      <c r="E132" s="22"/>
      <c r="F132" s="22"/>
      <c r="G132" s="22"/>
      <c r="H132" s="118"/>
    </row>
    <row r="133" spans="1:8" s="33" customFormat="1" ht="18.75" customHeight="1">
      <c r="A133" s="22"/>
      <c r="B133" s="22"/>
      <c r="C133" s="22"/>
      <c r="D133" s="22"/>
      <c r="E133" s="22"/>
      <c r="F133" s="22"/>
      <c r="G133" s="22"/>
      <c r="H133" s="118"/>
    </row>
    <row r="134" spans="1:8" s="33" customFormat="1" ht="18.75" customHeight="1">
      <c r="A134" s="22"/>
      <c r="B134" s="22"/>
      <c r="C134" s="22"/>
      <c r="D134" s="22"/>
      <c r="E134" s="22"/>
      <c r="F134" s="22"/>
      <c r="G134" s="22"/>
      <c r="H134" s="118"/>
    </row>
    <row r="135" ht="19.5" customHeight="1"/>
    <row r="136" ht="18.75" customHeight="1"/>
    <row r="137" spans="1:8" s="33" customFormat="1" ht="18.75" customHeight="1">
      <c r="A137" s="22"/>
      <c r="B137" s="22"/>
      <c r="C137" s="22"/>
      <c r="D137" s="22"/>
      <c r="E137" s="22"/>
      <c r="F137" s="22"/>
      <c r="G137" s="22"/>
      <c r="H137" s="118"/>
    </row>
    <row r="138" ht="18.75" customHeight="1"/>
    <row r="139" spans="1:8" s="33" customFormat="1" ht="18.75" customHeight="1">
      <c r="A139" s="22"/>
      <c r="B139" s="22"/>
      <c r="C139" s="22"/>
      <c r="D139" s="22"/>
      <c r="E139" s="22"/>
      <c r="F139" s="22"/>
      <c r="G139" s="22"/>
      <c r="H139" s="118"/>
    </row>
    <row r="140" spans="1:8" s="33" customFormat="1" ht="27" customHeight="1">
      <c r="A140" s="22"/>
      <c r="B140" s="22"/>
      <c r="C140" s="22"/>
      <c r="D140" s="22"/>
      <c r="E140" s="22"/>
      <c r="F140" s="22"/>
      <c r="G140" s="22"/>
      <c r="H140" s="118"/>
    </row>
    <row r="141" spans="1:8" s="33" customFormat="1" ht="18.75" customHeight="1">
      <c r="A141" s="22"/>
      <c r="B141" s="22"/>
      <c r="C141" s="22"/>
      <c r="D141" s="22"/>
      <c r="E141" s="22"/>
      <c r="F141" s="22"/>
      <c r="G141" s="22"/>
      <c r="H141" s="118"/>
    </row>
    <row r="142" spans="1:8" s="33" customFormat="1" ht="19.5" customHeight="1">
      <c r="A142" s="22"/>
      <c r="B142" s="22"/>
      <c r="C142" s="22"/>
      <c r="D142" s="22"/>
      <c r="E142" s="22"/>
      <c r="F142" s="22"/>
      <c r="G142" s="22"/>
      <c r="H142" s="118"/>
    </row>
    <row r="143" ht="19.5" customHeight="1"/>
    <row r="144" ht="19.5" customHeight="1"/>
    <row r="145" ht="19.5" customHeight="1"/>
    <row r="146" ht="19.5" customHeight="1"/>
    <row r="147" ht="19.5" customHeight="1"/>
    <row r="148" spans="1:8" s="33" customFormat="1" ht="18.75" customHeight="1">
      <c r="A148" s="22"/>
      <c r="B148" s="22"/>
      <c r="C148" s="22"/>
      <c r="D148" s="22"/>
      <c r="E148" s="22"/>
      <c r="F148" s="22"/>
      <c r="G148" s="22"/>
      <c r="H148" s="118"/>
    </row>
    <row r="149" spans="1:8" s="33" customFormat="1" ht="19.5" customHeight="1">
      <c r="A149" s="22"/>
      <c r="B149" s="22"/>
      <c r="C149" s="22"/>
      <c r="D149" s="22"/>
      <c r="E149" s="22"/>
      <c r="F149" s="22"/>
      <c r="G149" s="22"/>
      <c r="H149" s="118"/>
    </row>
    <row r="150" ht="19.5" customHeight="1"/>
    <row r="151" ht="18.75" customHeight="1"/>
    <row r="152" ht="18" customHeight="1"/>
    <row r="153" ht="28.5" customHeight="1"/>
    <row r="154" ht="20.25" customHeight="1"/>
    <row r="155" ht="18" customHeight="1"/>
    <row r="156" ht="19.5" customHeight="1"/>
    <row r="157" ht="20.25" customHeight="1"/>
    <row r="158" ht="20.25" customHeight="1"/>
    <row r="159" ht="20.25" customHeight="1"/>
    <row r="160" spans="1:7" s="33" customFormat="1" ht="27" customHeight="1">
      <c r="A160" s="22"/>
      <c r="B160" s="22"/>
      <c r="C160" s="22"/>
      <c r="D160" s="22"/>
      <c r="E160" s="22"/>
      <c r="F160" s="22"/>
      <c r="G160" s="22"/>
    </row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27.75" customHeight="1"/>
    <row r="181" ht="20.25" customHeight="1"/>
    <row r="182" ht="20.25" customHeight="1"/>
    <row r="183" ht="19.5" customHeight="1"/>
    <row r="184" ht="25.5" customHeight="1"/>
    <row r="185" ht="26.25" customHeight="1"/>
    <row r="186" ht="19.5" customHeight="1"/>
    <row r="187" ht="18.75" customHeight="1"/>
    <row r="188" ht="18" customHeight="1"/>
    <row r="189" ht="19.5" customHeight="1"/>
    <row r="190" ht="19.5" customHeight="1"/>
    <row r="191" ht="20.25" customHeight="1"/>
    <row r="192" ht="19.5" customHeight="1"/>
    <row r="193" ht="19.5" customHeight="1"/>
    <row r="194" ht="20.25" customHeight="1"/>
    <row r="195" ht="18" customHeight="1"/>
    <row r="196" ht="19.5" customHeight="1"/>
    <row r="197" ht="19.5" customHeight="1"/>
  </sheetData>
  <printOptions horizontalCentered="1"/>
  <pageMargins left="0.3937007874015748" right="0.3937007874015748" top="0.5905511811023623" bottom="0.5905511811023623" header="0.5118110236220472" footer="0.31496062992125984"/>
  <pageSetup firstPageNumber="5" useFirstPageNumber="1" horizontalDpi="300" verticalDpi="300" orientation="landscape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32" sqref="C32:F35"/>
    </sheetView>
  </sheetViews>
  <sheetFormatPr defaultColWidth="9.00390625" defaultRowHeight="12.75"/>
  <cols>
    <col min="1" max="1" width="5.75390625" style="22" customWidth="1"/>
    <col min="2" max="2" width="8.125" style="22" customWidth="1"/>
    <col min="3" max="3" width="62.375" style="22" customWidth="1"/>
    <col min="4" max="7" width="20.75390625" style="22" customWidth="1"/>
    <col min="8" max="8" width="10.375" style="0" customWidth="1"/>
    <col min="9" max="10" width="12.75390625" style="0" customWidth="1"/>
  </cols>
  <sheetData>
    <row r="1" spans="3:6" ht="18" customHeight="1">
      <c r="C1" s="159"/>
      <c r="F1" s="160" t="s">
        <v>334</v>
      </c>
    </row>
    <row r="2" spans="1:6" ht="18" customHeight="1">
      <c r="A2" s="161" t="s">
        <v>135</v>
      </c>
      <c r="B2" s="160"/>
      <c r="C2" s="160"/>
      <c r="F2" s="162" t="s">
        <v>464</v>
      </c>
    </row>
    <row r="3" spans="1:6" ht="18" customHeight="1">
      <c r="A3" s="161" t="s">
        <v>136</v>
      </c>
      <c r="B3" s="160"/>
      <c r="C3" s="160"/>
      <c r="F3" s="162" t="s">
        <v>72</v>
      </c>
    </row>
    <row r="4" spans="1:6" ht="18" customHeight="1">
      <c r="A4" s="161" t="s">
        <v>137</v>
      </c>
      <c r="B4" s="160"/>
      <c r="C4" s="160"/>
      <c r="F4" s="162" t="s">
        <v>398</v>
      </c>
    </row>
    <row r="5" spans="4:7" ht="17.25" customHeight="1" thickBot="1">
      <c r="D5" s="163"/>
      <c r="F5" s="163"/>
      <c r="G5" s="163" t="s">
        <v>73</v>
      </c>
    </row>
    <row r="6" spans="1:7" ht="33" customHeight="1" thickTop="1">
      <c r="A6" s="164"/>
      <c r="B6" s="164"/>
      <c r="C6" s="165" t="s">
        <v>112</v>
      </c>
      <c r="D6" s="909" t="s">
        <v>338</v>
      </c>
      <c r="E6" s="909" t="s">
        <v>147</v>
      </c>
      <c r="F6" s="908" t="s">
        <v>138</v>
      </c>
      <c r="G6" s="908" t="s">
        <v>139</v>
      </c>
    </row>
    <row r="7" spans="1:7" ht="48.75" customHeight="1" thickBot="1">
      <c r="A7" s="166" t="s">
        <v>77</v>
      </c>
      <c r="B7" s="167" t="s">
        <v>140</v>
      </c>
      <c r="C7" s="168" t="s">
        <v>141</v>
      </c>
      <c r="D7" s="910"/>
      <c r="E7" s="911"/>
      <c r="F7" s="875"/>
      <c r="G7" s="876"/>
    </row>
    <row r="8" spans="1:7" ht="14.25" customHeight="1" thickBot="1" thickTop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8" ht="17.25" customHeight="1" thickBot="1" thickTop="1">
      <c r="A9" s="169"/>
      <c r="B9" s="169"/>
      <c r="C9" s="523" t="s">
        <v>142</v>
      </c>
      <c r="D9" s="524">
        <v>106409034</v>
      </c>
      <c r="E9" s="524">
        <v>99373034</v>
      </c>
      <c r="F9" s="524">
        <f>F11+F12</f>
        <v>0</v>
      </c>
      <c r="G9" s="524">
        <f>E9+F9</f>
        <v>99373034</v>
      </c>
      <c r="H9" s="138"/>
    </row>
    <row r="10" spans="1:8" ht="11.25" customHeight="1">
      <c r="A10" s="66"/>
      <c r="B10" s="66"/>
      <c r="C10" s="170" t="s">
        <v>94</v>
      </c>
      <c r="D10" s="171"/>
      <c r="E10" s="171"/>
      <c r="F10" s="171"/>
      <c r="G10" s="171"/>
      <c r="H10" s="138"/>
    </row>
    <row r="11" spans="1:8" ht="19.5" customHeight="1" thickBot="1">
      <c r="A11" s="172"/>
      <c r="B11" s="172"/>
      <c r="C11" s="525" t="s">
        <v>143</v>
      </c>
      <c r="D11" s="526">
        <v>78739529</v>
      </c>
      <c r="E11" s="526">
        <v>77259529</v>
      </c>
      <c r="F11" s="526"/>
      <c r="G11" s="526">
        <f>E11+F11</f>
        <v>77259529</v>
      </c>
      <c r="H11" s="138"/>
    </row>
    <row r="12" spans="1:8" ht="19.5" customHeight="1" thickBot="1" thickTop="1">
      <c r="A12" s="178"/>
      <c r="B12" s="179"/>
      <c r="C12" s="821" t="s">
        <v>144</v>
      </c>
      <c r="D12" s="822">
        <v>27669505</v>
      </c>
      <c r="E12" s="822">
        <v>22113505</v>
      </c>
      <c r="F12" s="822">
        <f>F20+F13</f>
        <v>0</v>
      </c>
      <c r="G12" s="822">
        <f>E12+F12</f>
        <v>22113505</v>
      </c>
      <c r="H12" s="138"/>
    </row>
    <row r="13" spans="1:8" ht="19.5" customHeight="1" thickTop="1">
      <c r="A13" s="173">
        <v>754</v>
      </c>
      <c r="B13" s="89"/>
      <c r="C13" s="360" t="s">
        <v>97</v>
      </c>
      <c r="D13" s="74">
        <v>13059000</v>
      </c>
      <c r="E13" s="74">
        <v>12959000</v>
      </c>
      <c r="F13" s="74">
        <f>F14</f>
        <v>0</v>
      </c>
      <c r="G13" s="74">
        <f>E13+F13</f>
        <v>12959000</v>
      </c>
      <c r="H13" s="138"/>
    </row>
    <row r="14" spans="1:8" ht="19.5" customHeight="1">
      <c r="A14" s="174"/>
      <c r="B14" s="78">
        <v>75411</v>
      </c>
      <c r="C14" s="200" t="s">
        <v>400</v>
      </c>
      <c r="D14" s="176">
        <v>13059000</v>
      </c>
      <c r="E14" s="176">
        <v>12959000</v>
      </c>
      <c r="F14" s="176">
        <f>F15+F18</f>
        <v>0</v>
      </c>
      <c r="G14" s="176">
        <f aca="true" t="shared" si="0" ref="G14:G19">E14+F14</f>
        <v>12959000</v>
      </c>
      <c r="H14" s="138"/>
    </row>
    <row r="15" spans="1:10" s="45" customFormat="1" ht="18.75" customHeight="1">
      <c r="A15" s="81"/>
      <c r="B15" s="66"/>
      <c r="C15" s="414" t="s">
        <v>208</v>
      </c>
      <c r="D15" s="317"/>
      <c r="E15" s="317">
        <v>9891800</v>
      </c>
      <c r="F15" s="318">
        <f>SUM(F16:F17)</f>
        <v>-53000</v>
      </c>
      <c r="G15" s="532">
        <f t="shared" si="0"/>
        <v>9838800</v>
      </c>
      <c r="H15" s="138"/>
      <c r="I15"/>
      <c r="J15"/>
    </row>
    <row r="16" spans="1:10" s="45" customFormat="1" ht="18.75" customHeight="1">
      <c r="A16" s="81"/>
      <c r="B16" s="82">
        <v>4050</v>
      </c>
      <c r="C16" s="83" t="s">
        <v>402</v>
      </c>
      <c r="D16" s="177"/>
      <c r="E16" s="177">
        <v>8499000</v>
      </c>
      <c r="F16" s="135">
        <v>-11000</v>
      </c>
      <c r="G16" s="177">
        <f t="shared" si="0"/>
        <v>8488000</v>
      </c>
      <c r="H16" s="138"/>
      <c r="I16"/>
      <c r="J16"/>
    </row>
    <row r="17" spans="1:10" s="45" customFormat="1" ht="26.25" customHeight="1">
      <c r="A17" s="81"/>
      <c r="B17" s="82">
        <v>4080</v>
      </c>
      <c r="C17" s="83" t="s">
        <v>401</v>
      </c>
      <c r="D17" s="701"/>
      <c r="E17" s="701">
        <v>42000</v>
      </c>
      <c r="F17" s="582">
        <v>-42000</v>
      </c>
      <c r="G17" s="701">
        <f t="shared" si="0"/>
        <v>0</v>
      </c>
      <c r="H17" s="138"/>
      <c r="I17"/>
      <c r="J17"/>
    </row>
    <row r="18" spans="1:10" s="45" customFormat="1" ht="18.75" customHeight="1">
      <c r="A18" s="81"/>
      <c r="B18" s="459"/>
      <c r="C18" s="700" t="s">
        <v>146</v>
      </c>
      <c r="D18" s="317"/>
      <c r="E18" s="317">
        <v>36700</v>
      </c>
      <c r="F18" s="318">
        <f>F19</f>
        <v>53000</v>
      </c>
      <c r="G18" s="532">
        <f t="shared" si="0"/>
        <v>89700</v>
      </c>
      <c r="H18" s="138"/>
      <c r="I18"/>
      <c r="J18"/>
    </row>
    <row r="19" spans="1:8" s="221" customFormat="1" ht="18.75" customHeight="1">
      <c r="A19" s="202"/>
      <c r="B19" s="82">
        <v>4110</v>
      </c>
      <c r="C19" s="83" t="s">
        <v>174</v>
      </c>
      <c r="D19" s="177"/>
      <c r="E19" s="177">
        <v>32300</v>
      </c>
      <c r="F19" s="135">
        <v>53000</v>
      </c>
      <c r="G19" s="177">
        <f t="shared" si="0"/>
        <v>85300</v>
      </c>
      <c r="H19" s="211"/>
    </row>
    <row r="20" spans="1:8" ht="19.5" customHeight="1">
      <c r="A20" s="173">
        <v>853</v>
      </c>
      <c r="B20" s="72"/>
      <c r="C20" s="408" t="s">
        <v>145</v>
      </c>
      <c r="D20" s="74">
        <v>585369</v>
      </c>
      <c r="E20" s="74">
        <v>585369</v>
      </c>
      <c r="F20" s="74">
        <f>F21</f>
        <v>0</v>
      </c>
      <c r="G20" s="74">
        <f>E20+F20</f>
        <v>585369</v>
      </c>
      <c r="H20" s="138"/>
    </row>
    <row r="21" spans="1:8" ht="19.5" customHeight="1">
      <c r="A21" s="174"/>
      <c r="B21" s="78">
        <v>85321</v>
      </c>
      <c r="C21" s="78" t="s">
        <v>412</v>
      </c>
      <c r="D21" s="176">
        <v>552000</v>
      </c>
      <c r="E21" s="176">
        <v>552000</v>
      </c>
      <c r="F21" s="176">
        <f>F22+F25</f>
        <v>0</v>
      </c>
      <c r="G21" s="176">
        <f>E21+F21</f>
        <v>552000</v>
      </c>
      <c r="H21" s="138"/>
    </row>
    <row r="22" spans="1:8" s="221" customFormat="1" ht="18.75" customHeight="1">
      <c r="A22" s="202"/>
      <c r="B22" s="353"/>
      <c r="C22" s="415" t="s">
        <v>208</v>
      </c>
      <c r="D22" s="317"/>
      <c r="E22" s="317">
        <v>354300</v>
      </c>
      <c r="F22" s="318">
        <f>SUM(F23:F24)</f>
        <v>25703</v>
      </c>
      <c r="G22" s="317">
        <f aca="true" t="shared" si="1" ref="G22:G29">E22+F22</f>
        <v>380003</v>
      </c>
      <c r="H22" s="211"/>
    </row>
    <row r="23" spans="1:10" s="45" customFormat="1" ht="18.75" customHeight="1">
      <c r="A23" s="81"/>
      <c r="B23" s="82">
        <v>4040</v>
      </c>
      <c r="C23" s="83" t="s">
        <v>151</v>
      </c>
      <c r="D23" s="177"/>
      <c r="E23" s="177">
        <v>20800</v>
      </c>
      <c r="F23" s="135">
        <v>-295</v>
      </c>
      <c r="G23" s="177">
        <f t="shared" si="1"/>
        <v>20505</v>
      </c>
      <c r="H23" s="138"/>
      <c r="I23"/>
      <c r="J23"/>
    </row>
    <row r="24" spans="1:8" ht="18.75" customHeight="1">
      <c r="A24" s="531"/>
      <c r="B24" s="82">
        <v>4170</v>
      </c>
      <c r="C24" s="83" t="s">
        <v>128</v>
      </c>
      <c r="D24" s="533"/>
      <c r="E24" s="533">
        <v>80000</v>
      </c>
      <c r="F24" s="533">
        <f>295+21478+1000+1400+1825</f>
        <v>25998</v>
      </c>
      <c r="G24" s="177">
        <f t="shared" si="1"/>
        <v>105998</v>
      </c>
      <c r="H24" s="138"/>
    </row>
    <row r="25" spans="1:7" ht="18.75" customHeight="1">
      <c r="A25" s="66"/>
      <c r="B25" s="353"/>
      <c r="C25" s="415" t="s">
        <v>121</v>
      </c>
      <c r="D25" s="317"/>
      <c r="E25" s="317">
        <v>109400</v>
      </c>
      <c r="F25" s="318">
        <f>SUM(F26:F29)</f>
        <v>-25703</v>
      </c>
      <c r="G25" s="317">
        <f t="shared" si="1"/>
        <v>83697</v>
      </c>
    </row>
    <row r="26" spans="1:7" ht="18.75" customHeight="1">
      <c r="A26" s="66"/>
      <c r="B26" s="82">
        <v>4300</v>
      </c>
      <c r="C26" s="83" t="s">
        <v>119</v>
      </c>
      <c r="D26" s="177"/>
      <c r="E26" s="177">
        <v>90126</v>
      </c>
      <c r="F26" s="135">
        <v>-21478</v>
      </c>
      <c r="G26" s="177">
        <f t="shared" si="1"/>
        <v>68648</v>
      </c>
    </row>
    <row r="27" spans="1:7" ht="18.75" customHeight="1">
      <c r="A27" s="66"/>
      <c r="B27" s="361">
        <v>4410</v>
      </c>
      <c r="C27" s="818" t="s">
        <v>178</v>
      </c>
      <c r="D27" s="819"/>
      <c r="E27" s="819">
        <v>1000</v>
      </c>
      <c r="F27" s="819">
        <v>-1000</v>
      </c>
      <c r="G27" s="820">
        <f t="shared" si="1"/>
        <v>0</v>
      </c>
    </row>
    <row r="28" spans="1:7" ht="18.75" customHeight="1">
      <c r="A28" s="66"/>
      <c r="B28" s="82">
        <v>4420</v>
      </c>
      <c r="C28" s="83" t="s">
        <v>159</v>
      </c>
      <c r="D28" s="795"/>
      <c r="E28" s="795">
        <v>1400</v>
      </c>
      <c r="F28" s="142">
        <v>-1400</v>
      </c>
      <c r="G28" s="795">
        <f t="shared" si="1"/>
        <v>0</v>
      </c>
    </row>
    <row r="29" spans="1:7" ht="18.75" customHeight="1">
      <c r="A29" s="69"/>
      <c r="B29" s="82">
        <v>4440</v>
      </c>
      <c r="C29" s="83" t="s">
        <v>368</v>
      </c>
      <c r="D29" s="533"/>
      <c r="E29" s="533">
        <v>7874</v>
      </c>
      <c r="F29" s="533">
        <v>-1825</v>
      </c>
      <c r="G29" s="177">
        <f t="shared" si="1"/>
        <v>6049</v>
      </c>
    </row>
    <row r="32" spans="3:6" ht="12.75">
      <c r="C32" s="912" t="s">
        <v>487</v>
      </c>
      <c r="F32" s="912" t="s">
        <v>489</v>
      </c>
    </row>
    <row r="33" spans="3:6" ht="12.75">
      <c r="C33" s="912"/>
      <c r="F33" s="912" t="s">
        <v>490</v>
      </c>
    </row>
    <row r="34" spans="3:6" ht="12.75">
      <c r="C34" s="912" t="s">
        <v>488</v>
      </c>
      <c r="F34" s="912"/>
    </row>
    <row r="35" ht="12.75">
      <c r="F35" s="912" t="s">
        <v>491</v>
      </c>
    </row>
  </sheetData>
  <mergeCells count="4">
    <mergeCell ref="F6:F7"/>
    <mergeCell ref="G6:G7"/>
    <mergeCell ref="D6:D7"/>
    <mergeCell ref="E6:E7"/>
  </mergeCells>
  <printOptions horizontalCentered="1"/>
  <pageMargins left="0.7874015748031497" right="0.5118110236220472" top="0.4724409448818898" bottom="0.3937007874015748" header="0.5118110236220472" footer="0.1968503937007874"/>
  <pageSetup firstPageNumber="42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1"/>
  <dimension ref="A1:N41"/>
  <sheetViews>
    <sheetView zoomScale="90" zoomScaleNormal="90" zoomScaleSheetLayoutView="75" workbookViewId="0" topLeftCell="A1">
      <selection activeCell="C38" sqref="C38:F41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41.875" style="283" customWidth="1"/>
    <col min="4" max="4" width="17.75390625" style="0" customWidth="1"/>
    <col min="5" max="5" width="14.625" style="0" customWidth="1"/>
    <col min="6" max="6" width="13.875" style="0" customWidth="1"/>
    <col min="7" max="7" width="16.375" style="0" customWidth="1"/>
    <col min="8" max="8" width="12.25390625" style="0" customWidth="1"/>
    <col min="9" max="9" width="15.625" style="0" customWidth="1"/>
    <col min="10" max="10" width="15.375" style="0" customWidth="1"/>
    <col min="11" max="11" width="13.75390625" style="0" customWidth="1"/>
    <col min="12" max="12" width="16.00390625" style="0" customWidth="1"/>
    <col min="13" max="13" width="11.625" style="0" customWidth="1"/>
    <col min="14" max="14" width="12.75390625" style="0" customWidth="1"/>
  </cols>
  <sheetData>
    <row r="1" spans="3:11" s="22" customFormat="1" ht="18" customHeight="1">
      <c r="C1" s="232"/>
      <c r="J1" s="50"/>
      <c r="K1" s="50" t="s">
        <v>462</v>
      </c>
    </row>
    <row r="2" spans="3:11" s="22" customFormat="1" ht="18" customHeight="1">
      <c r="C2" s="232"/>
      <c r="H2" s="47"/>
      <c r="K2" s="22" t="s">
        <v>463</v>
      </c>
    </row>
    <row r="3" spans="3:11" s="22" customFormat="1" ht="18" customHeight="1">
      <c r="C3" s="233" t="s">
        <v>282</v>
      </c>
      <c r="G3" s="47"/>
      <c r="H3" s="47"/>
      <c r="K3" s="22" t="s">
        <v>72</v>
      </c>
    </row>
    <row r="4" spans="3:11" s="22" customFormat="1" ht="18" customHeight="1">
      <c r="C4" s="232"/>
      <c r="G4" s="47"/>
      <c r="K4" s="22" t="s">
        <v>398</v>
      </c>
    </row>
    <row r="5" spans="2:12" s="22" customFormat="1" ht="16.5" customHeight="1" thickBot="1">
      <c r="B5" s="213"/>
      <c r="C5" s="232"/>
      <c r="G5" s="47"/>
      <c r="K5" s="121"/>
      <c r="L5" s="234" t="s">
        <v>73</v>
      </c>
    </row>
    <row r="6" spans="1:12" s="22" customFormat="1" ht="42" customHeight="1" thickBot="1" thickTop="1">
      <c r="A6" s="235"/>
      <c r="B6" s="235"/>
      <c r="C6" s="236"/>
      <c r="D6" s="883" t="s">
        <v>283</v>
      </c>
      <c r="E6" s="885" t="s">
        <v>284</v>
      </c>
      <c r="F6" s="886"/>
      <c r="G6" s="887"/>
      <c r="H6" s="237"/>
      <c r="I6" s="238" t="s">
        <v>75</v>
      </c>
      <c r="J6" s="885" t="s">
        <v>284</v>
      </c>
      <c r="K6" s="886"/>
      <c r="L6" s="887"/>
    </row>
    <row r="7" spans="1:12" s="22" customFormat="1" ht="67.5" customHeight="1" thickBot="1" thickTop="1">
      <c r="A7" s="239" t="s">
        <v>123</v>
      </c>
      <c r="B7" s="240" t="s">
        <v>285</v>
      </c>
      <c r="C7" s="240" t="s">
        <v>286</v>
      </c>
      <c r="D7" s="884"/>
      <c r="E7" s="110" t="s">
        <v>287</v>
      </c>
      <c r="F7" s="110" t="s">
        <v>288</v>
      </c>
      <c r="G7" s="110" t="s">
        <v>289</v>
      </c>
      <c r="H7" s="241" t="s">
        <v>138</v>
      </c>
      <c r="I7" s="240" t="s">
        <v>290</v>
      </c>
      <c r="J7" s="110" t="s">
        <v>287</v>
      </c>
      <c r="K7" s="110" t="s">
        <v>288</v>
      </c>
      <c r="L7" s="110" t="s">
        <v>289</v>
      </c>
    </row>
    <row r="8" spans="1:12" s="18" customFormat="1" ht="18" customHeight="1" thickBot="1" thickTop="1">
      <c r="A8" s="242">
        <v>1</v>
      </c>
      <c r="B8" s="242">
        <v>2</v>
      </c>
      <c r="C8" s="243">
        <v>3</v>
      </c>
      <c r="D8" s="242">
        <v>4</v>
      </c>
      <c r="E8" s="242">
        <v>5</v>
      </c>
      <c r="F8" s="244">
        <v>6</v>
      </c>
      <c r="G8" s="242">
        <v>7</v>
      </c>
      <c r="H8" s="242">
        <v>8</v>
      </c>
      <c r="I8" s="242">
        <v>9</v>
      </c>
      <c r="J8" s="242">
        <v>10</v>
      </c>
      <c r="K8" s="244">
        <v>11</v>
      </c>
      <c r="L8" s="244">
        <v>12</v>
      </c>
    </row>
    <row r="9" spans="1:14" s="215" customFormat="1" ht="24" customHeight="1" thickBot="1" thickTop="1">
      <c r="A9" s="245"/>
      <c r="B9" s="245"/>
      <c r="C9" s="246" t="s">
        <v>291</v>
      </c>
      <c r="D9" s="247">
        <v>204180816</v>
      </c>
      <c r="E9" s="247">
        <v>147185449</v>
      </c>
      <c r="F9" s="247">
        <v>50193276</v>
      </c>
      <c r="G9" s="247">
        <v>6802091</v>
      </c>
      <c r="H9" s="248">
        <f>H11+H34</f>
        <v>-506100</v>
      </c>
      <c r="I9" s="249">
        <f>D9+H9</f>
        <v>203674716</v>
      </c>
      <c r="J9" s="250">
        <f>E9+H15+H18+H21+H26+H30+14792</f>
        <v>146634971</v>
      </c>
      <c r="K9" s="250">
        <f>F9+44378</f>
        <v>50237654</v>
      </c>
      <c r="L9" s="251">
        <f>G9</f>
        <v>6802091</v>
      </c>
      <c r="M9" s="252"/>
      <c r="N9" s="52"/>
    </row>
    <row r="10" spans="1:13" s="124" customFormat="1" ht="12.75" customHeight="1">
      <c r="A10" s="67"/>
      <c r="B10" s="67"/>
      <c r="C10" s="253" t="s">
        <v>94</v>
      </c>
      <c r="D10" s="201"/>
      <c r="E10" s="201"/>
      <c r="F10" s="201"/>
      <c r="G10" s="254"/>
      <c r="H10" s="255"/>
      <c r="I10" s="256"/>
      <c r="J10" s="257"/>
      <c r="K10" s="257"/>
      <c r="L10" s="258"/>
      <c r="M10" s="252"/>
    </row>
    <row r="11" spans="1:14" ht="22.5" customHeight="1" thickBot="1">
      <c r="A11" s="308"/>
      <c r="B11" s="308"/>
      <c r="C11" s="218" t="s">
        <v>96</v>
      </c>
      <c r="D11" s="180">
        <v>202715506</v>
      </c>
      <c r="E11" s="831">
        <v>146671139</v>
      </c>
      <c r="F11" s="831">
        <v>50193276</v>
      </c>
      <c r="G11" s="831">
        <v>5851091</v>
      </c>
      <c r="H11" s="832">
        <f>H12+H15+H18+H21+H26+H30</f>
        <v>-506100</v>
      </c>
      <c r="I11" s="833">
        <f aca="true" t="shared" si="0" ref="I11:I32">D11+H11</f>
        <v>202209406</v>
      </c>
      <c r="J11" s="834">
        <f>E11+H15+H19+H21+H26+H30+14792</f>
        <v>146120661</v>
      </c>
      <c r="K11" s="834">
        <f>F11+44378</f>
        <v>50237654</v>
      </c>
      <c r="L11" s="835">
        <f>G11</f>
        <v>5851091</v>
      </c>
      <c r="M11" s="252"/>
      <c r="N11" s="52"/>
    </row>
    <row r="12" spans="1:14" s="213" customFormat="1" ht="22.5" customHeight="1" thickBot="1" thickTop="1">
      <c r="A12" s="259">
        <v>750</v>
      </c>
      <c r="B12" s="259"/>
      <c r="C12" s="260" t="s">
        <v>107</v>
      </c>
      <c r="D12" s="261">
        <v>6073030</v>
      </c>
      <c r="E12" s="261">
        <v>5515398</v>
      </c>
      <c r="F12" s="261">
        <v>557632</v>
      </c>
      <c r="G12" s="261"/>
      <c r="H12" s="262">
        <f>H13</f>
        <v>59170</v>
      </c>
      <c r="I12" s="263">
        <f t="shared" si="0"/>
        <v>6132200</v>
      </c>
      <c r="J12" s="264">
        <f>E12+14792</f>
        <v>5530190</v>
      </c>
      <c r="K12" s="264">
        <f>F12+44378</f>
        <v>602010</v>
      </c>
      <c r="L12" s="265"/>
      <c r="M12" s="116"/>
      <c r="N12" s="116"/>
    </row>
    <row r="13" spans="1:14" s="213" customFormat="1" ht="22.5" customHeight="1">
      <c r="A13" s="266"/>
      <c r="B13" s="267">
        <v>75023</v>
      </c>
      <c r="C13" s="149" t="s">
        <v>120</v>
      </c>
      <c r="D13" s="268">
        <v>6073030</v>
      </c>
      <c r="E13" s="268">
        <v>5515398</v>
      </c>
      <c r="F13" s="268">
        <v>557632</v>
      </c>
      <c r="G13" s="268"/>
      <c r="H13" s="269">
        <f>H14</f>
        <v>59170</v>
      </c>
      <c r="I13" s="270">
        <f t="shared" si="0"/>
        <v>6132200</v>
      </c>
      <c r="J13" s="271">
        <f>E13+14792</f>
        <v>5530190</v>
      </c>
      <c r="K13" s="271">
        <f>F13+44378</f>
        <v>602010</v>
      </c>
      <c r="L13" s="272"/>
      <c r="M13" s="116"/>
      <c r="N13" s="116"/>
    </row>
    <row r="14" spans="1:14" s="22" customFormat="1" ht="40.5" customHeight="1">
      <c r="A14" s="266"/>
      <c r="B14" s="273"/>
      <c r="C14" s="311" t="s">
        <v>415</v>
      </c>
      <c r="D14" s="451">
        <v>743509</v>
      </c>
      <c r="E14" s="451">
        <v>185877</v>
      </c>
      <c r="F14" s="451">
        <v>557632</v>
      </c>
      <c r="G14" s="451"/>
      <c r="H14" s="452">
        <v>59170</v>
      </c>
      <c r="I14" s="453">
        <f t="shared" si="0"/>
        <v>802679</v>
      </c>
      <c r="J14" s="454">
        <f>E14+14792</f>
        <v>200669</v>
      </c>
      <c r="K14" s="454">
        <f>F14+44378</f>
        <v>602010</v>
      </c>
      <c r="L14" s="455"/>
      <c r="M14" s="47"/>
      <c r="N14" s="47"/>
    </row>
    <row r="15" spans="1:14" s="213" customFormat="1" ht="29.25" customHeight="1" thickBot="1">
      <c r="A15" s="259">
        <v>754</v>
      </c>
      <c r="B15" s="259"/>
      <c r="C15" s="260" t="s">
        <v>97</v>
      </c>
      <c r="D15" s="261">
        <v>995000</v>
      </c>
      <c r="E15" s="261">
        <v>995000</v>
      </c>
      <c r="F15" s="261"/>
      <c r="G15" s="261"/>
      <c r="H15" s="262">
        <f>H16</f>
        <v>1914</v>
      </c>
      <c r="I15" s="263">
        <f t="shared" si="0"/>
        <v>996914</v>
      </c>
      <c r="J15" s="264">
        <f aca="true" t="shared" si="1" ref="J15:J32">E15+H15</f>
        <v>996914</v>
      </c>
      <c r="K15" s="264"/>
      <c r="L15" s="265"/>
      <c r="M15" s="116"/>
      <c r="N15" s="116"/>
    </row>
    <row r="16" spans="1:14" s="213" customFormat="1" ht="22.5" customHeight="1">
      <c r="A16" s="266"/>
      <c r="B16" s="267">
        <v>75416</v>
      </c>
      <c r="C16" s="149" t="s">
        <v>210</v>
      </c>
      <c r="D16" s="268">
        <v>100000</v>
      </c>
      <c r="E16" s="268">
        <v>100000</v>
      </c>
      <c r="F16" s="268"/>
      <c r="G16" s="268"/>
      <c r="H16" s="269">
        <f>H17</f>
        <v>1914</v>
      </c>
      <c r="I16" s="270">
        <f t="shared" si="0"/>
        <v>101914</v>
      </c>
      <c r="J16" s="271">
        <f t="shared" si="1"/>
        <v>101914</v>
      </c>
      <c r="K16" s="271"/>
      <c r="L16" s="272"/>
      <c r="M16" s="116"/>
      <c r="N16" s="116"/>
    </row>
    <row r="17" spans="1:14" s="22" customFormat="1" ht="22.5" customHeight="1">
      <c r="A17" s="266"/>
      <c r="B17" s="273"/>
      <c r="C17" s="486" t="s">
        <v>292</v>
      </c>
      <c r="D17" s="451">
        <v>100000</v>
      </c>
      <c r="E17" s="451">
        <v>100000</v>
      </c>
      <c r="F17" s="451"/>
      <c r="G17" s="451"/>
      <c r="H17" s="452">
        <v>1914</v>
      </c>
      <c r="I17" s="453">
        <f t="shared" si="0"/>
        <v>101914</v>
      </c>
      <c r="J17" s="454">
        <f t="shared" si="1"/>
        <v>101914</v>
      </c>
      <c r="K17" s="454"/>
      <c r="L17" s="455"/>
      <c r="M17" s="47"/>
      <c r="N17" s="47"/>
    </row>
    <row r="18" spans="1:14" s="213" customFormat="1" ht="22.5" customHeight="1" thickBot="1">
      <c r="A18" s="259">
        <v>758</v>
      </c>
      <c r="B18" s="259"/>
      <c r="C18" s="260" t="s">
        <v>98</v>
      </c>
      <c r="D18" s="261">
        <v>2457141</v>
      </c>
      <c r="E18" s="261">
        <v>2457141</v>
      </c>
      <c r="F18" s="261"/>
      <c r="G18" s="261"/>
      <c r="H18" s="262">
        <f>H19</f>
        <v>-59170</v>
      </c>
      <c r="I18" s="263">
        <f t="shared" si="0"/>
        <v>2397971</v>
      </c>
      <c r="J18" s="264">
        <f t="shared" si="1"/>
        <v>2397971</v>
      </c>
      <c r="K18" s="264"/>
      <c r="L18" s="265"/>
      <c r="M18" s="116"/>
      <c r="N18" s="116"/>
    </row>
    <row r="19" spans="1:14" s="213" customFormat="1" ht="22.5" customHeight="1">
      <c r="A19" s="266"/>
      <c r="B19" s="267">
        <v>75818</v>
      </c>
      <c r="C19" s="149" t="s">
        <v>99</v>
      </c>
      <c r="D19" s="268">
        <v>2457141</v>
      </c>
      <c r="E19" s="268">
        <v>2457141</v>
      </c>
      <c r="F19" s="268"/>
      <c r="G19" s="268"/>
      <c r="H19" s="269">
        <f>H20</f>
        <v>-59170</v>
      </c>
      <c r="I19" s="270">
        <f t="shared" si="0"/>
        <v>2397971</v>
      </c>
      <c r="J19" s="271">
        <f t="shared" si="1"/>
        <v>2397971</v>
      </c>
      <c r="K19" s="271"/>
      <c r="L19" s="272"/>
      <c r="M19" s="116"/>
      <c r="N19" s="116"/>
    </row>
    <row r="20" spans="1:14" s="22" customFormat="1" ht="43.5" customHeight="1">
      <c r="A20" s="266"/>
      <c r="B20" s="273"/>
      <c r="C20" s="836" t="s">
        <v>310</v>
      </c>
      <c r="D20" s="451">
        <v>2457141</v>
      </c>
      <c r="E20" s="451">
        <v>2457141</v>
      </c>
      <c r="F20" s="451"/>
      <c r="G20" s="451"/>
      <c r="H20" s="452">
        <v>-59170</v>
      </c>
      <c r="I20" s="453">
        <f t="shared" si="0"/>
        <v>2397971</v>
      </c>
      <c r="J20" s="454">
        <f t="shared" si="1"/>
        <v>2397971</v>
      </c>
      <c r="K20" s="454"/>
      <c r="L20" s="455"/>
      <c r="M20" s="47"/>
      <c r="N20" s="47"/>
    </row>
    <row r="21" spans="1:14" s="213" customFormat="1" ht="22.5" customHeight="1" thickBot="1">
      <c r="A21" s="259">
        <v>801</v>
      </c>
      <c r="B21" s="259"/>
      <c r="C21" s="260" t="s">
        <v>103</v>
      </c>
      <c r="D21" s="261">
        <v>35985938</v>
      </c>
      <c r="E21" s="261">
        <f>28515242+5170705</f>
        <v>33685947</v>
      </c>
      <c r="F21" s="261"/>
      <c r="G21" s="261">
        <v>2299991</v>
      </c>
      <c r="H21" s="262">
        <f>H22+H24</f>
        <v>-444514</v>
      </c>
      <c r="I21" s="263">
        <f t="shared" si="0"/>
        <v>35541424</v>
      </c>
      <c r="J21" s="264">
        <f t="shared" si="1"/>
        <v>33241433</v>
      </c>
      <c r="K21" s="264"/>
      <c r="L21" s="265">
        <f>G21</f>
        <v>2299991</v>
      </c>
      <c r="M21" s="116"/>
      <c r="N21" s="116"/>
    </row>
    <row r="22" spans="1:14" s="213" customFormat="1" ht="22.5" customHeight="1">
      <c r="A22" s="266"/>
      <c r="B22" s="267">
        <v>80104</v>
      </c>
      <c r="C22" s="149" t="s">
        <v>263</v>
      </c>
      <c r="D22" s="268">
        <v>1404475</v>
      </c>
      <c r="E22" s="268">
        <f>522170+882305</f>
        <v>1404475</v>
      </c>
      <c r="F22" s="268"/>
      <c r="G22" s="268"/>
      <c r="H22" s="269">
        <f>H23</f>
        <v>4000</v>
      </c>
      <c r="I22" s="270">
        <f t="shared" si="0"/>
        <v>1408475</v>
      </c>
      <c r="J22" s="271">
        <f t="shared" si="1"/>
        <v>1408475</v>
      </c>
      <c r="K22" s="271"/>
      <c r="L22" s="272"/>
      <c r="M22" s="116"/>
      <c r="N22" s="116"/>
    </row>
    <row r="23" spans="1:14" s="22" customFormat="1" ht="22.5" customHeight="1">
      <c r="A23" s="266"/>
      <c r="B23" s="273"/>
      <c r="C23" s="487" t="s">
        <v>292</v>
      </c>
      <c r="D23" s="451">
        <v>9570</v>
      </c>
      <c r="E23" s="451">
        <v>9570</v>
      </c>
      <c r="F23" s="451"/>
      <c r="G23" s="451"/>
      <c r="H23" s="452">
        <v>4000</v>
      </c>
      <c r="I23" s="453">
        <f t="shared" si="0"/>
        <v>13570</v>
      </c>
      <c r="J23" s="454">
        <f t="shared" si="1"/>
        <v>13570</v>
      </c>
      <c r="K23" s="454"/>
      <c r="L23" s="455"/>
      <c r="M23" s="47"/>
      <c r="N23" s="47"/>
    </row>
    <row r="24" spans="1:14" s="213" customFormat="1" ht="22.5" customHeight="1">
      <c r="A24" s="266"/>
      <c r="B24" s="267">
        <v>80130</v>
      </c>
      <c r="C24" s="149" t="s">
        <v>148</v>
      </c>
      <c r="D24" s="268">
        <v>10436585</v>
      </c>
      <c r="E24" s="268">
        <f>7653185+1983400</f>
        <v>9636585</v>
      </c>
      <c r="F24" s="268"/>
      <c r="G24" s="268">
        <v>800000</v>
      </c>
      <c r="H24" s="269">
        <f>H25</f>
        <v>-448514</v>
      </c>
      <c r="I24" s="270">
        <f t="shared" si="0"/>
        <v>9988071</v>
      </c>
      <c r="J24" s="271">
        <f t="shared" si="1"/>
        <v>9188071</v>
      </c>
      <c r="K24" s="271"/>
      <c r="L24" s="272">
        <f>G24</f>
        <v>800000</v>
      </c>
      <c r="M24" s="116"/>
      <c r="N24" s="116"/>
    </row>
    <row r="25" spans="1:14" s="22" customFormat="1" ht="22.5" customHeight="1">
      <c r="A25" s="266"/>
      <c r="B25" s="273"/>
      <c r="C25" s="487" t="s">
        <v>433</v>
      </c>
      <c r="D25" s="451">
        <v>4556395</v>
      </c>
      <c r="E25" s="451">
        <f>1772995+1983400</f>
        <v>3756395</v>
      </c>
      <c r="F25" s="451"/>
      <c r="G25" s="451">
        <v>800000</v>
      </c>
      <c r="H25" s="452">
        <v>-448514</v>
      </c>
      <c r="I25" s="453">
        <f t="shared" si="0"/>
        <v>4107881</v>
      </c>
      <c r="J25" s="454">
        <f t="shared" si="1"/>
        <v>3307881</v>
      </c>
      <c r="K25" s="454"/>
      <c r="L25" s="455">
        <f>G25</f>
        <v>800000</v>
      </c>
      <c r="M25" s="47"/>
      <c r="N25" s="47"/>
    </row>
    <row r="26" spans="1:14" s="213" customFormat="1" ht="22.5" customHeight="1" thickBot="1">
      <c r="A26" s="259">
        <v>851</v>
      </c>
      <c r="B26" s="259"/>
      <c r="C26" s="260" t="s">
        <v>106</v>
      </c>
      <c r="D26" s="261">
        <v>926000</v>
      </c>
      <c r="E26" s="261">
        <v>926000</v>
      </c>
      <c r="F26" s="261"/>
      <c r="G26" s="261"/>
      <c r="H26" s="262">
        <f>H27</f>
        <v>-4500</v>
      </c>
      <c r="I26" s="263">
        <f t="shared" si="0"/>
        <v>921500</v>
      </c>
      <c r="J26" s="264">
        <f t="shared" si="1"/>
        <v>921500</v>
      </c>
      <c r="K26" s="264"/>
      <c r="L26" s="265"/>
      <c r="M26" s="116"/>
      <c r="N26" s="116"/>
    </row>
    <row r="27" spans="1:14" s="213" customFormat="1" ht="22.5" customHeight="1">
      <c r="A27" s="266"/>
      <c r="B27" s="267">
        <v>85154</v>
      </c>
      <c r="C27" s="149" t="s">
        <v>127</v>
      </c>
      <c r="D27" s="268">
        <v>777000</v>
      </c>
      <c r="E27" s="268">
        <v>777000</v>
      </c>
      <c r="F27" s="268"/>
      <c r="G27" s="268"/>
      <c r="H27" s="269">
        <f>H28</f>
        <v>-4500</v>
      </c>
      <c r="I27" s="270">
        <f t="shared" si="0"/>
        <v>772500</v>
      </c>
      <c r="J27" s="271">
        <f t="shared" si="1"/>
        <v>772500</v>
      </c>
      <c r="K27" s="271"/>
      <c r="L27" s="272"/>
      <c r="M27" s="116"/>
      <c r="N27" s="116"/>
    </row>
    <row r="28" spans="1:14" s="22" customFormat="1" ht="22.5" customHeight="1">
      <c r="A28" s="535"/>
      <c r="B28" s="536"/>
      <c r="C28" s="486" t="s">
        <v>292</v>
      </c>
      <c r="D28" s="451">
        <v>77000</v>
      </c>
      <c r="E28" s="451">
        <v>77000</v>
      </c>
      <c r="F28" s="451"/>
      <c r="G28" s="451"/>
      <c r="H28" s="452">
        <f>-8000+3500</f>
        <v>-4500</v>
      </c>
      <c r="I28" s="453">
        <f t="shared" si="0"/>
        <v>72500</v>
      </c>
      <c r="J28" s="454">
        <f t="shared" si="1"/>
        <v>72500</v>
      </c>
      <c r="K28" s="454"/>
      <c r="L28" s="455"/>
      <c r="M28" s="47"/>
      <c r="N28" s="47"/>
    </row>
    <row r="29" spans="1:14" s="22" customFormat="1" ht="31.5" customHeight="1">
      <c r="A29" s="786"/>
      <c r="B29" s="787"/>
      <c r="C29" s="788"/>
      <c r="D29" s="788"/>
      <c r="E29" s="788"/>
      <c r="F29" s="788"/>
      <c r="G29" s="788"/>
      <c r="H29" s="788"/>
      <c r="I29" s="788"/>
      <c r="J29" s="788"/>
      <c r="K29" s="788"/>
      <c r="L29" s="788"/>
      <c r="M29" s="47"/>
      <c r="N29" s="47"/>
    </row>
    <row r="30" spans="1:14" s="213" customFormat="1" ht="21.75" customHeight="1" thickBot="1">
      <c r="A30" s="779">
        <v>854</v>
      </c>
      <c r="B30" s="779"/>
      <c r="C30" s="780" t="s">
        <v>105</v>
      </c>
      <c r="D30" s="781">
        <v>1325964</v>
      </c>
      <c r="E30" s="781">
        <v>424864</v>
      </c>
      <c r="F30" s="781"/>
      <c r="G30" s="781">
        <v>901100</v>
      </c>
      <c r="H30" s="782">
        <f>H31</f>
        <v>-59000</v>
      </c>
      <c r="I30" s="783">
        <f t="shared" si="0"/>
        <v>1266964</v>
      </c>
      <c r="J30" s="784">
        <f t="shared" si="1"/>
        <v>365864</v>
      </c>
      <c r="K30" s="784"/>
      <c r="L30" s="785">
        <f>G30</f>
        <v>901100</v>
      </c>
      <c r="M30" s="116"/>
      <c r="N30" s="116"/>
    </row>
    <row r="31" spans="1:14" s="213" customFormat="1" ht="21.75" customHeight="1">
      <c r="A31" s="266"/>
      <c r="B31" s="267">
        <v>85403</v>
      </c>
      <c r="C31" s="462" t="s">
        <v>324</v>
      </c>
      <c r="D31" s="268">
        <v>1192364</v>
      </c>
      <c r="E31" s="268">
        <v>291264</v>
      </c>
      <c r="F31" s="268"/>
      <c r="G31" s="268">
        <v>901100</v>
      </c>
      <c r="H31" s="269">
        <f>H32</f>
        <v>-59000</v>
      </c>
      <c r="I31" s="270">
        <f t="shared" si="0"/>
        <v>1133364</v>
      </c>
      <c r="J31" s="271">
        <f t="shared" si="1"/>
        <v>232264</v>
      </c>
      <c r="K31" s="271"/>
      <c r="L31" s="272">
        <f>G31</f>
        <v>901100</v>
      </c>
      <c r="M31" s="116"/>
      <c r="N31" s="116"/>
    </row>
    <row r="32" spans="1:14" s="22" customFormat="1" ht="21.75" customHeight="1">
      <c r="A32" s="266"/>
      <c r="B32" s="273"/>
      <c r="C32" s="454" t="s">
        <v>434</v>
      </c>
      <c r="D32" s="451">
        <v>99057</v>
      </c>
      <c r="E32" s="451">
        <v>99057</v>
      </c>
      <c r="F32" s="451"/>
      <c r="G32" s="451"/>
      <c r="H32" s="452">
        <v>-59000</v>
      </c>
      <c r="I32" s="453">
        <f t="shared" si="0"/>
        <v>40057</v>
      </c>
      <c r="J32" s="454">
        <f t="shared" si="1"/>
        <v>40057</v>
      </c>
      <c r="K32" s="454"/>
      <c r="L32" s="455"/>
      <c r="M32" s="47"/>
      <c r="N32" s="47"/>
    </row>
    <row r="33" spans="1:12" s="281" customFormat="1" ht="31.5" customHeight="1" thickBot="1">
      <c r="A33" s="837"/>
      <c r="B33" s="838"/>
      <c r="C33" s="843" t="s">
        <v>129</v>
      </c>
      <c r="D33" s="839">
        <v>981310</v>
      </c>
      <c r="E33" s="839">
        <v>514310</v>
      </c>
      <c r="F33" s="839"/>
      <c r="G33" s="840">
        <v>467000</v>
      </c>
      <c r="H33" s="841"/>
      <c r="I33" s="842">
        <f>D33</f>
        <v>981310</v>
      </c>
      <c r="J33" s="839">
        <f>E33</f>
        <v>514310</v>
      </c>
      <c r="K33" s="839"/>
      <c r="L33" s="839">
        <f>G33</f>
        <v>467000</v>
      </c>
    </row>
    <row r="34" spans="1:12" s="281" customFormat="1" ht="21.75" customHeight="1" thickTop="1">
      <c r="A34" s="274"/>
      <c r="B34" s="275"/>
      <c r="C34" s="276" t="s">
        <v>293</v>
      </c>
      <c r="D34" s="277">
        <v>484000</v>
      </c>
      <c r="E34" s="277"/>
      <c r="F34" s="277"/>
      <c r="G34" s="278">
        <v>484000</v>
      </c>
      <c r="H34" s="279"/>
      <c r="I34" s="280">
        <f>SUM(J34:L34)</f>
        <v>484000</v>
      </c>
      <c r="J34" s="277"/>
      <c r="K34" s="277"/>
      <c r="L34" s="277">
        <f>G34+H34</f>
        <v>484000</v>
      </c>
    </row>
    <row r="35" s="281" customFormat="1" ht="12" customHeight="1">
      <c r="C35" s="282"/>
    </row>
    <row r="36" spans="2:12" s="494" customFormat="1" ht="19.5" customHeight="1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</row>
    <row r="38" spans="3:6" ht="12.75">
      <c r="C38" s="912" t="s">
        <v>487</v>
      </c>
      <c r="D38" s="22"/>
      <c r="E38" s="22"/>
      <c r="F38" s="912" t="s">
        <v>489</v>
      </c>
    </row>
    <row r="39" spans="3:6" ht="12.75">
      <c r="C39" s="912"/>
      <c r="D39" s="22"/>
      <c r="E39" s="22"/>
      <c r="F39" s="912" t="s">
        <v>490</v>
      </c>
    </row>
    <row r="40" spans="3:6" ht="12.75">
      <c r="C40" s="912" t="s">
        <v>488</v>
      </c>
      <c r="D40" s="22"/>
      <c r="E40" s="22"/>
      <c r="F40" s="912"/>
    </row>
    <row r="41" spans="3:6" ht="12.75">
      <c r="C41" s="22"/>
      <c r="D41" s="22"/>
      <c r="E41" s="22"/>
      <c r="F41" s="912" t="s">
        <v>491</v>
      </c>
    </row>
  </sheetData>
  <mergeCells count="3">
    <mergeCell ref="D6:D7"/>
    <mergeCell ref="E6:G6"/>
    <mergeCell ref="J6:L6"/>
  </mergeCells>
  <printOptions horizontalCentered="1"/>
  <pageMargins left="0.3937007874015748" right="0.3937007874015748" top="0.4330708661417323" bottom="0.3937007874015748" header="0.31496062992125984" footer="0.1968503937007874"/>
  <pageSetup firstPageNumber="9" useFirstPageNumber="1" horizontalDpi="300" verticalDpi="300" orientation="landscape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22"/>
  <sheetViews>
    <sheetView zoomScale="70" zoomScaleNormal="70" workbookViewId="0" topLeftCell="A1">
      <selection activeCell="G28" sqref="G28"/>
    </sheetView>
  </sheetViews>
  <sheetFormatPr defaultColWidth="9.00390625" defaultRowHeight="12.75"/>
  <cols>
    <col min="1" max="1" width="7.375" style="0" customWidth="1"/>
    <col min="2" max="2" width="9.00390625" style="0" customWidth="1"/>
    <col min="3" max="3" width="39.625" style="283" customWidth="1"/>
    <col min="4" max="4" width="37.75390625" style="283" customWidth="1"/>
    <col min="5" max="5" width="16.875" style="283" customWidth="1"/>
    <col min="6" max="6" width="13.25390625" style="499" customWidth="1"/>
    <col min="7" max="7" width="16.125" style="499" customWidth="1"/>
    <col min="8" max="8" width="16.75390625" style="499" customWidth="1"/>
    <col min="9" max="9" width="16.625" style="0" customWidth="1"/>
    <col min="10" max="10" width="16.375" style="0" customWidth="1"/>
    <col min="11" max="11" width="15.875" style="0" customWidth="1"/>
    <col min="12" max="12" width="17.125" style="0" customWidth="1"/>
    <col min="13" max="13" width="11.75390625" style="0" hidden="1" customWidth="1"/>
    <col min="14" max="14" width="15.125" style="0" customWidth="1"/>
    <col min="15" max="15" width="15.375" style="0" customWidth="1"/>
    <col min="16" max="16" width="17.625" style="0" customWidth="1"/>
    <col min="17" max="17" width="11.75390625" style="0" hidden="1" customWidth="1"/>
    <col min="18" max="18" width="12.25390625" style="0" hidden="1" customWidth="1"/>
    <col min="19" max="19" width="3.00390625" style="0" hidden="1" customWidth="1"/>
    <col min="20" max="20" width="15.125" style="0" customWidth="1"/>
    <col min="21" max="21" width="15.375" style="0" customWidth="1"/>
    <col min="22" max="22" width="17.125" style="0" customWidth="1"/>
    <col min="23" max="23" width="16.75390625" style="499" hidden="1" customWidth="1"/>
    <col min="24" max="24" width="16.625" style="0" customWidth="1"/>
    <col min="25" max="25" width="16.375" style="0" customWidth="1"/>
    <col min="26" max="26" width="15.875" style="0" customWidth="1"/>
    <col min="27" max="27" width="16.625" style="0" customWidth="1"/>
    <col min="28" max="28" width="11.75390625" style="0" hidden="1" customWidth="1"/>
    <col min="29" max="29" width="15.125" style="0" customWidth="1"/>
    <col min="30" max="30" width="15.375" style="0" customWidth="1"/>
    <col min="31" max="31" width="17.625" style="0" customWidth="1"/>
    <col min="32" max="32" width="11.75390625" style="0" hidden="1" customWidth="1"/>
    <col min="33" max="33" width="12.25390625" style="0" hidden="1" customWidth="1"/>
    <col min="34" max="34" width="3.00390625" style="0" hidden="1" customWidth="1"/>
    <col min="35" max="35" width="15.125" style="0" customWidth="1"/>
    <col min="36" max="36" width="15.375" style="0" customWidth="1"/>
    <col min="37" max="37" width="17.625" style="0" customWidth="1"/>
  </cols>
  <sheetData>
    <row r="1" spans="3:35" s="620" customFormat="1" ht="21" customHeight="1">
      <c r="C1" s="621"/>
      <c r="D1" s="621"/>
      <c r="E1" s="621"/>
      <c r="F1" s="622"/>
      <c r="G1" s="622"/>
      <c r="H1" s="622"/>
      <c r="N1" s="675"/>
      <c r="T1" s="675"/>
      <c r="W1" s="622"/>
      <c r="AC1" s="675"/>
      <c r="AI1" s="675" t="s">
        <v>276</v>
      </c>
    </row>
    <row r="2" spans="7:35" s="620" customFormat="1" ht="21" customHeight="1">
      <c r="G2" s="623"/>
      <c r="H2" s="623"/>
      <c r="N2" s="675"/>
      <c r="T2" s="675"/>
      <c r="W2" s="623"/>
      <c r="AC2" s="675"/>
      <c r="AI2" s="675" t="s">
        <v>463</v>
      </c>
    </row>
    <row r="3" spans="3:35" s="620" customFormat="1" ht="21" customHeight="1">
      <c r="C3" s="891" t="s">
        <v>374</v>
      </c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2"/>
      <c r="Y3" s="892"/>
      <c r="Z3" s="892"/>
      <c r="AA3" s="892"/>
      <c r="AC3" s="675"/>
      <c r="AI3" s="675" t="s">
        <v>72</v>
      </c>
    </row>
    <row r="4" spans="3:35" s="620" customFormat="1" ht="21" customHeight="1">
      <c r="C4" s="893"/>
      <c r="D4" s="893"/>
      <c r="E4" s="893"/>
      <c r="F4" s="893"/>
      <c r="G4" s="893"/>
      <c r="H4" s="622"/>
      <c r="N4" s="675"/>
      <c r="T4" s="675"/>
      <c r="W4" s="622"/>
      <c r="AC4" s="675"/>
      <c r="AI4" s="675" t="s">
        <v>398</v>
      </c>
    </row>
    <row r="5" spans="3:23" s="620" customFormat="1" ht="21" customHeight="1">
      <c r="C5" s="624"/>
      <c r="D5" s="624"/>
      <c r="E5" s="624"/>
      <c r="F5" s="624"/>
      <c r="G5" s="624"/>
      <c r="H5" s="622"/>
      <c r="W5" s="622"/>
    </row>
    <row r="6" spans="2:37" s="620" customFormat="1" ht="21" customHeight="1" thickBot="1">
      <c r="B6" s="625"/>
      <c r="C6" s="621"/>
      <c r="D6" s="621"/>
      <c r="E6" s="621"/>
      <c r="F6" s="622"/>
      <c r="G6" s="622"/>
      <c r="H6" s="622"/>
      <c r="M6" s="626"/>
      <c r="P6" s="627"/>
      <c r="V6" s="627"/>
      <c r="W6" s="622"/>
      <c r="AB6" s="626"/>
      <c r="AE6" s="627"/>
      <c r="AK6" s="627" t="s">
        <v>73</v>
      </c>
    </row>
    <row r="7" spans="1:37" s="1" customFormat="1" ht="35.25" customHeight="1" thickBot="1" thickTop="1">
      <c r="A7" s="628"/>
      <c r="B7" s="628"/>
      <c r="C7" s="629"/>
      <c r="D7" s="629"/>
      <c r="E7" s="630" t="s">
        <v>346</v>
      </c>
      <c r="F7" s="630"/>
      <c r="G7" s="630"/>
      <c r="H7" s="630"/>
      <c r="I7" s="630"/>
      <c r="J7" s="888" t="s">
        <v>396</v>
      </c>
      <c r="K7" s="889"/>
      <c r="L7" s="890"/>
      <c r="M7" s="630"/>
      <c r="N7" s="888" t="s">
        <v>387</v>
      </c>
      <c r="O7" s="889"/>
      <c r="P7" s="890"/>
      <c r="Q7" s="888" t="s">
        <v>375</v>
      </c>
      <c r="R7" s="889"/>
      <c r="S7" s="890"/>
      <c r="T7" s="888" t="s">
        <v>388</v>
      </c>
      <c r="U7" s="889"/>
      <c r="V7" s="890"/>
      <c r="W7" s="630"/>
      <c r="X7" s="630"/>
      <c r="Y7" s="888" t="s">
        <v>396</v>
      </c>
      <c r="Z7" s="889"/>
      <c r="AA7" s="890"/>
      <c r="AB7" s="630"/>
      <c r="AC7" s="888" t="s">
        <v>389</v>
      </c>
      <c r="AD7" s="889"/>
      <c r="AE7" s="890"/>
      <c r="AF7" s="888" t="s">
        <v>375</v>
      </c>
      <c r="AG7" s="889"/>
      <c r="AH7" s="890"/>
      <c r="AI7" s="888" t="s">
        <v>390</v>
      </c>
      <c r="AJ7" s="889"/>
      <c r="AK7" s="890"/>
    </row>
    <row r="8" spans="1:37" s="1" customFormat="1" ht="121.5" customHeight="1" thickBot="1" thickTop="1">
      <c r="A8" s="631" t="s">
        <v>77</v>
      </c>
      <c r="B8" s="632" t="s">
        <v>285</v>
      </c>
      <c r="C8" s="632" t="s">
        <v>347</v>
      </c>
      <c r="D8" s="632" t="s">
        <v>348</v>
      </c>
      <c r="E8" s="632" t="s">
        <v>349</v>
      </c>
      <c r="F8" s="632" t="s">
        <v>350</v>
      </c>
      <c r="G8" s="632" t="s">
        <v>391</v>
      </c>
      <c r="H8" s="632" t="s">
        <v>392</v>
      </c>
      <c r="I8" s="632" t="s">
        <v>395</v>
      </c>
      <c r="J8" s="633" t="s">
        <v>287</v>
      </c>
      <c r="K8" s="633" t="s">
        <v>288</v>
      </c>
      <c r="L8" s="633" t="s">
        <v>351</v>
      </c>
      <c r="M8" s="632" t="s">
        <v>352</v>
      </c>
      <c r="N8" s="633" t="s">
        <v>287</v>
      </c>
      <c r="O8" s="633" t="s">
        <v>288</v>
      </c>
      <c r="P8" s="633" t="s">
        <v>351</v>
      </c>
      <c r="Q8" s="633" t="s">
        <v>287</v>
      </c>
      <c r="R8" s="633" t="s">
        <v>288</v>
      </c>
      <c r="S8" s="633" t="s">
        <v>351</v>
      </c>
      <c r="T8" s="633" t="s">
        <v>287</v>
      </c>
      <c r="U8" s="633" t="s">
        <v>288</v>
      </c>
      <c r="V8" s="633" t="s">
        <v>351</v>
      </c>
      <c r="W8" s="632" t="s">
        <v>138</v>
      </c>
      <c r="X8" s="632" t="s">
        <v>397</v>
      </c>
      <c r="Y8" s="633" t="s">
        <v>287</v>
      </c>
      <c r="Z8" s="633" t="s">
        <v>288</v>
      </c>
      <c r="AA8" s="633" t="s">
        <v>351</v>
      </c>
      <c r="AB8" s="632" t="s">
        <v>352</v>
      </c>
      <c r="AC8" s="633" t="s">
        <v>287</v>
      </c>
      <c r="AD8" s="633" t="s">
        <v>288</v>
      </c>
      <c r="AE8" s="633" t="s">
        <v>351</v>
      </c>
      <c r="AF8" s="633" t="s">
        <v>287</v>
      </c>
      <c r="AG8" s="633" t="s">
        <v>288</v>
      </c>
      <c r="AH8" s="633" t="s">
        <v>351</v>
      </c>
      <c r="AI8" s="633" t="s">
        <v>287</v>
      </c>
      <c r="AJ8" s="633" t="s">
        <v>288</v>
      </c>
      <c r="AK8" s="633" t="s">
        <v>351</v>
      </c>
    </row>
    <row r="9" spans="1:37" s="637" customFormat="1" ht="20.25" customHeight="1" thickBot="1" thickTop="1">
      <c r="A9" s="634">
        <v>1</v>
      </c>
      <c r="B9" s="634">
        <v>2</v>
      </c>
      <c r="C9" s="635">
        <v>3</v>
      </c>
      <c r="D9" s="636">
        <v>4</v>
      </c>
      <c r="E9" s="636">
        <v>5</v>
      </c>
      <c r="F9" s="636">
        <v>6</v>
      </c>
      <c r="G9" s="636">
        <v>7</v>
      </c>
      <c r="H9" s="636">
        <v>8</v>
      </c>
      <c r="I9" s="634">
        <v>9</v>
      </c>
      <c r="J9" s="634">
        <v>10</v>
      </c>
      <c r="K9" s="634">
        <v>11</v>
      </c>
      <c r="L9" s="634">
        <v>12</v>
      </c>
      <c r="M9" s="634">
        <v>14</v>
      </c>
      <c r="N9" s="634">
        <v>13</v>
      </c>
      <c r="O9" s="634">
        <v>14</v>
      </c>
      <c r="P9" s="634">
        <v>15</v>
      </c>
      <c r="Q9" s="634">
        <v>15</v>
      </c>
      <c r="R9" s="634">
        <v>16</v>
      </c>
      <c r="S9" s="634">
        <v>17</v>
      </c>
      <c r="T9" s="634">
        <v>16</v>
      </c>
      <c r="U9" s="634">
        <v>17</v>
      </c>
      <c r="V9" s="634">
        <v>18</v>
      </c>
      <c r="W9" s="636">
        <v>19</v>
      </c>
      <c r="X9" s="634">
        <v>19</v>
      </c>
      <c r="Y9" s="634">
        <v>20</v>
      </c>
      <c r="Z9" s="634">
        <v>21</v>
      </c>
      <c r="AA9" s="634">
        <v>22</v>
      </c>
      <c r="AB9" s="634">
        <v>14</v>
      </c>
      <c r="AC9" s="634">
        <v>23</v>
      </c>
      <c r="AD9" s="634">
        <v>24</v>
      </c>
      <c r="AE9" s="634">
        <v>25</v>
      </c>
      <c r="AF9" s="634">
        <v>15</v>
      </c>
      <c r="AG9" s="634">
        <v>16</v>
      </c>
      <c r="AH9" s="634">
        <v>17</v>
      </c>
      <c r="AI9" s="634">
        <v>26</v>
      </c>
      <c r="AJ9" s="634">
        <v>27</v>
      </c>
      <c r="AK9" s="634">
        <v>28</v>
      </c>
    </row>
    <row r="10" spans="1:37" s="643" customFormat="1" ht="24" customHeight="1" thickBot="1" thickTop="1">
      <c r="A10" s="638"/>
      <c r="B10" s="638"/>
      <c r="C10" s="639" t="s">
        <v>353</v>
      </c>
      <c r="D10" s="640"/>
      <c r="E10" s="640"/>
      <c r="F10" s="641"/>
      <c r="G10" s="642">
        <f>124626718+4169-6200</f>
        <v>124624687</v>
      </c>
      <c r="H10" s="642">
        <v>39995755</v>
      </c>
      <c r="I10" s="642">
        <v>78690988</v>
      </c>
      <c r="J10" s="642">
        <v>21301405</v>
      </c>
      <c r="K10" s="642">
        <v>52842926</v>
      </c>
      <c r="L10" s="642">
        <v>4546657</v>
      </c>
      <c r="M10" s="642"/>
      <c r="N10" s="642">
        <v>685553</v>
      </c>
      <c r="O10" s="642">
        <v>2203063</v>
      </c>
      <c r="P10" s="642"/>
      <c r="Q10" s="642"/>
      <c r="R10" s="642"/>
      <c r="S10" s="642"/>
      <c r="T10" s="642">
        <v>5066</v>
      </c>
      <c r="U10" s="642">
        <v>62891</v>
      </c>
      <c r="V10" s="642"/>
      <c r="W10" s="642">
        <f>W11</f>
        <v>0</v>
      </c>
      <c r="X10" s="642">
        <f>I10+59170</f>
        <v>78750158</v>
      </c>
      <c r="Y10" s="642">
        <f>J10+14792</f>
        <v>21316197</v>
      </c>
      <c r="Z10" s="642">
        <f>K10+44378</f>
        <v>52887304</v>
      </c>
      <c r="AA10" s="642">
        <v>4546657</v>
      </c>
      <c r="AB10" s="642"/>
      <c r="AC10" s="642">
        <f>N10-14792</f>
        <v>670761</v>
      </c>
      <c r="AD10" s="642">
        <f>O10-44378</f>
        <v>2158685</v>
      </c>
      <c r="AE10" s="642"/>
      <c r="AF10" s="642"/>
      <c r="AG10" s="642"/>
      <c r="AH10" s="642"/>
      <c r="AI10" s="642">
        <v>5066</v>
      </c>
      <c r="AJ10" s="642">
        <v>62891</v>
      </c>
      <c r="AK10" s="642"/>
    </row>
    <row r="11" spans="1:37" s="649" customFormat="1" ht="22.5" customHeight="1" thickBot="1" thickTop="1">
      <c r="A11" s="644"/>
      <c r="B11" s="644"/>
      <c r="C11" s="645" t="s">
        <v>96</v>
      </c>
      <c r="D11" s="646"/>
      <c r="E11" s="646"/>
      <c r="F11" s="647"/>
      <c r="G11" s="648">
        <f>122620056+4169-6200</f>
        <v>122618025</v>
      </c>
      <c r="H11" s="648">
        <v>39228118</v>
      </c>
      <c r="I11" s="648">
        <v>77451963</v>
      </c>
      <c r="J11" s="648">
        <v>21301405</v>
      </c>
      <c r="K11" s="648">
        <v>51999770</v>
      </c>
      <c r="L11" s="648">
        <v>4150788</v>
      </c>
      <c r="M11" s="648"/>
      <c r="N11" s="648">
        <v>685553</v>
      </c>
      <c r="O11" s="648">
        <v>2203063</v>
      </c>
      <c r="P11" s="648"/>
      <c r="Q11" s="648"/>
      <c r="R11" s="648"/>
      <c r="S11" s="648"/>
      <c r="T11" s="648">
        <v>5066</v>
      </c>
      <c r="U11" s="648">
        <v>62891</v>
      </c>
      <c r="V11" s="648"/>
      <c r="W11" s="648">
        <f>W12</f>
        <v>0</v>
      </c>
      <c r="X11" s="648">
        <f>I11+59170</f>
        <v>77511133</v>
      </c>
      <c r="Y11" s="648">
        <f>J11+14792</f>
        <v>21316197</v>
      </c>
      <c r="Z11" s="648">
        <f>K11+44378</f>
        <v>52044148</v>
      </c>
      <c r="AA11" s="648">
        <v>4150788</v>
      </c>
      <c r="AB11" s="648"/>
      <c r="AC11" s="648">
        <f>N11-14792</f>
        <v>670761</v>
      </c>
      <c r="AD11" s="648">
        <f>O11-44378</f>
        <v>2158685</v>
      </c>
      <c r="AE11" s="648"/>
      <c r="AF11" s="648"/>
      <c r="AG11" s="648"/>
      <c r="AH11" s="648"/>
      <c r="AI11" s="648">
        <v>5066</v>
      </c>
      <c r="AJ11" s="648">
        <v>62891</v>
      </c>
      <c r="AK11" s="648"/>
    </row>
    <row r="12" spans="1:37" s="598" customFormat="1" ht="24" customHeight="1">
      <c r="A12" s="650">
        <v>750</v>
      </c>
      <c r="B12" s="651"/>
      <c r="C12" s="652" t="s">
        <v>107</v>
      </c>
      <c r="D12" s="652"/>
      <c r="E12" s="652"/>
      <c r="F12" s="653"/>
      <c r="G12" s="654">
        <v>2406205</v>
      </c>
      <c r="H12" s="654">
        <v>195150</v>
      </c>
      <c r="I12" s="654">
        <v>743509</v>
      </c>
      <c r="J12" s="654">
        <v>185877</v>
      </c>
      <c r="K12" s="654">
        <v>557632</v>
      </c>
      <c r="L12" s="654"/>
      <c r="M12" s="654"/>
      <c r="N12" s="654">
        <v>366886</v>
      </c>
      <c r="O12" s="654">
        <v>1100660</v>
      </c>
      <c r="P12" s="654"/>
      <c r="Q12" s="654"/>
      <c r="R12" s="654"/>
      <c r="S12" s="654"/>
      <c r="T12" s="654"/>
      <c r="U12" s="654"/>
      <c r="V12" s="654"/>
      <c r="W12" s="654">
        <f>W13</f>
        <v>0</v>
      </c>
      <c r="X12" s="654">
        <f>I12+59170</f>
        <v>802679</v>
      </c>
      <c r="Y12" s="654">
        <f>J12+14792</f>
        <v>200669</v>
      </c>
      <c r="Z12" s="654">
        <f>K12+44378</f>
        <v>602010</v>
      </c>
      <c r="AA12" s="654"/>
      <c r="AB12" s="654"/>
      <c r="AC12" s="654">
        <f>N12-14792</f>
        <v>352094</v>
      </c>
      <c r="AD12" s="654">
        <f>O12-44378</f>
        <v>1056282</v>
      </c>
      <c r="AE12" s="654"/>
      <c r="AF12" s="654"/>
      <c r="AG12" s="654"/>
      <c r="AH12" s="654"/>
      <c r="AI12" s="654"/>
      <c r="AJ12" s="654"/>
      <c r="AK12" s="654"/>
    </row>
    <row r="13" spans="1:37" s="3" customFormat="1" ht="38.25" customHeight="1">
      <c r="A13" s="655"/>
      <c r="B13" s="656">
        <v>75023</v>
      </c>
      <c r="C13" s="657" t="s">
        <v>120</v>
      </c>
      <c r="D13" s="657"/>
      <c r="E13" s="657"/>
      <c r="F13" s="658"/>
      <c r="G13" s="659">
        <v>2406205</v>
      </c>
      <c r="H13" s="659">
        <v>195150</v>
      </c>
      <c r="I13" s="659">
        <v>743509</v>
      </c>
      <c r="J13" s="659">
        <v>185877</v>
      </c>
      <c r="K13" s="659">
        <v>557632</v>
      </c>
      <c r="L13" s="659"/>
      <c r="M13" s="659"/>
      <c r="N13" s="659">
        <v>366886</v>
      </c>
      <c r="O13" s="659">
        <v>1100660</v>
      </c>
      <c r="P13" s="659"/>
      <c r="Q13" s="659"/>
      <c r="R13" s="659"/>
      <c r="S13" s="659"/>
      <c r="T13" s="659"/>
      <c r="U13" s="659"/>
      <c r="V13" s="659"/>
      <c r="W13" s="659">
        <f>W14</f>
        <v>0</v>
      </c>
      <c r="X13" s="659">
        <f>I13+59170</f>
        <v>802679</v>
      </c>
      <c r="Y13" s="659">
        <f>J13+14792</f>
        <v>200669</v>
      </c>
      <c r="Z13" s="659">
        <f>K13+44378</f>
        <v>602010</v>
      </c>
      <c r="AA13" s="659"/>
      <c r="AB13" s="659"/>
      <c r="AC13" s="659">
        <f>N13-14792</f>
        <v>352094</v>
      </c>
      <c r="AD13" s="659">
        <f>O13-44378</f>
        <v>1056282</v>
      </c>
      <c r="AE13" s="659"/>
      <c r="AF13" s="659"/>
      <c r="AG13" s="659"/>
      <c r="AH13" s="659"/>
      <c r="AI13" s="659"/>
      <c r="AJ13" s="659"/>
      <c r="AK13" s="659"/>
    </row>
    <row r="14" spans="1:37" s="3" customFormat="1" ht="112.5" customHeight="1">
      <c r="A14" s="655"/>
      <c r="B14" s="660"/>
      <c r="C14" s="661" t="s">
        <v>417</v>
      </c>
      <c r="D14" s="707" t="s">
        <v>418</v>
      </c>
      <c r="E14" s="708" t="s">
        <v>359</v>
      </c>
      <c r="F14" s="709" t="s">
        <v>376</v>
      </c>
      <c r="G14" s="710">
        <v>2406205</v>
      </c>
      <c r="H14" s="710">
        <f>53918+141232</f>
        <v>195150</v>
      </c>
      <c r="I14" s="662">
        <v>743509</v>
      </c>
      <c r="J14" s="663">
        <v>185877</v>
      </c>
      <c r="K14" s="663">
        <v>557632</v>
      </c>
      <c r="L14" s="663"/>
      <c r="M14" s="663"/>
      <c r="N14" s="663">
        <v>366886</v>
      </c>
      <c r="O14" s="663">
        <v>1100660</v>
      </c>
      <c r="P14" s="663"/>
      <c r="Q14" s="663"/>
      <c r="R14" s="663"/>
      <c r="S14" s="663"/>
      <c r="T14" s="663"/>
      <c r="U14" s="663"/>
      <c r="V14" s="663"/>
      <c r="W14" s="662"/>
      <c r="X14" s="662">
        <f>I14+59170</f>
        <v>802679</v>
      </c>
      <c r="Y14" s="663">
        <f>J14+14792</f>
        <v>200669</v>
      </c>
      <c r="Z14" s="663">
        <f>K14+44378</f>
        <v>602010</v>
      </c>
      <c r="AA14" s="663"/>
      <c r="AB14" s="663"/>
      <c r="AC14" s="663">
        <f>N14-14792</f>
        <v>352094</v>
      </c>
      <c r="AD14" s="663">
        <f>O14-44378</f>
        <v>1056282</v>
      </c>
      <c r="AE14" s="663"/>
      <c r="AF14" s="663"/>
      <c r="AG14" s="663"/>
      <c r="AH14" s="663"/>
      <c r="AI14" s="663"/>
      <c r="AJ14" s="663"/>
      <c r="AK14" s="663"/>
    </row>
    <row r="15" spans="1:37" s="649" customFormat="1" ht="64.5" customHeight="1" thickBot="1">
      <c r="A15" s="664"/>
      <c r="B15" s="664"/>
      <c r="C15" s="665" t="s">
        <v>129</v>
      </c>
      <c r="D15" s="666"/>
      <c r="E15" s="666"/>
      <c r="F15" s="667"/>
      <c r="G15" s="668">
        <v>2006662</v>
      </c>
      <c r="H15" s="668">
        <v>767637</v>
      </c>
      <c r="I15" s="668">
        <f>SUM(J15:L15)</f>
        <v>1239025</v>
      </c>
      <c r="J15" s="668"/>
      <c r="K15" s="668">
        <v>843156</v>
      </c>
      <c r="L15" s="668">
        <v>395869</v>
      </c>
      <c r="M15" s="668" t="e">
        <f>#REF!</f>
        <v>#REF!</v>
      </c>
      <c r="N15" s="668"/>
      <c r="O15" s="668"/>
      <c r="P15" s="668"/>
      <c r="Q15" s="669"/>
      <c r="R15" s="669"/>
      <c r="S15" s="669"/>
      <c r="T15" s="668"/>
      <c r="U15" s="668"/>
      <c r="V15" s="668"/>
      <c r="W15" s="668"/>
      <c r="X15" s="668">
        <f>SUM(Y15:AA15)</f>
        <v>1239025</v>
      </c>
      <c r="Y15" s="668"/>
      <c r="Z15" s="668">
        <v>843156</v>
      </c>
      <c r="AA15" s="668">
        <v>395869</v>
      </c>
      <c r="AB15" s="668" t="e">
        <f>#REF!</f>
        <v>#REF!</v>
      </c>
      <c r="AC15" s="668"/>
      <c r="AD15" s="668"/>
      <c r="AE15" s="668"/>
      <c r="AF15" s="669"/>
      <c r="AG15" s="669"/>
      <c r="AH15" s="669"/>
      <c r="AI15" s="668"/>
      <c r="AJ15" s="668"/>
      <c r="AK15" s="668"/>
    </row>
    <row r="19" spans="4:10" ht="12.75">
      <c r="D19" s="912" t="s">
        <v>487</v>
      </c>
      <c r="E19" s="22"/>
      <c r="F19" s="22"/>
      <c r="J19" s="912" t="s">
        <v>489</v>
      </c>
    </row>
    <row r="20" spans="4:10" ht="12.75">
      <c r="D20" s="912"/>
      <c r="E20" s="22"/>
      <c r="F20" s="22"/>
      <c r="J20" s="912" t="s">
        <v>490</v>
      </c>
    </row>
    <row r="21" spans="4:10" ht="12.75">
      <c r="D21" s="912" t="s">
        <v>488</v>
      </c>
      <c r="E21" s="22"/>
      <c r="F21" s="22"/>
      <c r="J21" s="912"/>
    </row>
    <row r="22" spans="4:10" ht="12.75">
      <c r="D22" s="22"/>
      <c r="E22" s="22"/>
      <c r="F22" s="22"/>
      <c r="J22" s="912" t="s">
        <v>491</v>
      </c>
    </row>
  </sheetData>
  <mergeCells count="10">
    <mergeCell ref="AI7:AK7"/>
    <mergeCell ref="AF7:AH7"/>
    <mergeCell ref="Y7:AA7"/>
    <mergeCell ref="C3:AA3"/>
    <mergeCell ref="C4:G4"/>
    <mergeCell ref="AC7:AE7"/>
    <mergeCell ref="J7:L7"/>
    <mergeCell ref="N7:P7"/>
    <mergeCell ref="Q7:S7"/>
    <mergeCell ref="T7:V7"/>
  </mergeCells>
  <printOptions horizontalCentered="1"/>
  <pageMargins left="0.1968503937007874" right="0.1968503937007874" top="0.5905511811023623" bottom="0.5905511811023623" header="0.5118110236220472" footer="0.5118110236220472"/>
  <pageSetup firstPageNumber="11" useFirstPageNumber="1" horizontalDpi="600" verticalDpi="600" orientation="landscape" paperSize="9" scale="3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"/>
  <sheetViews>
    <sheetView zoomScale="75" zoomScaleNormal="75" workbookViewId="0" topLeftCell="A1">
      <selection activeCell="R31" sqref="R31"/>
    </sheetView>
  </sheetViews>
  <sheetFormatPr defaultColWidth="9.00390625" defaultRowHeight="12.75"/>
  <cols>
    <col min="1" max="1" width="5.625" style="0" customWidth="1"/>
    <col min="2" max="2" width="7.25390625" style="0" customWidth="1"/>
    <col min="3" max="3" width="43.75390625" style="283" customWidth="1"/>
    <col min="4" max="4" width="38.75390625" style="283" customWidth="1"/>
    <col min="5" max="5" width="16.00390625" style="283" customWidth="1"/>
    <col min="6" max="6" width="10.75390625" style="499" customWidth="1"/>
    <col min="7" max="7" width="12.625" style="499" customWidth="1"/>
    <col min="8" max="8" width="13.375" style="499" customWidth="1"/>
    <col min="9" max="9" width="12.00390625" style="0" customWidth="1"/>
    <col min="10" max="10" width="12.125" style="0" customWidth="1"/>
    <col min="11" max="11" width="13.375" style="0" customWidth="1"/>
    <col min="12" max="12" width="11.75390625" style="0" hidden="1" customWidth="1"/>
    <col min="13" max="13" width="9.875" style="0" hidden="1" customWidth="1"/>
    <col min="14" max="14" width="11.375" style="0" customWidth="1"/>
    <col min="15" max="15" width="11.875" style="0" customWidth="1"/>
    <col min="16" max="16" width="13.625" style="0" customWidth="1"/>
    <col min="17" max="17" width="10.375" style="0" customWidth="1"/>
    <col min="18" max="18" width="11.875" style="0" customWidth="1"/>
    <col min="19" max="19" width="13.25390625" style="0" customWidth="1"/>
    <col min="20" max="20" width="12.00390625" style="0" customWidth="1"/>
    <col min="21" max="21" width="12.125" style="0" customWidth="1"/>
    <col min="22" max="22" width="13.375" style="0" customWidth="1"/>
    <col min="23" max="23" width="11.75390625" style="0" hidden="1" customWidth="1"/>
    <col min="24" max="24" width="9.875" style="0" hidden="1" customWidth="1"/>
    <col min="25" max="25" width="11.375" style="0" customWidth="1"/>
    <col min="26" max="26" width="11.875" style="0" customWidth="1"/>
    <col min="27" max="27" width="13.625" style="0" customWidth="1"/>
    <col min="28" max="28" width="10.375" style="0" customWidth="1"/>
    <col min="29" max="29" width="11.875" style="0" customWidth="1"/>
    <col min="30" max="30" width="13.25390625" style="0" customWidth="1"/>
  </cols>
  <sheetData>
    <row r="1" spans="3:27" s="22" customFormat="1" ht="21" customHeight="1">
      <c r="C1" s="232"/>
      <c r="D1" s="232"/>
      <c r="E1" s="232"/>
      <c r="F1" s="548"/>
      <c r="G1" s="548"/>
      <c r="H1" s="548"/>
      <c r="P1" s="498"/>
      <c r="AA1" s="856" t="s">
        <v>373</v>
      </c>
    </row>
    <row r="2" spans="7:27" s="22" customFormat="1" ht="21" customHeight="1">
      <c r="G2" s="549"/>
      <c r="H2" s="549"/>
      <c r="P2" s="498"/>
      <c r="AA2" s="856" t="s">
        <v>464</v>
      </c>
    </row>
    <row r="3" spans="3:27" s="22" customFormat="1" ht="21" customHeight="1">
      <c r="C3" s="550" t="s">
        <v>356</v>
      </c>
      <c r="D3" s="550"/>
      <c r="E3" s="550"/>
      <c r="F3" s="550"/>
      <c r="G3" s="550"/>
      <c r="H3" s="550"/>
      <c r="I3" s="551"/>
      <c r="J3" s="551"/>
      <c r="K3" s="551"/>
      <c r="L3" s="551"/>
      <c r="M3" s="551"/>
      <c r="P3" s="498"/>
      <c r="T3" s="551"/>
      <c r="U3" s="551"/>
      <c r="V3" s="551"/>
      <c r="W3" s="551"/>
      <c r="X3" s="551"/>
      <c r="AA3" s="856" t="s">
        <v>72</v>
      </c>
    </row>
    <row r="4" spans="3:27" s="22" customFormat="1" ht="21" customHeight="1">
      <c r="C4" s="550" t="s">
        <v>357</v>
      </c>
      <c r="D4" s="550"/>
      <c r="E4" s="550"/>
      <c r="F4" s="550"/>
      <c r="G4" s="550"/>
      <c r="H4" s="552"/>
      <c r="P4" s="498"/>
      <c r="AA4" s="856" t="s">
        <v>398</v>
      </c>
    </row>
    <row r="5" spans="3:27" s="22" customFormat="1" ht="21" customHeight="1">
      <c r="C5" s="551"/>
      <c r="D5" s="551"/>
      <c r="E5" s="551"/>
      <c r="F5" s="551"/>
      <c r="G5" s="551"/>
      <c r="H5" s="552"/>
      <c r="N5" s="47"/>
      <c r="P5" s="1"/>
      <c r="Y5" s="47"/>
      <c r="AA5" s="1"/>
    </row>
    <row r="6" spans="2:30" s="22" customFormat="1" ht="21" customHeight="1" thickBot="1">
      <c r="B6" s="213"/>
      <c r="C6" s="232"/>
      <c r="D6" s="232"/>
      <c r="E6" s="232"/>
      <c r="F6" s="548"/>
      <c r="G6" s="548"/>
      <c r="H6" s="548"/>
      <c r="L6" s="121"/>
      <c r="M6" s="121"/>
      <c r="P6" s="45"/>
      <c r="S6" s="45"/>
      <c r="W6" s="121"/>
      <c r="X6" s="121"/>
      <c r="AA6" s="45"/>
      <c r="AD6" s="45" t="s">
        <v>73</v>
      </c>
    </row>
    <row r="7" spans="1:30" s="22" customFormat="1" ht="30" customHeight="1" thickBot="1" thickTop="1">
      <c r="A7" s="235"/>
      <c r="B7" s="235"/>
      <c r="C7" s="236"/>
      <c r="D7" s="236"/>
      <c r="E7" s="553" t="s">
        <v>346</v>
      </c>
      <c r="F7" s="553"/>
      <c r="G7" s="553"/>
      <c r="H7" s="553"/>
      <c r="I7" s="885" t="s">
        <v>479</v>
      </c>
      <c r="J7" s="894"/>
      <c r="K7" s="895"/>
      <c r="L7" s="553"/>
      <c r="M7" s="554"/>
      <c r="N7" s="885" t="s">
        <v>480</v>
      </c>
      <c r="O7" s="894"/>
      <c r="P7" s="895"/>
      <c r="Q7" s="885" t="s">
        <v>481</v>
      </c>
      <c r="R7" s="894"/>
      <c r="S7" s="896"/>
      <c r="T7" s="894" t="s">
        <v>358</v>
      </c>
      <c r="U7" s="894"/>
      <c r="V7" s="895"/>
      <c r="W7" s="553"/>
      <c r="X7" s="554"/>
      <c r="Y7" s="885" t="s">
        <v>393</v>
      </c>
      <c r="Z7" s="894"/>
      <c r="AA7" s="895"/>
      <c r="AB7" s="885" t="s">
        <v>394</v>
      </c>
      <c r="AC7" s="894"/>
      <c r="AD7" s="895"/>
    </row>
    <row r="8" spans="1:30" s="22" customFormat="1" ht="66.75" customHeight="1" thickBot="1" thickTop="1">
      <c r="A8" s="239" t="s">
        <v>77</v>
      </c>
      <c r="B8" s="240" t="s">
        <v>285</v>
      </c>
      <c r="C8" s="240" t="s">
        <v>347</v>
      </c>
      <c r="D8" s="240" t="s">
        <v>348</v>
      </c>
      <c r="E8" s="240" t="s">
        <v>349</v>
      </c>
      <c r="F8" s="240" t="s">
        <v>350</v>
      </c>
      <c r="G8" s="240" t="s">
        <v>391</v>
      </c>
      <c r="H8" s="240" t="s">
        <v>392</v>
      </c>
      <c r="I8" s="110" t="s">
        <v>287</v>
      </c>
      <c r="J8" s="110" t="s">
        <v>288</v>
      </c>
      <c r="K8" s="110" t="s">
        <v>351</v>
      </c>
      <c r="L8" s="240" t="s">
        <v>352</v>
      </c>
      <c r="M8" s="240" t="s">
        <v>138</v>
      </c>
      <c r="N8" s="110" t="s">
        <v>287</v>
      </c>
      <c r="O8" s="110" t="s">
        <v>288</v>
      </c>
      <c r="P8" s="110" t="s">
        <v>351</v>
      </c>
      <c r="Q8" s="110" t="s">
        <v>287</v>
      </c>
      <c r="R8" s="110" t="s">
        <v>288</v>
      </c>
      <c r="S8" s="850" t="s">
        <v>351</v>
      </c>
      <c r="T8" s="844" t="s">
        <v>287</v>
      </c>
      <c r="U8" s="110" t="s">
        <v>288</v>
      </c>
      <c r="V8" s="110" t="s">
        <v>351</v>
      </c>
      <c r="W8" s="240" t="s">
        <v>352</v>
      </c>
      <c r="X8" s="240" t="s">
        <v>138</v>
      </c>
      <c r="Y8" s="110" t="s">
        <v>287</v>
      </c>
      <c r="Z8" s="110" t="s">
        <v>288</v>
      </c>
      <c r="AA8" s="110" t="s">
        <v>351</v>
      </c>
      <c r="AB8" s="110" t="s">
        <v>287</v>
      </c>
      <c r="AC8" s="110" t="s">
        <v>288</v>
      </c>
      <c r="AD8" s="110" t="s">
        <v>351</v>
      </c>
    </row>
    <row r="9" spans="1:30" s="557" customFormat="1" ht="16.5" customHeight="1" thickBot="1" thickTop="1">
      <c r="A9" s="16">
        <v>1</v>
      </c>
      <c r="B9" s="16">
        <v>2</v>
      </c>
      <c r="C9" s="555">
        <v>3</v>
      </c>
      <c r="D9" s="556">
        <v>4</v>
      </c>
      <c r="E9" s="556">
        <v>5</v>
      </c>
      <c r="F9" s="556">
        <v>6</v>
      </c>
      <c r="G9" s="556">
        <v>7</v>
      </c>
      <c r="H9" s="556">
        <v>8</v>
      </c>
      <c r="I9" s="16">
        <v>9</v>
      </c>
      <c r="J9" s="16">
        <v>10</v>
      </c>
      <c r="K9" s="16">
        <v>11</v>
      </c>
      <c r="L9" s="16">
        <v>14</v>
      </c>
      <c r="M9" s="16">
        <v>12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851">
        <v>17</v>
      </c>
      <c r="T9" s="845">
        <v>18</v>
      </c>
      <c r="U9" s="16">
        <v>19</v>
      </c>
      <c r="V9" s="16">
        <v>20</v>
      </c>
      <c r="W9" s="16">
        <v>14</v>
      </c>
      <c r="X9" s="16">
        <v>12</v>
      </c>
      <c r="Y9" s="16">
        <v>21</v>
      </c>
      <c r="Z9" s="16">
        <v>22</v>
      </c>
      <c r="AA9" s="16">
        <v>23</v>
      </c>
      <c r="AB9" s="16">
        <v>24</v>
      </c>
      <c r="AC9" s="16">
        <v>25</v>
      </c>
      <c r="AD9" s="16">
        <v>26</v>
      </c>
    </row>
    <row r="10" spans="1:30" s="215" customFormat="1" ht="26.25" customHeight="1" thickBot="1" thickTop="1">
      <c r="A10" s="558"/>
      <c r="B10" s="558"/>
      <c r="C10" s="559" t="s">
        <v>353</v>
      </c>
      <c r="D10" s="560"/>
      <c r="E10" s="560"/>
      <c r="F10" s="561"/>
      <c r="G10" s="562">
        <v>146542736</v>
      </c>
      <c r="H10" s="562">
        <v>11893132</v>
      </c>
      <c r="I10" s="562">
        <v>11335568</v>
      </c>
      <c r="J10" s="562">
        <v>16020034</v>
      </c>
      <c r="K10" s="562">
        <v>1500000</v>
      </c>
      <c r="L10" s="562"/>
      <c r="M10" s="562"/>
      <c r="N10" s="562">
        <v>24600747</v>
      </c>
      <c r="O10" s="562">
        <v>42479238</v>
      </c>
      <c r="P10" s="562">
        <v>23041192</v>
      </c>
      <c r="Q10" s="562">
        <v>5327500</v>
      </c>
      <c r="R10" s="562">
        <v>7827500</v>
      </c>
      <c r="S10" s="852">
        <v>2500000</v>
      </c>
      <c r="T10" s="846">
        <f>I10-448514</f>
        <v>10887054</v>
      </c>
      <c r="U10" s="562">
        <f>J10</f>
        <v>16020034</v>
      </c>
      <c r="V10" s="562">
        <f>1500000</f>
        <v>1500000</v>
      </c>
      <c r="W10" s="562" t="e">
        <f>144517606+#REF!+#REF!+#REF!+#REF!</f>
        <v>#REF!</v>
      </c>
      <c r="X10" s="562" t="e">
        <f>144517606+#REF!+#REF!+#REF!+#REF!</f>
        <v>#REF!</v>
      </c>
      <c r="Y10" s="562">
        <f>N10+112128</f>
        <v>24712875</v>
      </c>
      <c r="Z10" s="562">
        <f>O10</f>
        <v>42479238</v>
      </c>
      <c r="AA10" s="562">
        <f>P10+336386</f>
        <v>23377578</v>
      </c>
      <c r="AB10" s="562">
        <f>5327500</f>
        <v>5327500</v>
      </c>
      <c r="AC10" s="562">
        <f>7827500</f>
        <v>7827500</v>
      </c>
      <c r="AD10" s="562">
        <f>2500000</f>
        <v>2500000</v>
      </c>
    </row>
    <row r="11" spans="1:30" ht="21.75" customHeight="1">
      <c r="A11" s="534">
        <v>801</v>
      </c>
      <c r="B11" s="534"/>
      <c r="C11" s="563" t="s">
        <v>103</v>
      </c>
      <c r="D11" s="563"/>
      <c r="E11" s="563"/>
      <c r="F11" s="564"/>
      <c r="G11" s="565">
        <v>21095538</v>
      </c>
      <c r="H11" s="565">
        <v>223138</v>
      </c>
      <c r="I11" s="565">
        <v>2198222</v>
      </c>
      <c r="J11" s="565"/>
      <c r="K11" s="565"/>
      <c r="L11" s="565"/>
      <c r="M11" s="565"/>
      <c r="N11" s="565">
        <v>2801126</v>
      </c>
      <c r="O11" s="565"/>
      <c r="P11" s="566">
        <v>15873052</v>
      </c>
      <c r="Q11" s="566"/>
      <c r="R11" s="566"/>
      <c r="S11" s="853"/>
      <c r="T11" s="847">
        <f>3445700-659763-587715-448514</f>
        <v>1749708</v>
      </c>
      <c r="U11" s="565"/>
      <c r="V11" s="565"/>
      <c r="W11" s="565"/>
      <c r="X11" s="565"/>
      <c r="Y11" s="565">
        <f>2614005+98964+88157+112128</f>
        <v>2913254</v>
      </c>
      <c r="Z11" s="565"/>
      <c r="AA11" s="566">
        <f>14812695+560799+499558+336386</f>
        <v>16209438</v>
      </c>
      <c r="AB11" s="566"/>
      <c r="AC11" s="566"/>
      <c r="AD11" s="566"/>
    </row>
    <row r="12" spans="1:30" s="213" customFormat="1" ht="23.25" customHeight="1">
      <c r="A12" s="344"/>
      <c r="B12" s="567">
        <v>80130</v>
      </c>
      <c r="C12" s="579" t="s">
        <v>148</v>
      </c>
      <c r="D12" s="568"/>
      <c r="E12" s="569"/>
      <c r="F12" s="570"/>
      <c r="G12" s="571">
        <f>G13</f>
        <v>9445900</v>
      </c>
      <c r="H12" s="571">
        <f>H13</f>
        <v>115900</v>
      </c>
      <c r="I12" s="571">
        <v>1123385</v>
      </c>
      <c r="J12" s="571"/>
      <c r="K12" s="571"/>
      <c r="L12" s="571"/>
      <c r="M12" s="571"/>
      <c r="N12" s="571">
        <v>1230992</v>
      </c>
      <c r="O12" s="571"/>
      <c r="P12" s="571">
        <v>6975623</v>
      </c>
      <c r="Q12" s="571"/>
      <c r="R12" s="571"/>
      <c r="S12" s="854"/>
      <c r="T12" s="848">
        <f>1711100-587715-448514</f>
        <v>674871</v>
      </c>
      <c r="U12" s="571"/>
      <c r="V12" s="571"/>
      <c r="W12" s="571"/>
      <c r="X12" s="571"/>
      <c r="Y12" s="571">
        <f>1142835+88157+112128</f>
        <v>1343120</v>
      </c>
      <c r="Z12" s="571"/>
      <c r="AA12" s="571">
        <f>6476065+499558+336386</f>
        <v>7312009</v>
      </c>
      <c r="AB12" s="571"/>
      <c r="AC12" s="571"/>
      <c r="AD12" s="571"/>
    </row>
    <row r="13" spans="1:30" s="213" customFormat="1" ht="52.5" customHeight="1">
      <c r="A13" s="78"/>
      <c r="B13" s="572"/>
      <c r="C13" s="573" t="s">
        <v>377</v>
      </c>
      <c r="D13" s="574" t="s">
        <v>378</v>
      </c>
      <c r="E13" s="575" t="s">
        <v>359</v>
      </c>
      <c r="F13" s="576" t="s">
        <v>376</v>
      </c>
      <c r="G13" s="577">
        <v>9445900</v>
      </c>
      <c r="H13" s="577">
        <v>115900</v>
      </c>
      <c r="I13" s="578">
        <v>1123385</v>
      </c>
      <c r="J13" s="578"/>
      <c r="K13" s="578"/>
      <c r="L13" s="578"/>
      <c r="M13" s="578"/>
      <c r="N13" s="578">
        <v>1230992</v>
      </c>
      <c r="O13" s="578"/>
      <c r="P13" s="578">
        <v>6975623</v>
      </c>
      <c r="Q13" s="578"/>
      <c r="R13" s="578"/>
      <c r="S13" s="855"/>
      <c r="T13" s="849">
        <f>1711100-587715-448514</f>
        <v>674871</v>
      </c>
      <c r="U13" s="578"/>
      <c r="V13" s="578"/>
      <c r="W13" s="578"/>
      <c r="X13" s="578"/>
      <c r="Y13" s="578">
        <f>1142835+88157+112128</f>
        <v>1343120</v>
      </c>
      <c r="Z13" s="578"/>
      <c r="AA13" s="578">
        <f>6476065+499558+336386</f>
        <v>7312009</v>
      </c>
      <c r="AB13" s="578"/>
      <c r="AC13" s="578"/>
      <c r="AD13" s="578"/>
    </row>
    <row r="17" spans="8:18" ht="12.75">
      <c r="H17" s="912" t="s">
        <v>487</v>
      </c>
      <c r="I17" s="22"/>
      <c r="J17" s="22"/>
      <c r="R17" s="912" t="s">
        <v>489</v>
      </c>
    </row>
    <row r="18" spans="8:18" ht="12.75">
      <c r="H18" s="912"/>
      <c r="I18" s="22"/>
      <c r="J18" s="22"/>
      <c r="R18" s="912" t="s">
        <v>490</v>
      </c>
    </row>
    <row r="19" spans="8:18" ht="12.75">
      <c r="H19" s="912" t="s">
        <v>488</v>
      </c>
      <c r="I19" s="22"/>
      <c r="J19" s="22"/>
      <c r="R19" s="912"/>
    </row>
    <row r="20" spans="8:18" ht="12.75">
      <c r="H20" s="22"/>
      <c r="I20" s="22"/>
      <c r="J20" s="22"/>
      <c r="R20" s="912" t="s">
        <v>491</v>
      </c>
    </row>
  </sheetData>
  <mergeCells count="6">
    <mergeCell ref="AB7:AD7"/>
    <mergeCell ref="T7:V7"/>
    <mergeCell ref="Y7:AA7"/>
    <mergeCell ref="I7:K7"/>
    <mergeCell ref="N7:P7"/>
    <mergeCell ref="Q7:S7"/>
  </mergeCells>
  <printOptions/>
  <pageMargins left="0.47" right="0.38" top="0.63" bottom="1" header="0.5" footer="0.5"/>
  <pageSetup firstPageNumber="12" useFirstPageNumber="1" horizontalDpi="600" verticalDpi="600" orientation="landscape" paperSize="9" scale="3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I42"/>
  <sheetViews>
    <sheetView zoomScale="90" zoomScaleNormal="90" zoomScaleSheetLayoutView="75" workbookViewId="0" topLeftCell="A1">
      <selection activeCell="C39" sqref="C39:F42"/>
    </sheetView>
  </sheetViews>
  <sheetFormatPr defaultColWidth="9.00390625" defaultRowHeight="12.75"/>
  <cols>
    <col min="1" max="1" width="8.625" style="22" customWidth="1"/>
    <col min="2" max="2" width="9.625" style="22" customWidth="1"/>
    <col min="3" max="3" width="70.00390625" style="22" customWidth="1"/>
    <col min="4" max="4" width="21.25390625" style="22" bestFit="1" customWidth="1"/>
    <col min="5" max="5" width="15.75390625" style="22" hidden="1" customWidth="1"/>
    <col min="6" max="7" width="18.75390625" style="22" customWidth="1"/>
    <col min="8" max="8" width="11.375" style="22" customWidth="1"/>
    <col min="9" max="9" width="9.125" style="22" customWidth="1"/>
    <col min="10" max="16384" width="7.875" style="22" customWidth="1"/>
  </cols>
  <sheetData>
    <row r="1" spans="1:7" ht="12.75" customHeight="1">
      <c r="A1" s="284"/>
      <c r="B1" s="284"/>
      <c r="C1" s="284"/>
      <c r="D1" s="284"/>
      <c r="E1" s="285"/>
      <c r="F1" s="50" t="s">
        <v>331</v>
      </c>
      <c r="G1" s="285"/>
    </row>
    <row r="2" spans="1:7" ht="12.75" customHeight="1">
      <c r="A2" s="284"/>
      <c r="B2" s="284"/>
      <c r="C2" s="284"/>
      <c r="D2" s="284"/>
      <c r="E2" s="284"/>
      <c r="F2" s="22" t="s">
        <v>464</v>
      </c>
      <c r="G2" s="284"/>
    </row>
    <row r="3" spans="1:7" ht="15" customHeight="1">
      <c r="A3" s="284"/>
      <c r="B3" s="284"/>
      <c r="C3" s="286" t="s">
        <v>294</v>
      </c>
      <c r="D3" s="284"/>
      <c r="E3" s="285"/>
      <c r="F3" s="22" t="s">
        <v>72</v>
      </c>
      <c r="G3" s="284"/>
    </row>
    <row r="4" spans="1:7" ht="12.75" customHeight="1">
      <c r="A4" s="284"/>
      <c r="B4" s="284"/>
      <c r="C4" s="284"/>
      <c r="D4" s="284"/>
      <c r="E4" s="285"/>
      <c r="F4" s="22" t="s">
        <v>398</v>
      </c>
      <c r="G4" s="284"/>
    </row>
    <row r="5" spans="1:7" ht="12.75" customHeight="1">
      <c r="A5" s="284"/>
      <c r="B5" s="284"/>
      <c r="C5" s="284"/>
      <c r="D5" s="284"/>
      <c r="E5" s="284"/>
      <c r="F5" s="284"/>
      <c r="G5" s="284"/>
    </row>
    <row r="6" spans="1:7" ht="12.75" customHeight="1" thickBot="1">
      <c r="A6" s="284"/>
      <c r="B6" s="284"/>
      <c r="C6" s="284"/>
      <c r="D6" s="287"/>
      <c r="E6" s="287"/>
      <c r="F6" s="287"/>
      <c r="G6" s="288" t="s">
        <v>73</v>
      </c>
    </row>
    <row r="7" spans="1:7" ht="10.5" customHeight="1" thickTop="1">
      <c r="A7" s="235"/>
      <c r="B7" s="235"/>
      <c r="C7" s="235"/>
      <c r="D7" s="883" t="s">
        <v>299</v>
      </c>
      <c r="E7" s="289"/>
      <c r="F7" s="289"/>
      <c r="G7" s="289"/>
    </row>
    <row r="8" spans="1:7" ht="57.75" customHeight="1" thickBot="1">
      <c r="A8" s="290" t="s">
        <v>77</v>
      </c>
      <c r="B8" s="290" t="s">
        <v>78</v>
      </c>
      <c r="C8" s="291" t="s">
        <v>295</v>
      </c>
      <c r="D8" s="897"/>
      <c r="E8" s="292" t="s">
        <v>296</v>
      </c>
      <c r="F8" s="292" t="s">
        <v>138</v>
      </c>
      <c r="G8" s="292" t="s">
        <v>126</v>
      </c>
    </row>
    <row r="9" spans="1:7" ht="11.25" customHeight="1" thickBot="1" thickTop="1">
      <c r="A9" s="214">
        <v>1</v>
      </c>
      <c r="B9" s="214">
        <v>2</v>
      </c>
      <c r="C9" s="214">
        <v>3</v>
      </c>
      <c r="D9" s="214">
        <v>4</v>
      </c>
      <c r="E9" s="214">
        <v>5</v>
      </c>
      <c r="F9" s="214">
        <v>5</v>
      </c>
      <c r="G9" s="214">
        <v>6</v>
      </c>
    </row>
    <row r="10" spans="1:9" ht="18" customHeight="1" thickBot="1" thickTop="1">
      <c r="A10" s="216"/>
      <c r="B10" s="216"/>
      <c r="C10" s="293" t="s">
        <v>297</v>
      </c>
      <c r="D10" s="217">
        <v>15821071</v>
      </c>
      <c r="E10" s="217"/>
      <c r="F10" s="217">
        <f>F12</f>
        <v>470228</v>
      </c>
      <c r="G10" s="217">
        <f>D10+F10</f>
        <v>16291299</v>
      </c>
      <c r="H10" s="47"/>
      <c r="I10" s="47"/>
    </row>
    <row r="11" spans="1:7" ht="14.25" customHeight="1" thickTop="1">
      <c r="A11" s="67"/>
      <c r="B11" s="67"/>
      <c r="C11" s="294" t="s">
        <v>94</v>
      </c>
      <c r="D11" s="295"/>
      <c r="E11" s="295"/>
      <c r="F11" s="295"/>
      <c r="G11" s="295"/>
    </row>
    <row r="12" spans="1:7" s="45" customFormat="1" ht="15" customHeight="1" thickBot="1">
      <c r="A12" s="103"/>
      <c r="B12" s="103"/>
      <c r="C12" s="296" t="s">
        <v>298</v>
      </c>
      <c r="D12" s="104">
        <v>15391071</v>
      </c>
      <c r="E12" s="104"/>
      <c r="F12" s="104">
        <f>F13+F16+F29</f>
        <v>470228</v>
      </c>
      <c r="G12" s="104">
        <f aca="true" t="shared" si="0" ref="G12:G35">D12+F12</f>
        <v>15861299</v>
      </c>
    </row>
    <row r="13" spans="1:7" s="45" customFormat="1" ht="19.5" customHeight="1" thickTop="1">
      <c r="A13" s="72">
        <v>600</v>
      </c>
      <c r="B13" s="72"/>
      <c r="C13" s="89" t="s">
        <v>100</v>
      </c>
      <c r="D13" s="298">
        <v>4614000</v>
      </c>
      <c r="E13" s="298"/>
      <c r="F13" s="298">
        <f>F14</f>
        <v>-33911</v>
      </c>
      <c r="G13" s="298">
        <f t="shared" si="0"/>
        <v>4580089</v>
      </c>
    </row>
    <row r="14" spans="1:7" s="301" customFormat="1" ht="19.5" customHeight="1">
      <c r="A14" s="76"/>
      <c r="B14" s="175">
        <v>60015</v>
      </c>
      <c r="C14" s="547" t="s">
        <v>271</v>
      </c>
      <c r="D14" s="300">
        <v>3325000</v>
      </c>
      <c r="E14" s="300"/>
      <c r="F14" s="300">
        <f>SUM(F15:F15)</f>
        <v>-33911</v>
      </c>
      <c r="G14" s="300">
        <f t="shared" si="0"/>
        <v>3291089</v>
      </c>
    </row>
    <row r="15" spans="1:7" s="45" customFormat="1" ht="19.5" customHeight="1">
      <c r="A15" s="68"/>
      <c r="B15" s="68"/>
      <c r="C15" s="538" t="s">
        <v>411</v>
      </c>
      <c r="D15" s="537">
        <v>1325000</v>
      </c>
      <c r="E15" s="537"/>
      <c r="F15" s="537">
        <v>-33911</v>
      </c>
      <c r="G15" s="537">
        <f>D15+F15</f>
        <v>1291089</v>
      </c>
    </row>
    <row r="16" spans="1:7" s="45" customFormat="1" ht="18.75" customHeight="1">
      <c r="A16" s="72">
        <v>801</v>
      </c>
      <c r="B16" s="72"/>
      <c r="C16" s="297" t="s">
        <v>103</v>
      </c>
      <c r="D16" s="298">
        <v>2895628</v>
      </c>
      <c r="E16" s="298"/>
      <c r="F16" s="298">
        <f>F17+F19+F23+F25+F27+F21</f>
        <v>445139</v>
      </c>
      <c r="G16" s="298">
        <f t="shared" si="0"/>
        <v>3340767</v>
      </c>
    </row>
    <row r="17" spans="1:7" s="301" customFormat="1" ht="18.75" customHeight="1">
      <c r="A17" s="76"/>
      <c r="B17" s="175">
        <v>80101</v>
      </c>
      <c r="C17" s="299" t="s">
        <v>265</v>
      </c>
      <c r="D17" s="300">
        <v>925949</v>
      </c>
      <c r="E17" s="300"/>
      <c r="F17" s="300">
        <f>F18</f>
        <v>120500</v>
      </c>
      <c r="G17" s="300">
        <f t="shared" si="0"/>
        <v>1046449</v>
      </c>
    </row>
    <row r="18" spans="1:7" s="45" customFormat="1" ht="18.75" customHeight="1">
      <c r="A18" s="80"/>
      <c r="B18" s="80"/>
      <c r="C18" s="302" t="s">
        <v>340</v>
      </c>
      <c r="D18" s="303">
        <v>925949</v>
      </c>
      <c r="E18" s="303"/>
      <c r="F18" s="303">
        <v>120500</v>
      </c>
      <c r="G18" s="303">
        <f t="shared" si="0"/>
        <v>1046449</v>
      </c>
    </row>
    <row r="19" spans="1:7" s="301" customFormat="1" ht="18.75" customHeight="1">
      <c r="A19" s="76"/>
      <c r="B19" s="175">
        <v>80104</v>
      </c>
      <c r="C19" s="299" t="s">
        <v>149</v>
      </c>
      <c r="D19" s="300">
        <v>187202</v>
      </c>
      <c r="E19" s="300"/>
      <c r="F19" s="300">
        <f>F20</f>
        <v>187125</v>
      </c>
      <c r="G19" s="300">
        <f t="shared" si="0"/>
        <v>374327</v>
      </c>
    </row>
    <row r="20" spans="1:7" s="45" customFormat="1" ht="18.75" customHeight="1">
      <c r="A20" s="80"/>
      <c r="B20" s="80"/>
      <c r="C20" s="302" t="s">
        <v>158</v>
      </c>
      <c r="D20" s="303">
        <v>187202</v>
      </c>
      <c r="E20" s="303"/>
      <c r="F20" s="303">
        <f>2125+215000-30000</f>
        <v>187125</v>
      </c>
      <c r="G20" s="303">
        <f t="shared" si="0"/>
        <v>374327</v>
      </c>
    </row>
    <row r="21" spans="1:7" s="301" customFormat="1" ht="18.75" customHeight="1">
      <c r="A21" s="76"/>
      <c r="B21" s="175">
        <v>80105</v>
      </c>
      <c r="C21" s="299" t="s">
        <v>314</v>
      </c>
      <c r="D21" s="300"/>
      <c r="E21" s="300"/>
      <c r="F21" s="300">
        <f>F22</f>
        <v>30000</v>
      </c>
      <c r="G21" s="300">
        <f t="shared" si="0"/>
        <v>30000</v>
      </c>
    </row>
    <row r="22" spans="1:7" s="45" customFormat="1" ht="18.75" customHeight="1">
      <c r="A22" s="80"/>
      <c r="B22" s="80"/>
      <c r="C22" s="302" t="s">
        <v>27</v>
      </c>
      <c r="D22" s="303"/>
      <c r="E22" s="303"/>
      <c r="F22" s="303">
        <v>30000</v>
      </c>
      <c r="G22" s="303">
        <f t="shared" si="0"/>
        <v>30000</v>
      </c>
    </row>
    <row r="23" spans="1:7" s="301" customFormat="1" ht="18.75" customHeight="1">
      <c r="A23" s="76"/>
      <c r="B23" s="175">
        <v>80110</v>
      </c>
      <c r="C23" s="299" t="s">
        <v>266</v>
      </c>
      <c r="D23" s="300">
        <v>701168</v>
      </c>
      <c r="E23" s="300"/>
      <c r="F23" s="300">
        <f>F24</f>
        <v>82514</v>
      </c>
      <c r="G23" s="300">
        <f t="shared" si="0"/>
        <v>783682</v>
      </c>
    </row>
    <row r="24" spans="1:7" s="45" customFormat="1" ht="18.75" customHeight="1">
      <c r="A24" s="80"/>
      <c r="B24" s="80"/>
      <c r="C24" s="483" t="s">
        <v>340</v>
      </c>
      <c r="D24" s="484">
        <v>701168</v>
      </c>
      <c r="E24" s="484"/>
      <c r="F24" s="484">
        <f>-5500+88014</f>
        <v>82514</v>
      </c>
      <c r="G24" s="484">
        <f t="shared" si="0"/>
        <v>783682</v>
      </c>
    </row>
    <row r="25" spans="1:7" s="301" customFormat="1" ht="18.75" customHeight="1">
      <c r="A25" s="76"/>
      <c r="B25" s="175">
        <v>80120</v>
      </c>
      <c r="C25" s="299" t="s">
        <v>267</v>
      </c>
      <c r="D25" s="300">
        <v>625143</v>
      </c>
      <c r="E25" s="300"/>
      <c r="F25" s="300">
        <f>F26</f>
        <v>15000</v>
      </c>
      <c r="G25" s="300">
        <f t="shared" si="0"/>
        <v>640143</v>
      </c>
    </row>
    <row r="26" spans="1:7" s="45" customFormat="1" ht="18.75" customHeight="1">
      <c r="A26" s="80"/>
      <c r="B26" s="80"/>
      <c r="C26" s="483" t="s">
        <v>340</v>
      </c>
      <c r="D26" s="484">
        <v>625143</v>
      </c>
      <c r="E26" s="484"/>
      <c r="F26" s="484">
        <v>15000</v>
      </c>
      <c r="G26" s="484">
        <f t="shared" si="0"/>
        <v>640143</v>
      </c>
    </row>
    <row r="27" spans="1:7" s="301" customFormat="1" ht="18.75" customHeight="1">
      <c r="A27" s="76"/>
      <c r="B27" s="175">
        <v>80130</v>
      </c>
      <c r="C27" s="299" t="s">
        <v>148</v>
      </c>
      <c r="D27" s="300">
        <v>427166</v>
      </c>
      <c r="E27" s="300"/>
      <c r="F27" s="300">
        <f>F28</f>
        <v>10000</v>
      </c>
      <c r="G27" s="300">
        <f t="shared" si="0"/>
        <v>437166</v>
      </c>
    </row>
    <row r="28" spans="1:7" s="45" customFormat="1" ht="18.75" customHeight="1">
      <c r="A28" s="80"/>
      <c r="B28" s="80"/>
      <c r="C28" s="483" t="s">
        <v>340</v>
      </c>
      <c r="D28" s="484">
        <v>427166</v>
      </c>
      <c r="E28" s="484"/>
      <c r="F28" s="484">
        <v>10000</v>
      </c>
      <c r="G28" s="484">
        <f t="shared" si="0"/>
        <v>437166</v>
      </c>
    </row>
    <row r="29" spans="1:7" s="45" customFormat="1" ht="18.75" customHeight="1">
      <c r="A29" s="72">
        <v>854</v>
      </c>
      <c r="B29" s="72"/>
      <c r="C29" s="297" t="s">
        <v>105</v>
      </c>
      <c r="D29" s="298">
        <v>315943</v>
      </c>
      <c r="E29" s="298"/>
      <c r="F29" s="298">
        <f>F30+F33</f>
        <v>59000</v>
      </c>
      <c r="G29" s="298">
        <f t="shared" si="0"/>
        <v>374943</v>
      </c>
    </row>
    <row r="30" spans="1:7" s="301" customFormat="1" ht="18.75" customHeight="1">
      <c r="A30" s="76"/>
      <c r="B30" s="175">
        <v>85403</v>
      </c>
      <c r="C30" s="299" t="s">
        <v>324</v>
      </c>
      <c r="D30" s="300">
        <v>150943</v>
      </c>
      <c r="E30" s="300"/>
      <c r="F30" s="300">
        <f>F31</f>
        <v>44000</v>
      </c>
      <c r="G30" s="300">
        <f t="shared" si="0"/>
        <v>194943</v>
      </c>
    </row>
    <row r="31" spans="1:7" s="45" customFormat="1" ht="18.75" customHeight="1">
      <c r="A31" s="80"/>
      <c r="B31" s="80"/>
      <c r="C31" s="302" t="s">
        <v>7</v>
      </c>
      <c r="D31" s="303">
        <v>150943</v>
      </c>
      <c r="E31" s="303"/>
      <c r="F31" s="303">
        <v>44000</v>
      </c>
      <c r="G31" s="303">
        <f t="shared" si="0"/>
        <v>194943</v>
      </c>
    </row>
    <row r="32" spans="1:7" s="45" customFormat="1" ht="18.75" customHeight="1">
      <c r="A32" s="792"/>
      <c r="B32" s="792"/>
      <c r="C32" s="793"/>
      <c r="D32" s="794"/>
      <c r="E32" s="794"/>
      <c r="F32" s="794"/>
      <c r="G32" s="794"/>
    </row>
    <row r="33" spans="1:7" s="301" customFormat="1" ht="18.75" customHeight="1">
      <c r="A33" s="76"/>
      <c r="B33" s="789">
        <v>85410</v>
      </c>
      <c r="C33" s="790" t="s">
        <v>274</v>
      </c>
      <c r="D33" s="791">
        <v>90000</v>
      </c>
      <c r="E33" s="791"/>
      <c r="F33" s="791">
        <f>F34</f>
        <v>15000</v>
      </c>
      <c r="G33" s="791">
        <f t="shared" si="0"/>
        <v>105000</v>
      </c>
    </row>
    <row r="34" spans="1:7" s="45" customFormat="1" ht="18.75" customHeight="1">
      <c r="A34" s="80"/>
      <c r="B34" s="80"/>
      <c r="C34" s="302" t="s">
        <v>7</v>
      </c>
      <c r="D34" s="303">
        <v>90000</v>
      </c>
      <c r="E34" s="303"/>
      <c r="F34" s="303">
        <v>15000</v>
      </c>
      <c r="G34" s="303">
        <f t="shared" si="0"/>
        <v>105000</v>
      </c>
    </row>
    <row r="35" spans="1:7" s="305" customFormat="1" ht="19.5" customHeight="1">
      <c r="A35" s="304"/>
      <c r="B35" s="304"/>
      <c r="C35" s="306" t="s">
        <v>337</v>
      </c>
      <c r="D35" s="307">
        <v>430000</v>
      </c>
      <c r="E35" s="307"/>
      <c r="F35" s="307"/>
      <c r="G35" s="307">
        <f t="shared" si="0"/>
        <v>430000</v>
      </c>
    </row>
    <row r="39" spans="3:6" ht="12.75">
      <c r="C39" s="912" t="s">
        <v>487</v>
      </c>
      <c r="F39" s="912" t="s">
        <v>489</v>
      </c>
    </row>
    <row r="40" spans="3:6" ht="12.75">
      <c r="C40" s="912"/>
      <c r="F40" s="912" t="s">
        <v>490</v>
      </c>
    </row>
    <row r="41" spans="3:6" ht="12.75">
      <c r="C41" s="912" t="s">
        <v>488</v>
      </c>
      <c r="F41" s="912"/>
    </row>
    <row r="42" ht="12.75">
      <c r="F42" s="912" t="s">
        <v>491</v>
      </c>
    </row>
  </sheetData>
  <mergeCells count="1">
    <mergeCell ref="D7:D8"/>
  </mergeCells>
  <printOptions horizontalCentered="1"/>
  <pageMargins left="0.3937007874015748" right="0.3937007874015748" top="0.5511811023622047" bottom="0.5511811023622047" header="0.5118110236220472" footer="0.3937007874015748"/>
  <pageSetup firstPageNumber="13" useFirstPageNumber="1" horizontalDpi="300" verticalDpi="3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L246"/>
  <sheetViews>
    <sheetView zoomScale="90" zoomScaleNormal="90" zoomScaleSheetLayoutView="75" workbookViewId="0" topLeftCell="A1">
      <selection activeCell="F210" sqref="F210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7.625" style="22" customWidth="1"/>
    <col min="4" max="4" width="57.00390625" style="22" customWidth="1"/>
    <col min="5" max="8" width="20.75390625" style="22" customWidth="1"/>
    <col min="9" max="9" width="11.875" style="22" customWidth="1"/>
    <col min="10" max="10" width="12.375" style="22" customWidth="1"/>
    <col min="11" max="11" width="13.375" style="22" customWidth="1"/>
    <col min="12" max="12" width="11.00390625" style="22" customWidth="1"/>
    <col min="13" max="16384" width="9.125" style="22" customWidth="1"/>
  </cols>
  <sheetData>
    <row r="1" ht="18" customHeight="1">
      <c r="G1" s="50" t="s">
        <v>355</v>
      </c>
    </row>
    <row r="2" ht="18" customHeight="1">
      <c r="G2" s="22" t="s">
        <v>464</v>
      </c>
    </row>
    <row r="3" ht="18" customHeight="1">
      <c r="G3" s="22" t="s">
        <v>72</v>
      </c>
    </row>
    <row r="4" spans="4:7" ht="18" customHeight="1">
      <c r="D4" s="4" t="s">
        <v>122</v>
      </c>
      <c r="G4" s="22" t="s">
        <v>398</v>
      </c>
    </row>
    <row r="5" ht="17.25" customHeight="1" thickBot="1">
      <c r="H5" s="54" t="s">
        <v>73</v>
      </c>
    </row>
    <row r="6" spans="1:8" ht="66.75" customHeight="1" thickBot="1" thickTop="1">
      <c r="A6" s="108" t="s">
        <v>123</v>
      </c>
      <c r="B6" s="108" t="s">
        <v>78</v>
      </c>
      <c r="C6" s="109" t="s">
        <v>111</v>
      </c>
      <c r="D6" s="109" t="s">
        <v>124</v>
      </c>
      <c r="E6" s="110" t="s">
        <v>125</v>
      </c>
      <c r="F6" s="109" t="s">
        <v>114</v>
      </c>
      <c r="G6" s="109" t="s">
        <v>115</v>
      </c>
      <c r="H6" s="109" t="s">
        <v>126</v>
      </c>
    </row>
    <row r="7" spans="1:10" ht="18.75" customHeight="1" thickBot="1" thickTop="1">
      <c r="A7" s="16">
        <v>1</v>
      </c>
      <c r="B7" s="16">
        <v>2</v>
      </c>
      <c r="C7" s="16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J7" s="47"/>
    </row>
    <row r="8" spans="1:12" ht="21.75" customHeight="1" thickBot="1" thickTop="1">
      <c r="A8" s="85"/>
      <c r="B8" s="112"/>
      <c r="C8" s="112"/>
      <c r="D8" s="113" t="s">
        <v>93</v>
      </c>
      <c r="E8" s="114">
        <v>944854770</v>
      </c>
      <c r="F8" s="114">
        <f>F10+F168+F174</f>
        <v>1296884</v>
      </c>
      <c r="G8" s="114">
        <f>G10+G168+G174</f>
        <v>1296884</v>
      </c>
      <c r="H8" s="114">
        <f>E8+G8-F8</f>
        <v>944854770</v>
      </c>
      <c r="I8" s="47"/>
      <c r="J8" s="47"/>
      <c r="K8" s="47"/>
      <c r="L8" s="47"/>
    </row>
    <row r="9" spans="1:10" ht="21" customHeight="1">
      <c r="A9" s="67"/>
      <c r="B9" s="67"/>
      <c r="C9" s="67"/>
      <c r="D9" s="67" t="s">
        <v>94</v>
      </c>
      <c r="E9" s="115"/>
      <c r="F9" s="115"/>
      <c r="G9" s="115"/>
      <c r="H9" s="115"/>
      <c r="J9" s="116"/>
    </row>
    <row r="10" spans="1:12" ht="19.5" customHeight="1" thickBot="1">
      <c r="A10" s="86"/>
      <c r="B10" s="86"/>
      <c r="C10" s="86"/>
      <c r="D10" s="91" t="s">
        <v>96</v>
      </c>
      <c r="E10" s="88">
        <v>840424401</v>
      </c>
      <c r="F10" s="117">
        <f>F11+F18+F39+F46+F55+F111+F122+F162+F156</f>
        <v>1217886</v>
      </c>
      <c r="G10" s="117">
        <f>G11+G18+G39+G46+G55+G111+G122+G162+G156</f>
        <v>1217673</v>
      </c>
      <c r="H10" s="117">
        <f aca="true" t="shared" si="0" ref="H10:H176">E10+G10-F10</f>
        <v>840424188</v>
      </c>
      <c r="I10" s="47"/>
      <c r="J10" s="47"/>
      <c r="L10" s="47"/>
    </row>
    <row r="11" spans="1:12" ht="19.5" customHeight="1" thickTop="1">
      <c r="A11" s="89">
        <v>600</v>
      </c>
      <c r="B11" s="89"/>
      <c r="C11" s="89"/>
      <c r="D11" s="89" t="s">
        <v>100</v>
      </c>
      <c r="E11" s="74">
        <v>124332191</v>
      </c>
      <c r="F11" s="75">
        <f>F12</f>
        <v>33911</v>
      </c>
      <c r="G11" s="75">
        <f>G12</f>
        <v>33911</v>
      </c>
      <c r="H11" s="75">
        <f t="shared" si="0"/>
        <v>124332191</v>
      </c>
      <c r="I11" s="47"/>
      <c r="J11" s="47"/>
      <c r="L11" s="47"/>
    </row>
    <row r="12" spans="1:12" s="121" customFormat="1" ht="19.5" customHeight="1">
      <c r="A12" s="81"/>
      <c r="B12" s="78">
        <v>60015</v>
      </c>
      <c r="C12" s="78"/>
      <c r="D12" s="547" t="s">
        <v>271</v>
      </c>
      <c r="E12" s="127">
        <v>88810356</v>
      </c>
      <c r="F12" s="127">
        <f>F13+F15</f>
        <v>33911</v>
      </c>
      <c r="G12" s="127">
        <f>G13+G15</f>
        <v>33911</v>
      </c>
      <c r="H12" s="127">
        <f t="shared" si="0"/>
        <v>88810356</v>
      </c>
      <c r="I12" s="128"/>
      <c r="J12" s="128"/>
      <c r="L12" s="128"/>
    </row>
    <row r="13" spans="1:12" s="121" customFormat="1" ht="19.5" customHeight="1">
      <c r="A13" s="81"/>
      <c r="B13" s="344"/>
      <c r="C13" s="353"/>
      <c r="D13" s="199" t="s">
        <v>408</v>
      </c>
      <c r="E13" s="133">
        <v>7800000</v>
      </c>
      <c r="F13" s="133"/>
      <c r="G13" s="133">
        <f>G14</f>
        <v>33911</v>
      </c>
      <c r="H13" s="133">
        <f>E13-F13+G13</f>
        <v>7833911</v>
      </c>
      <c r="I13" s="128"/>
      <c r="J13" s="128"/>
      <c r="L13" s="128"/>
    </row>
    <row r="14" spans="1:12" s="121" customFormat="1" ht="19.5" customHeight="1">
      <c r="A14" s="81"/>
      <c r="B14" s="344"/>
      <c r="C14" s="82">
        <v>4300</v>
      </c>
      <c r="D14" s="409" t="s">
        <v>119</v>
      </c>
      <c r="E14" s="541">
        <v>7480000</v>
      </c>
      <c r="F14" s="542"/>
      <c r="G14" s="542">
        <v>33911</v>
      </c>
      <c r="H14" s="542">
        <f>E14-F14+G14</f>
        <v>7513911</v>
      </c>
      <c r="I14" s="128"/>
      <c r="J14" s="128"/>
      <c r="L14" s="128"/>
    </row>
    <row r="15" spans="1:12" s="121" customFormat="1" ht="19.5" customHeight="1">
      <c r="A15" s="81"/>
      <c r="B15" s="344"/>
      <c r="C15" s="66"/>
      <c r="D15" s="450" t="s">
        <v>409</v>
      </c>
      <c r="E15" s="133">
        <v>3325000</v>
      </c>
      <c r="F15" s="133">
        <f>F17</f>
        <v>33911</v>
      </c>
      <c r="G15" s="133"/>
      <c r="H15" s="133">
        <f>E15-F15+G15</f>
        <v>3291089</v>
      </c>
      <c r="I15" s="128"/>
      <c r="J15" s="128"/>
      <c r="L15" s="128"/>
    </row>
    <row r="16" spans="1:12" s="121" customFormat="1" ht="19.5" customHeight="1">
      <c r="A16" s="81"/>
      <c r="B16" s="344"/>
      <c r="C16" s="66"/>
      <c r="D16" s="431" t="s">
        <v>411</v>
      </c>
      <c r="E16" s="351">
        <v>1325000</v>
      </c>
      <c r="F16" s="351">
        <v>33911</v>
      </c>
      <c r="G16" s="351"/>
      <c r="H16" s="351">
        <f>E16-F16+G16</f>
        <v>1291089</v>
      </c>
      <c r="I16" s="128"/>
      <c r="J16" s="128"/>
      <c r="L16" s="128"/>
    </row>
    <row r="17" spans="1:12" s="121" customFormat="1" ht="19.5" customHeight="1">
      <c r="A17" s="81"/>
      <c r="B17" s="78"/>
      <c r="C17" s="82">
        <v>4270</v>
      </c>
      <c r="D17" s="82" t="s">
        <v>410</v>
      </c>
      <c r="E17" s="230">
        <v>3325000</v>
      </c>
      <c r="F17" s="704">
        <f>F16</f>
        <v>33911</v>
      </c>
      <c r="G17" s="704"/>
      <c r="H17" s="704">
        <f>E17-F17+G17</f>
        <v>3291089</v>
      </c>
      <c r="I17" s="128"/>
      <c r="J17" s="128"/>
      <c r="L17" s="128"/>
    </row>
    <row r="18" spans="1:12" ht="19.5" customHeight="1">
      <c r="A18" s="89">
        <v>750</v>
      </c>
      <c r="B18" s="89"/>
      <c r="C18" s="89"/>
      <c r="D18" s="89" t="s">
        <v>107</v>
      </c>
      <c r="E18" s="74">
        <v>64661471</v>
      </c>
      <c r="F18" s="75">
        <f>F19+F26+F35</f>
        <v>64900</v>
      </c>
      <c r="G18" s="75">
        <f>G19+G26+G35</f>
        <v>184070</v>
      </c>
      <c r="H18" s="75">
        <f t="shared" si="0"/>
        <v>64780641</v>
      </c>
      <c r="I18" s="47"/>
      <c r="J18" s="47"/>
      <c r="L18" s="47"/>
    </row>
    <row r="19" spans="1:12" s="121" customFormat="1" ht="19.5" customHeight="1">
      <c r="A19" s="81"/>
      <c r="B19" s="77">
        <v>75022</v>
      </c>
      <c r="C19" s="77"/>
      <c r="D19" s="77" t="s">
        <v>65</v>
      </c>
      <c r="E19" s="127">
        <v>1517000</v>
      </c>
      <c r="F19" s="127">
        <f>F20</f>
        <v>43900</v>
      </c>
      <c r="G19" s="127">
        <f>G20</f>
        <v>43900</v>
      </c>
      <c r="H19" s="127">
        <f t="shared" si="0"/>
        <v>1517000</v>
      </c>
      <c r="I19" s="128"/>
      <c r="J19" s="128"/>
      <c r="L19" s="128"/>
    </row>
    <row r="20" spans="1:12" s="121" customFormat="1" ht="19.5" customHeight="1">
      <c r="A20" s="194"/>
      <c r="B20" s="93"/>
      <c r="C20" s="66"/>
      <c r="D20" s="581" t="s">
        <v>404</v>
      </c>
      <c r="E20" s="407">
        <v>100000</v>
      </c>
      <c r="F20" s="407">
        <f>SUM(F21:F25)</f>
        <v>43900</v>
      </c>
      <c r="G20" s="407">
        <f>SUM(G21:G25)</f>
        <v>43900</v>
      </c>
      <c r="H20" s="134">
        <f t="shared" si="0"/>
        <v>100000</v>
      </c>
      <c r="I20" s="128"/>
      <c r="J20" s="128"/>
      <c r="L20" s="128"/>
    </row>
    <row r="21" spans="1:12" s="146" customFormat="1" ht="19.5" customHeight="1">
      <c r="A21" s="193"/>
      <c r="B21" s="158"/>
      <c r="C21" s="225">
        <v>4110</v>
      </c>
      <c r="D21" s="227" t="s">
        <v>174</v>
      </c>
      <c r="E21" s="150"/>
      <c r="F21" s="150"/>
      <c r="G21" s="150">
        <v>6000</v>
      </c>
      <c r="H21" s="144">
        <f t="shared" si="0"/>
        <v>6000</v>
      </c>
      <c r="I21" s="145"/>
      <c r="J21" s="145"/>
      <c r="L21" s="145"/>
    </row>
    <row r="22" spans="1:12" s="146" customFormat="1" ht="19.5" customHeight="1">
      <c r="A22" s="193"/>
      <c r="B22" s="158"/>
      <c r="C22" s="225">
        <v>4120</v>
      </c>
      <c r="D22" s="227" t="s">
        <v>175</v>
      </c>
      <c r="E22" s="150"/>
      <c r="F22" s="150"/>
      <c r="G22" s="150">
        <v>900</v>
      </c>
      <c r="H22" s="320">
        <f t="shared" si="0"/>
        <v>900</v>
      </c>
      <c r="I22" s="145"/>
      <c r="J22" s="145"/>
      <c r="L22" s="145"/>
    </row>
    <row r="23" spans="1:12" s="146" customFormat="1" ht="19.5" customHeight="1">
      <c r="A23" s="193"/>
      <c r="B23" s="158"/>
      <c r="C23" s="225">
        <v>4170</v>
      </c>
      <c r="D23" s="227" t="s">
        <v>128</v>
      </c>
      <c r="E23" s="150"/>
      <c r="F23" s="150"/>
      <c r="G23" s="150">
        <v>35000</v>
      </c>
      <c r="H23" s="320">
        <f t="shared" si="0"/>
        <v>35000</v>
      </c>
      <c r="I23" s="145"/>
      <c r="J23" s="145"/>
      <c r="L23" s="145"/>
    </row>
    <row r="24" spans="1:12" s="146" customFormat="1" ht="19.5" customHeight="1">
      <c r="A24" s="193"/>
      <c r="B24" s="158"/>
      <c r="C24" s="225">
        <v>4300</v>
      </c>
      <c r="D24" s="227" t="s">
        <v>119</v>
      </c>
      <c r="E24" s="150">
        <v>54300</v>
      </c>
      <c r="F24" s="150">
        <v>43900</v>
      </c>
      <c r="G24" s="150"/>
      <c r="H24" s="320">
        <f t="shared" si="0"/>
        <v>10400</v>
      </c>
      <c r="I24" s="145"/>
      <c r="J24" s="145"/>
      <c r="L24" s="145"/>
    </row>
    <row r="25" spans="1:12" s="146" customFormat="1" ht="19.5" customHeight="1">
      <c r="A25" s="193"/>
      <c r="B25" s="228"/>
      <c r="C25" s="225">
        <v>4410</v>
      </c>
      <c r="D25" s="227" t="s">
        <v>178</v>
      </c>
      <c r="E25" s="150"/>
      <c r="F25" s="150"/>
      <c r="G25" s="150">
        <v>2000</v>
      </c>
      <c r="H25" s="320">
        <f t="shared" si="0"/>
        <v>2000</v>
      </c>
      <c r="I25" s="145"/>
      <c r="J25" s="145"/>
      <c r="L25" s="145"/>
    </row>
    <row r="26" spans="1:12" s="121" customFormat="1" ht="19.5" customHeight="1">
      <c r="A26" s="81"/>
      <c r="B26" s="78">
        <v>75023</v>
      </c>
      <c r="C26" s="78"/>
      <c r="D26" s="78" t="s">
        <v>120</v>
      </c>
      <c r="E26" s="127">
        <v>60981030</v>
      </c>
      <c r="F26" s="127">
        <f>F27+F30+F32</f>
        <v>20000</v>
      </c>
      <c r="G26" s="127">
        <f>G27+G30+G32</f>
        <v>139170</v>
      </c>
      <c r="H26" s="127">
        <f t="shared" si="0"/>
        <v>61100200</v>
      </c>
      <c r="I26" s="128"/>
      <c r="J26" s="128"/>
      <c r="L26" s="128"/>
    </row>
    <row r="27" spans="1:12" s="121" customFormat="1" ht="19.5" customHeight="1">
      <c r="A27" s="194"/>
      <c r="B27" s="202"/>
      <c r="C27" s="106"/>
      <c r="D27" s="100" t="s">
        <v>121</v>
      </c>
      <c r="E27" s="134">
        <v>12031000</v>
      </c>
      <c r="F27" s="134"/>
      <c r="G27" s="134">
        <f>SUM(G28:G29)</f>
        <v>80000</v>
      </c>
      <c r="H27" s="134">
        <f t="shared" si="0"/>
        <v>12111000</v>
      </c>
      <c r="I27" s="128"/>
      <c r="J27" s="128"/>
      <c r="L27" s="128"/>
    </row>
    <row r="28" spans="1:12" s="146" customFormat="1" ht="19.5" customHeight="1">
      <c r="A28" s="193"/>
      <c r="B28" s="158"/>
      <c r="C28" s="82">
        <v>3020</v>
      </c>
      <c r="D28" s="409" t="s">
        <v>281</v>
      </c>
      <c r="E28" s="144">
        <v>35000</v>
      </c>
      <c r="F28" s="144"/>
      <c r="G28" s="144">
        <v>20000</v>
      </c>
      <c r="H28" s="144">
        <f t="shared" si="0"/>
        <v>55000</v>
      </c>
      <c r="I28" s="145"/>
      <c r="J28" s="145"/>
      <c r="L28" s="145"/>
    </row>
    <row r="29" spans="1:12" s="146" customFormat="1" ht="19.5" customHeight="1">
      <c r="A29" s="210"/>
      <c r="B29" s="228"/>
      <c r="C29" s="361">
        <v>4430</v>
      </c>
      <c r="D29" s="739" t="s">
        <v>6</v>
      </c>
      <c r="E29" s="320">
        <v>250000</v>
      </c>
      <c r="F29" s="320"/>
      <c r="G29" s="320">
        <v>60000</v>
      </c>
      <c r="H29" s="144">
        <f t="shared" si="0"/>
        <v>310000</v>
      </c>
      <c r="I29" s="145"/>
      <c r="J29" s="145"/>
      <c r="L29" s="145"/>
    </row>
    <row r="30" spans="1:12" s="121" customFormat="1" ht="19.5" customHeight="1">
      <c r="A30" s="194"/>
      <c r="B30" s="202"/>
      <c r="C30" s="106"/>
      <c r="D30" s="100" t="s">
        <v>146</v>
      </c>
      <c r="E30" s="134">
        <v>6032000</v>
      </c>
      <c r="F30" s="134">
        <f>F31</f>
        <v>20000</v>
      </c>
      <c r="G30" s="134"/>
      <c r="H30" s="134">
        <f t="shared" si="0"/>
        <v>6012000</v>
      </c>
      <c r="I30" s="128"/>
      <c r="J30" s="128"/>
      <c r="L30" s="128"/>
    </row>
    <row r="31" spans="1:12" s="146" customFormat="1" ht="19.5" customHeight="1">
      <c r="A31" s="193"/>
      <c r="B31" s="158"/>
      <c r="C31" s="130">
        <v>4110</v>
      </c>
      <c r="D31" s="83" t="s">
        <v>174</v>
      </c>
      <c r="E31" s="144">
        <v>5464000</v>
      </c>
      <c r="F31" s="144">
        <v>20000</v>
      </c>
      <c r="G31" s="144"/>
      <c r="H31" s="144">
        <f t="shared" si="0"/>
        <v>5444000</v>
      </c>
      <c r="I31" s="145"/>
      <c r="J31" s="145"/>
      <c r="L31" s="145"/>
    </row>
    <row r="32" spans="1:12" s="146" customFormat="1" ht="23.25" customHeight="1">
      <c r="A32" s="193"/>
      <c r="B32" s="158"/>
      <c r="C32" s="66"/>
      <c r="D32" s="581" t="s">
        <v>414</v>
      </c>
      <c r="E32" s="407">
        <v>743509</v>
      </c>
      <c r="F32" s="407"/>
      <c r="G32" s="407">
        <f>SUM(G33:G34)</f>
        <v>59170</v>
      </c>
      <c r="H32" s="134">
        <f t="shared" si="0"/>
        <v>802679</v>
      </c>
      <c r="I32" s="145"/>
      <c r="J32" s="145"/>
      <c r="L32" s="145"/>
    </row>
    <row r="33" spans="1:12" s="146" customFormat="1" ht="19.5" customHeight="1">
      <c r="A33" s="193"/>
      <c r="B33" s="158"/>
      <c r="C33" s="225">
        <v>6058</v>
      </c>
      <c r="D33" s="227" t="s">
        <v>205</v>
      </c>
      <c r="E33" s="150">
        <v>557632</v>
      </c>
      <c r="F33" s="150"/>
      <c r="G33" s="150">
        <v>44378</v>
      </c>
      <c r="H33" s="144">
        <f t="shared" si="0"/>
        <v>602010</v>
      </c>
      <c r="I33" s="145"/>
      <c r="J33" s="145"/>
      <c r="L33" s="145"/>
    </row>
    <row r="34" spans="1:12" s="146" customFormat="1" ht="19.5" customHeight="1">
      <c r="A34" s="193"/>
      <c r="B34" s="228"/>
      <c r="C34" s="706">
        <v>6059</v>
      </c>
      <c r="D34" s="227" t="s">
        <v>205</v>
      </c>
      <c r="E34" s="150">
        <v>185877</v>
      </c>
      <c r="F34" s="150"/>
      <c r="G34" s="150">
        <v>14792</v>
      </c>
      <c r="H34" s="144">
        <f t="shared" si="0"/>
        <v>200669</v>
      </c>
      <c r="I34" s="145"/>
      <c r="J34" s="145"/>
      <c r="L34" s="145"/>
    </row>
    <row r="35" spans="1:12" s="121" customFormat="1" ht="19.5" customHeight="1">
      <c r="A35" s="81"/>
      <c r="B35" s="78">
        <v>75075</v>
      </c>
      <c r="C35" s="78"/>
      <c r="D35" s="78" t="s">
        <v>406</v>
      </c>
      <c r="E35" s="127">
        <v>1765000</v>
      </c>
      <c r="F35" s="127">
        <f>F36</f>
        <v>1000</v>
      </c>
      <c r="G35" s="127">
        <f>G36</f>
        <v>1000</v>
      </c>
      <c r="H35" s="127">
        <f t="shared" si="0"/>
        <v>1765000</v>
      </c>
      <c r="I35" s="128"/>
      <c r="J35" s="128"/>
      <c r="L35" s="128"/>
    </row>
    <row r="36" spans="1:12" s="121" customFormat="1" ht="19.5" customHeight="1">
      <c r="A36" s="194"/>
      <c r="B36" s="66"/>
      <c r="C36" s="66"/>
      <c r="D36" s="581" t="s">
        <v>407</v>
      </c>
      <c r="E36" s="407">
        <v>1765000</v>
      </c>
      <c r="F36" s="407">
        <f>SUM(F37:F38)</f>
        <v>1000</v>
      </c>
      <c r="G36" s="407">
        <f>SUM(G37:G38)</f>
        <v>1000</v>
      </c>
      <c r="H36" s="134">
        <f t="shared" si="0"/>
        <v>1765000</v>
      </c>
      <c r="I36" s="128"/>
      <c r="J36" s="128"/>
      <c r="L36" s="128"/>
    </row>
    <row r="37" spans="1:12" s="146" customFormat="1" ht="19.5" customHeight="1">
      <c r="A37" s="193"/>
      <c r="B37" s="81"/>
      <c r="C37" s="130">
        <v>4110</v>
      </c>
      <c r="D37" s="83" t="s">
        <v>174</v>
      </c>
      <c r="E37" s="150">
        <v>1000</v>
      </c>
      <c r="F37" s="150"/>
      <c r="G37" s="150">
        <v>1000</v>
      </c>
      <c r="H37" s="144">
        <f t="shared" si="0"/>
        <v>2000</v>
      </c>
      <c r="I37" s="145"/>
      <c r="J37" s="145"/>
      <c r="L37" s="145"/>
    </row>
    <row r="38" spans="1:12" s="146" customFormat="1" ht="19.5" customHeight="1">
      <c r="A38" s="210"/>
      <c r="B38" s="82"/>
      <c r="C38" s="82">
        <v>4210</v>
      </c>
      <c r="D38" s="83" t="s">
        <v>118</v>
      </c>
      <c r="E38" s="150">
        <v>300000</v>
      </c>
      <c r="F38" s="150">
        <v>1000</v>
      </c>
      <c r="G38" s="150"/>
      <c r="H38" s="320">
        <f t="shared" si="0"/>
        <v>299000</v>
      </c>
      <c r="I38" s="145"/>
      <c r="J38" s="145"/>
      <c r="L38" s="145"/>
    </row>
    <row r="39" spans="1:12" ht="19.5" customHeight="1">
      <c r="A39" s="73">
        <v>754</v>
      </c>
      <c r="B39" s="73"/>
      <c r="C39" s="73"/>
      <c r="D39" s="73" t="s">
        <v>97</v>
      </c>
      <c r="E39" s="74">
        <v>6638000</v>
      </c>
      <c r="F39" s="75">
        <f>F40</f>
        <v>1914</v>
      </c>
      <c r="G39" s="75">
        <f>G40</f>
        <v>1914</v>
      </c>
      <c r="H39" s="75">
        <f t="shared" si="0"/>
        <v>6638000</v>
      </c>
      <c r="I39" s="47"/>
      <c r="J39" s="47"/>
      <c r="L39" s="47"/>
    </row>
    <row r="40" spans="1:12" s="121" customFormat="1" ht="19.5" customHeight="1">
      <c r="A40" s="81"/>
      <c r="B40" s="78">
        <v>75416</v>
      </c>
      <c r="C40" s="78"/>
      <c r="D40" s="78" t="s">
        <v>210</v>
      </c>
      <c r="E40" s="127">
        <v>5445000</v>
      </c>
      <c r="F40" s="127">
        <f>F41+F43</f>
        <v>1914</v>
      </c>
      <c r="G40" s="127">
        <f>G41+G43</f>
        <v>1914</v>
      </c>
      <c r="H40" s="127">
        <f t="shared" si="0"/>
        <v>5445000</v>
      </c>
      <c r="I40" s="128"/>
      <c r="J40" s="128"/>
      <c r="L40" s="128"/>
    </row>
    <row r="41" spans="1:12" s="121" customFormat="1" ht="19.5" customHeight="1">
      <c r="A41" s="80"/>
      <c r="B41" s="353"/>
      <c r="C41" s="106"/>
      <c r="D41" s="415" t="s">
        <v>121</v>
      </c>
      <c r="E41" s="407">
        <v>925000</v>
      </c>
      <c r="F41" s="407">
        <f>F42</f>
        <v>1914</v>
      </c>
      <c r="G41" s="407"/>
      <c r="H41" s="407">
        <f t="shared" si="0"/>
        <v>923086</v>
      </c>
      <c r="I41" s="128"/>
      <c r="J41" s="128"/>
      <c r="L41" s="128"/>
    </row>
    <row r="42" spans="1:12" s="146" customFormat="1" ht="19.5" customHeight="1">
      <c r="A42" s="193"/>
      <c r="B42" s="158"/>
      <c r="C42" s="225">
        <v>4350</v>
      </c>
      <c r="D42" s="83" t="s">
        <v>371</v>
      </c>
      <c r="E42" s="150">
        <v>6000</v>
      </c>
      <c r="F42" s="150">
        <v>1914</v>
      </c>
      <c r="G42" s="150"/>
      <c r="H42" s="150">
        <f t="shared" si="0"/>
        <v>4086</v>
      </c>
      <c r="I42" s="145"/>
      <c r="J42" s="145"/>
      <c r="L42" s="145"/>
    </row>
    <row r="43" spans="1:12" s="121" customFormat="1" ht="21" customHeight="1">
      <c r="A43" s="194"/>
      <c r="B43" s="202"/>
      <c r="C43" s="106"/>
      <c r="D43" s="100" t="s">
        <v>384</v>
      </c>
      <c r="E43" s="407">
        <v>100000</v>
      </c>
      <c r="F43" s="407"/>
      <c r="G43" s="407">
        <f>G45</f>
        <v>1914</v>
      </c>
      <c r="H43" s="407">
        <f t="shared" si="0"/>
        <v>101914</v>
      </c>
      <c r="I43" s="128"/>
      <c r="J43" s="128"/>
      <c r="L43" s="128"/>
    </row>
    <row r="44" spans="1:12" ht="19.5" customHeight="1">
      <c r="A44" s="85"/>
      <c r="B44" s="85"/>
      <c r="C44" s="85"/>
      <c r="D44" s="539" t="s">
        <v>292</v>
      </c>
      <c r="E44" s="543">
        <v>100000</v>
      </c>
      <c r="F44" s="545"/>
      <c r="G44" s="545">
        <v>1914</v>
      </c>
      <c r="H44" s="545">
        <f>E44-F44+G44</f>
        <v>101914</v>
      </c>
      <c r="I44" s="47"/>
      <c r="J44" s="47"/>
      <c r="L44" s="47"/>
    </row>
    <row r="45" spans="1:12" ht="19.5" customHeight="1">
      <c r="A45" s="85"/>
      <c r="B45" s="85"/>
      <c r="C45" s="540">
        <v>6060</v>
      </c>
      <c r="D45" s="540" t="s">
        <v>155</v>
      </c>
      <c r="E45" s="541">
        <v>100000</v>
      </c>
      <c r="F45" s="542"/>
      <c r="G45" s="542">
        <f>G44</f>
        <v>1914</v>
      </c>
      <c r="H45" s="542">
        <f>E45-F45+G45</f>
        <v>101914</v>
      </c>
      <c r="I45" s="47"/>
      <c r="J45" s="47"/>
      <c r="L45" s="47"/>
    </row>
    <row r="46" spans="1:12" ht="19.5" customHeight="1">
      <c r="A46" s="89">
        <v>758</v>
      </c>
      <c r="B46" s="89"/>
      <c r="C46" s="89"/>
      <c r="D46" s="89" t="s">
        <v>98</v>
      </c>
      <c r="E46" s="74">
        <v>11146549</v>
      </c>
      <c r="F46" s="75">
        <f>F47</f>
        <v>396870</v>
      </c>
      <c r="G46" s="75"/>
      <c r="H46" s="75">
        <f t="shared" si="0"/>
        <v>10749679</v>
      </c>
      <c r="I46" s="47"/>
      <c r="J46" s="47"/>
      <c r="L46" s="47"/>
    </row>
    <row r="47" spans="1:12" s="121" customFormat="1" ht="19.5" customHeight="1">
      <c r="A47" s="410"/>
      <c r="B47" s="77">
        <v>75818</v>
      </c>
      <c r="C47" s="77"/>
      <c r="D47" s="77" t="s">
        <v>99</v>
      </c>
      <c r="E47" s="127">
        <v>7938726</v>
      </c>
      <c r="F47" s="127">
        <f>F50+F53+F48</f>
        <v>396870</v>
      </c>
      <c r="G47" s="127"/>
      <c r="H47" s="127">
        <f t="shared" si="0"/>
        <v>7541856</v>
      </c>
      <c r="I47" s="128"/>
      <c r="J47" s="128"/>
      <c r="L47" s="128"/>
    </row>
    <row r="48" spans="1:12" s="146" customFormat="1" ht="19.5" customHeight="1">
      <c r="A48" s="193"/>
      <c r="B48" s="158"/>
      <c r="C48" s="66"/>
      <c r="D48" s="581" t="s">
        <v>470</v>
      </c>
      <c r="E48" s="407">
        <v>4534858</v>
      </c>
      <c r="F48" s="407">
        <f>F49</f>
        <v>60000</v>
      </c>
      <c r="G48" s="407"/>
      <c r="H48" s="133">
        <f>E48+G48-F48</f>
        <v>4474858</v>
      </c>
      <c r="I48" s="145"/>
      <c r="J48" s="145"/>
      <c r="L48" s="145"/>
    </row>
    <row r="49" spans="1:12" s="146" customFormat="1" ht="19.5" customHeight="1">
      <c r="A49" s="193"/>
      <c r="B49" s="158"/>
      <c r="C49" s="82">
        <v>4810</v>
      </c>
      <c r="D49" s="82" t="s">
        <v>447</v>
      </c>
      <c r="E49" s="150">
        <v>4534858</v>
      </c>
      <c r="F49" s="150">
        <v>60000</v>
      </c>
      <c r="G49" s="150"/>
      <c r="H49" s="142">
        <f>E49+G49-F49</f>
        <v>4474858</v>
      </c>
      <c r="I49" s="145"/>
      <c r="J49" s="145"/>
      <c r="L49" s="145"/>
    </row>
    <row r="50" spans="1:12" s="121" customFormat="1" ht="27.75" customHeight="1">
      <c r="A50" s="194"/>
      <c r="B50" s="202"/>
      <c r="C50" s="106"/>
      <c r="D50" s="100" t="s">
        <v>310</v>
      </c>
      <c r="E50" s="134">
        <v>2553868</v>
      </c>
      <c r="F50" s="134">
        <f>F52</f>
        <v>59170</v>
      </c>
      <c r="G50" s="134"/>
      <c r="H50" s="134">
        <f t="shared" si="0"/>
        <v>2494698</v>
      </c>
      <c r="I50" s="128"/>
      <c r="J50" s="128"/>
      <c r="L50" s="128"/>
    </row>
    <row r="51" spans="1:12" s="121" customFormat="1" ht="27.75" customHeight="1">
      <c r="A51" s="194"/>
      <c r="B51" s="202"/>
      <c r="C51" s="106"/>
      <c r="D51" s="751" t="s">
        <v>435</v>
      </c>
      <c r="E51" s="351">
        <v>2457141</v>
      </c>
      <c r="F51" s="351">
        <v>59170</v>
      </c>
      <c r="G51" s="351"/>
      <c r="H51" s="545">
        <f>E51-F51+G51</f>
        <v>2397971</v>
      </c>
      <c r="I51" s="128"/>
      <c r="J51" s="128"/>
      <c r="L51" s="128"/>
    </row>
    <row r="52" spans="1:12" s="146" customFormat="1" ht="19.5" customHeight="1">
      <c r="A52" s="193"/>
      <c r="B52" s="158"/>
      <c r="C52" s="82">
        <v>6800</v>
      </c>
      <c r="D52" s="83" t="s">
        <v>416</v>
      </c>
      <c r="E52" s="320">
        <v>2457141</v>
      </c>
      <c r="F52" s="320">
        <f>F51</f>
        <v>59170</v>
      </c>
      <c r="G52" s="320"/>
      <c r="H52" s="320">
        <f t="shared" si="0"/>
        <v>2397971</v>
      </c>
      <c r="I52" s="145"/>
      <c r="J52" s="145"/>
      <c r="L52" s="145"/>
    </row>
    <row r="53" spans="1:12" s="146" customFormat="1" ht="27" customHeight="1">
      <c r="A53" s="193"/>
      <c r="B53" s="158"/>
      <c r="C53" s="66"/>
      <c r="D53" s="581" t="s">
        <v>446</v>
      </c>
      <c r="E53" s="407">
        <v>800000</v>
      </c>
      <c r="F53" s="407">
        <f>F54</f>
        <v>277700</v>
      </c>
      <c r="G53" s="407"/>
      <c r="H53" s="133">
        <f>E53+G53-F53</f>
        <v>522300</v>
      </c>
      <c r="I53" s="145"/>
      <c r="J53" s="145"/>
      <c r="L53" s="145"/>
    </row>
    <row r="54" spans="1:12" s="146" customFormat="1" ht="19.5" customHeight="1">
      <c r="A54" s="193"/>
      <c r="B54" s="228"/>
      <c r="C54" s="82">
        <v>4810</v>
      </c>
      <c r="D54" s="82" t="s">
        <v>447</v>
      </c>
      <c r="E54" s="150">
        <v>800000</v>
      </c>
      <c r="F54" s="150">
        <v>277700</v>
      </c>
      <c r="G54" s="150"/>
      <c r="H54" s="142">
        <f>E54+G54-F54</f>
        <v>522300</v>
      </c>
      <c r="I54" s="145"/>
      <c r="J54" s="145"/>
      <c r="L54" s="145"/>
    </row>
    <row r="55" spans="1:12" ht="18.75" customHeight="1">
      <c r="A55" s="72">
        <v>801</v>
      </c>
      <c r="B55" s="89"/>
      <c r="C55" s="73"/>
      <c r="D55" s="92" t="s">
        <v>103</v>
      </c>
      <c r="E55" s="74">
        <v>352787051</v>
      </c>
      <c r="F55" s="75">
        <f>F56+F66+F72+F81+F84+F96+F101+F104</f>
        <v>544299</v>
      </c>
      <c r="G55" s="75">
        <f>G56+G66+G72+G81+G84+G96+G101+G104</f>
        <v>821999</v>
      </c>
      <c r="H55" s="75">
        <f t="shared" si="0"/>
        <v>353064751</v>
      </c>
      <c r="I55" s="47">
        <f>G55-F55</f>
        <v>277700</v>
      </c>
      <c r="J55" s="47"/>
      <c r="L55" s="47"/>
    </row>
    <row r="56" spans="1:12" s="95" customFormat="1" ht="18.75" customHeight="1">
      <c r="A56" s="76"/>
      <c r="B56" s="78">
        <v>80101</v>
      </c>
      <c r="C56" s="78"/>
      <c r="D56" s="78" t="s">
        <v>265</v>
      </c>
      <c r="E56" s="441">
        <v>100988391</v>
      </c>
      <c r="F56" s="406">
        <f>F57+F59+F63</f>
        <v>72760</v>
      </c>
      <c r="G56" s="406">
        <f>G57+G59+G63</f>
        <v>140500</v>
      </c>
      <c r="H56" s="406">
        <f t="shared" si="0"/>
        <v>101056131</v>
      </c>
      <c r="I56" s="128"/>
      <c r="J56" s="128"/>
      <c r="L56" s="94"/>
    </row>
    <row r="57" spans="1:12" s="121" customFormat="1" ht="18.75" customHeight="1">
      <c r="A57" s="80"/>
      <c r="B57" s="353"/>
      <c r="C57" s="66"/>
      <c r="D57" s="414" t="s">
        <v>208</v>
      </c>
      <c r="E57" s="133">
        <v>57844250</v>
      </c>
      <c r="F57" s="133">
        <f>F58</f>
        <v>44000</v>
      </c>
      <c r="G57" s="133"/>
      <c r="H57" s="133">
        <f>E57+G57-F57</f>
        <v>57800250</v>
      </c>
      <c r="I57" s="128"/>
      <c r="J57" s="128"/>
      <c r="L57" s="128"/>
    </row>
    <row r="58" spans="1:12" s="148" customFormat="1" ht="18.75" customHeight="1">
      <c r="A58" s="417"/>
      <c r="B58" s="82"/>
      <c r="C58" s="82">
        <v>4010</v>
      </c>
      <c r="D58" s="409" t="s">
        <v>70</v>
      </c>
      <c r="E58" s="142">
        <v>53675012</v>
      </c>
      <c r="F58" s="142">
        <v>44000</v>
      </c>
      <c r="G58" s="142"/>
      <c r="H58" s="142">
        <f>E58+G58-F58</f>
        <v>53631012</v>
      </c>
      <c r="I58" s="147"/>
      <c r="J58" s="147"/>
      <c r="L58" s="147"/>
    </row>
    <row r="59" spans="1:12" s="95" customFormat="1" ht="18.75" customHeight="1">
      <c r="A59" s="80"/>
      <c r="B59" s="66"/>
      <c r="C59" s="353"/>
      <c r="D59" s="416" t="s">
        <v>121</v>
      </c>
      <c r="E59" s="133">
        <v>11895004</v>
      </c>
      <c r="F59" s="442">
        <f>SUM(F60:F62)</f>
        <v>20000</v>
      </c>
      <c r="G59" s="442">
        <f>SUM(G60:G62)</f>
        <v>140500</v>
      </c>
      <c r="H59" s="442">
        <f t="shared" si="0"/>
        <v>12015504</v>
      </c>
      <c r="I59" s="128"/>
      <c r="J59" s="128"/>
      <c r="L59" s="94"/>
    </row>
    <row r="60" spans="1:12" s="95" customFormat="1" ht="18.75" customHeight="1">
      <c r="A60" s="80"/>
      <c r="B60" s="66"/>
      <c r="C60" s="82">
        <v>4260</v>
      </c>
      <c r="D60" s="413" t="s">
        <v>176</v>
      </c>
      <c r="E60" s="320">
        <v>4593018</v>
      </c>
      <c r="F60" s="230">
        <v>20000</v>
      </c>
      <c r="G60" s="230"/>
      <c r="H60" s="320">
        <f t="shared" si="0"/>
        <v>4573018</v>
      </c>
      <c r="I60" s="128"/>
      <c r="J60" s="128"/>
      <c r="L60" s="94"/>
    </row>
    <row r="61" spans="1:12" s="443" customFormat="1" ht="18.75" customHeight="1">
      <c r="A61" s="192"/>
      <c r="B61" s="81"/>
      <c r="C61" s="82">
        <v>4270</v>
      </c>
      <c r="D61" s="413" t="s">
        <v>339</v>
      </c>
      <c r="E61" s="582">
        <v>925949</v>
      </c>
      <c r="F61" s="583"/>
      <c r="G61" s="583">
        <v>120500</v>
      </c>
      <c r="H61" s="583">
        <f t="shared" si="0"/>
        <v>1046449</v>
      </c>
      <c r="I61" s="147"/>
      <c r="J61" s="147"/>
      <c r="L61" s="444"/>
    </row>
    <row r="62" spans="1:12" s="443" customFormat="1" ht="18.75" customHeight="1">
      <c r="A62" s="192"/>
      <c r="B62" s="81"/>
      <c r="C62" s="225">
        <v>4300</v>
      </c>
      <c r="D62" s="227" t="s">
        <v>119</v>
      </c>
      <c r="E62" s="582">
        <v>951202</v>
      </c>
      <c r="F62" s="583"/>
      <c r="G62" s="583">
        <v>20000</v>
      </c>
      <c r="H62" s="583">
        <f t="shared" si="0"/>
        <v>971202</v>
      </c>
      <c r="I62" s="147"/>
      <c r="J62" s="147"/>
      <c r="L62" s="444"/>
    </row>
    <row r="63" spans="1:12" s="95" customFormat="1" ht="18.75" customHeight="1">
      <c r="A63" s="80"/>
      <c r="B63" s="66"/>
      <c r="C63" s="353"/>
      <c r="D63" s="416" t="s">
        <v>146</v>
      </c>
      <c r="E63" s="133">
        <v>11233400</v>
      </c>
      <c r="F63" s="442">
        <f>SUM(F64:F65)</f>
        <v>8760</v>
      </c>
      <c r="G63" s="442"/>
      <c r="H63" s="442">
        <f t="shared" si="0"/>
        <v>11224640</v>
      </c>
      <c r="I63" s="128"/>
      <c r="J63" s="128"/>
      <c r="L63" s="94"/>
    </row>
    <row r="64" spans="1:12" s="95" customFormat="1" ht="18.75" customHeight="1">
      <c r="A64" s="80"/>
      <c r="B64" s="66"/>
      <c r="C64" s="225">
        <v>4110</v>
      </c>
      <c r="D64" s="227" t="s">
        <v>174</v>
      </c>
      <c r="E64" s="144">
        <v>9891360</v>
      </c>
      <c r="F64" s="495">
        <v>7680</v>
      </c>
      <c r="G64" s="495"/>
      <c r="H64" s="142">
        <f t="shared" si="0"/>
        <v>9883680</v>
      </c>
      <c r="I64" s="128"/>
      <c r="J64" s="128"/>
      <c r="L64" s="94"/>
    </row>
    <row r="65" spans="1:12" s="95" customFormat="1" ht="18.75" customHeight="1">
      <c r="A65" s="80"/>
      <c r="B65" s="69"/>
      <c r="C65" s="82">
        <v>4120</v>
      </c>
      <c r="D65" s="413" t="s">
        <v>175</v>
      </c>
      <c r="E65" s="320">
        <v>1342040</v>
      </c>
      <c r="F65" s="230">
        <v>1080</v>
      </c>
      <c r="G65" s="230"/>
      <c r="H65" s="320">
        <f t="shared" si="0"/>
        <v>1340960</v>
      </c>
      <c r="I65" s="128"/>
      <c r="J65" s="128"/>
      <c r="L65" s="94"/>
    </row>
    <row r="66" spans="1:12" s="121" customFormat="1" ht="18.75" customHeight="1">
      <c r="A66" s="76"/>
      <c r="B66" s="77">
        <v>80103</v>
      </c>
      <c r="C66" s="77"/>
      <c r="D66" s="77" t="s">
        <v>312</v>
      </c>
      <c r="E66" s="127">
        <v>1660700</v>
      </c>
      <c r="F66" s="127"/>
      <c r="G66" s="127">
        <f>G67+G69</f>
        <v>52760</v>
      </c>
      <c r="H66" s="127">
        <f t="shared" si="0"/>
        <v>1713460</v>
      </c>
      <c r="I66" s="128"/>
      <c r="J66" s="128"/>
      <c r="L66" s="128"/>
    </row>
    <row r="67" spans="1:12" s="95" customFormat="1" ht="18.75" customHeight="1">
      <c r="A67" s="80"/>
      <c r="B67" s="66"/>
      <c r="C67" s="66"/>
      <c r="D67" s="414" t="s">
        <v>208</v>
      </c>
      <c r="E67" s="133">
        <v>1244600</v>
      </c>
      <c r="F67" s="442"/>
      <c r="G67" s="442">
        <f>G68</f>
        <v>44000</v>
      </c>
      <c r="H67" s="133">
        <f t="shared" si="0"/>
        <v>1288600</v>
      </c>
      <c r="I67" s="128"/>
      <c r="J67" s="128"/>
      <c r="L67" s="94"/>
    </row>
    <row r="68" spans="1:12" s="95" customFormat="1" ht="18.75" customHeight="1">
      <c r="A68" s="80"/>
      <c r="B68" s="66"/>
      <c r="C68" s="82">
        <v>4010</v>
      </c>
      <c r="D68" s="409" t="s">
        <v>70</v>
      </c>
      <c r="E68" s="320">
        <v>1157408</v>
      </c>
      <c r="F68" s="230"/>
      <c r="G68" s="230">
        <v>44000</v>
      </c>
      <c r="H68" s="142">
        <f t="shared" si="0"/>
        <v>1201408</v>
      </c>
      <c r="I68" s="128"/>
      <c r="J68" s="128"/>
      <c r="L68" s="94"/>
    </row>
    <row r="69" spans="1:12" s="95" customFormat="1" ht="18.75" customHeight="1">
      <c r="A69" s="80"/>
      <c r="B69" s="66"/>
      <c r="C69" s="353"/>
      <c r="D69" s="416" t="s">
        <v>146</v>
      </c>
      <c r="E69" s="133">
        <v>253200</v>
      </c>
      <c r="F69" s="442"/>
      <c r="G69" s="442">
        <f>SUM(G70:G71)</f>
        <v>8760</v>
      </c>
      <c r="H69" s="133">
        <f t="shared" si="0"/>
        <v>261960</v>
      </c>
      <c r="I69" s="128"/>
      <c r="J69" s="128"/>
      <c r="L69" s="94"/>
    </row>
    <row r="70" spans="1:12" s="95" customFormat="1" ht="18.75" customHeight="1">
      <c r="A70" s="80"/>
      <c r="B70" s="66"/>
      <c r="C70" s="82">
        <v>4110</v>
      </c>
      <c r="D70" s="413" t="s">
        <v>174</v>
      </c>
      <c r="E70" s="320">
        <v>222360</v>
      </c>
      <c r="F70" s="230"/>
      <c r="G70" s="230">
        <v>7680</v>
      </c>
      <c r="H70" s="142">
        <f t="shared" si="0"/>
        <v>230040</v>
      </c>
      <c r="I70" s="128"/>
      <c r="J70" s="128"/>
      <c r="L70" s="94"/>
    </row>
    <row r="71" spans="1:12" s="443" customFormat="1" ht="18.75" customHeight="1">
      <c r="A71" s="192"/>
      <c r="B71" s="81"/>
      <c r="C71" s="82">
        <v>4120</v>
      </c>
      <c r="D71" s="413" t="s">
        <v>175</v>
      </c>
      <c r="E71" s="582">
        <v>30840</v>
      </c>
      <c r="F71" s="583"/>
      <c r="G71" s="583">
        <v>1080</v>
      </c>
      <c r="H71" s="320">
        <f t="shared" si="0"/>
        <v>31920</v>
      </c>
      <c r="I71" s="147"/>
      <c r="J71" s="147"/>
      <c r="L71" s="444"/>
    </row>
    <row r="72" spans="1:12" s="121" customFormat="1" ht="18.75" customHeight="1">
      <c r="A72" s="76"/>
      <c r="B72" s="77">
        <v>80104</v>
      </c>
      <c r="C72" s="77"/>
      <c r="D72" s="77" t="s">
        <v>149</v>
      </c>
      <c r="E72" s="127">
        <v>49087000</v>
      </c>
      <c r="F72" s="127">
        <f>F73+F78</f>
        <v>6125</v>
      </c>
      <c r="G72" s="127">
        <f>G73+G78</f>
        <v>191125</v>
      </c>
      <c r="H72" s="127">
        <f t="shared" si="0"/>
        <v>49272000</v>
      </c>
      <c r="I72" s="128"/>
      <c r="J72" s="128"/>
      <c r="L72" s="128"/>
    </row>
    <row r="73" spans="1:12" s="121" customFormat="1" ht="19.5" customHeight="1">
      <c r="A73" s="80"/>
      <c r="B73" s="66"/>
      <c r="C73" s="66"/>
      <c r="D73" s="414" t="s">
        <v>121</v>
      </c>
      <c r="E73" s="133">
        <v>6402954</v>
      </c>
      <c r="F73" s="133">
        <f>SUM(F74:F77)</f>
        <v>6125</v>
      </c>
      <c r="G73" s="133">
        <f>SUM(G74:G77)</f>
        <v>187125</v>
      </c>
      <c r="H73" s="133">
        <f t="shared" si="0"/>
        <v>6583954</v>
      </c>
      <c r="I73" s="128"/>
      <c r="J73" s="128"/>
      <c r="L73" s="128"/>
    </row>
    <row r="74" spans="1:12" s="146" customFormat="1" ht="19.5" customHeight="1">
      <c r="A74" s="193"/>
      <c r="B74" s="158"/>
      <c r="C74" s="225">
        <v>3020</v>
      </c>
      <c r="D74" s="227" t="s">
        <v>281</v>
      </c>
      <c r="E74" s="320">
        <v>26954</v>
      </c>
      <c r="F74" s="320">
        <v>314</v>
      </c>
      <c r="G74" s="320"/>
      <c r="H74" s="320">
        <f t="shared" si="0"/>
        <v>26640</v>
      </c>
      <c r="I74" s="145"/>
      <c r="J74" s="145"/>
      <c r="L74" s="145"/>
    </row>
    <row r="75" spans="1:12" s="146" customFormat="1" ht="19.5" customHeight="1">
      <c r="A75" s="193"/>
      <c r="B75" s="158"/>
      <c r="C75" s="225">
        <v>4240</v>
      </c>
      <c r="D75" s="227" t="s">
        <v>270</v>
      </c>
      <c r="E75" s="320">
        <v>135360</v>
      </c>
      <c r="F75" s="320">
        <v>4600</v>
      </c>
      <c r="G75" s="320"/>
      <c r="H75" s="320">
        <f t="shared" si="0"/>
        <v>130760</v>
      </c>
      <c r="I75" s="145"/>
      <c r="J75" s="145"/>
      <c r="L75" s="145"/>
    </row>
    <row r="76" spans="1:12" s="146" customFormat="1" ht="19.5" customHeight="1">
      <c r="A76" s="193"/>
      <c r="B76" s="158"/>
      <c r="C76" s="225">
        <v>4270</v>
      </c>
      <c r="D76" s="227" t="s">
        <v>150</v>
      </c>
      <c r="E76" s="320">
        <v>187202</v>
      </c>
      <c r="F76" s="320"/>
      <c r="G76" s="320">
        <f>2125+215000-30000</f>
        <v>187125</v>
      </c>
      <c r="H76" s="320">
        <f t="shared" si="0"/>
        <v>374327</v>
      </c>
      <c r="I76" s="145"/>
      <c r="J76" s="145"/>
      <c r="L76" s="145"/>
    </row>
    <row r="77" spans="1:12" s="146" customFormat="1" ht="19.5" customHeight="1">
      <c r="A77" s="193"/>
      <c r="B77" s="158"/>
      <c r="C77" s="225">
        <v>4300</v>
      </c>
      <c r="D77" s="227" t="s">
        <v>119</v>
      </c>
      <c r="E77" s="320">
        <v>1275005</v>
      </c>
      <c r="F77" s="320">
        <f>1511-300</f>
        <v>1211</v>
      </c>
      <c r="G77" s="320"/>
      <c r="H77" s="320">
        <f t="shared" si="0"/>
        <v>1273794</v>
      </c>
      <c r="I77" s="145"/>
      <c r="J77" s="145"/>
      <c r="L77" s="145"/>
    </row>
    <row r="78" spans="1:12" s="121" customFormat="1" ht="19.5" customHeight="1">
      <c r="A78" s="80"/>
      <c r="B78" s="66"/>
      <c r="C78" s="66"/>
      <c r="D78" s="450" t="s">
        <v>211</v>
      </c>
      <c r="E78" s="133">
        <v>1404475</v>
      </c>
      <c r="F78" s="133"/>
      <c r="G78" s="133">
        <f>G80</f>
        <v>4000</v>
      </c>
      <c r="H78" s="133">
        <f t="shared" si="0"/>
        <v>1408475</v>
      </c>
      <c r="I78" s="128"/>
      <c r="J78" s="128"/>
      <c r="L78" s="128"/>
    </row>
    <row r="79" spans="1:12" s="146" customFormat="1" ht="19.5" customHeight="1">
      <c r="A79" s="193"/>
      <c r="B79" s="158"/>
      <c r="C79" s="158"/>
      <c r="D79" s="431" t="s">
        <v>292</v>
      </c>
      <c r="E79" s="351">
        <v>9570</v>
      </c>
      <c r="F79" s="351"/>
      <c r="G79" s="351">
        <v>4000</v>
      </c>
      <c r="H79" s="351">
        <f t="shared" si="0"/>
        <v>13570</v>
      </c>
      <c r="I79" s="145"/>
      <c r="J79" s="145"/>
      <c r="L79" s="145"/>
    </row>
    <row r="80" spans="1:12" s="148" customFormat="1" ht="19.5" customHeight="1">
      <c r="A80" s="192"/>
      <c r="B80" s="82"/>
      <c r="C80" s="82">
        <v>6060</v>
      </c>
      <c r="D80" s="409" t="s">
        <v>155</v>
      </c>
      <c r="E80" s="142">
        <v>9570</v>
      </c>
      <c r="F80" s="142"/>
      <c r="G80" s="142">
        <f>G79</f>
        <v>4000</v>
      </c>
      <c r="H80" s="142">
        <f t="shared" si="0"/>
        <v>13570</v>
      </c>
      <c r="I80" s="147"/>
      <c r="J80" s="147"/>
      <c r="L80" s="147"/>
    </row>
    <row r="81" spans="1:12" s="121" customFormat="1" ht="19.5" customHeight="1">
      <c r="A81" s="76"/>
      <c r="B81" s="77">
        <v>80105</v>
      </c>
      <c r="C81" s="77"/>
      <c r="D81" s="77" t="s">
        <v>314</v>
      </c>
      <c r="E81" s="127">
        <v>1600000</v>
      </c>
      <c r="F81" s="127"/>
      <c r="G81" s="127">
        <f>G82</f>
        <v>30000</v>
      </c>
      <c r="H81" s="127">
        <f t="shared" si="0"/>
        <v>1630000</v>
      </c>
      <c r="I81" s="128"/>
      <c r="J81" s="128"/>
      <c r="L81" s="128"/>
    </row>
    <row r="82" spans="1:12" s="121" customFormat="1" ht="19.5" customHeight="1">
      <c r="A82" s="80"/>
      <c r="B82" s="66"/>
      <c r="C82" s="66"/>
      <c r="D82" s="414" t="s">
        <v>121</v>
      </c>
      <c r="E82" s="133">
        <v>155600</v>
      </c>
      <c r="F82" s="133"/>
      <c r="G82" s="133">
        <f>G83</f>
        <v>30000</v>
      </c>
      <c r="H82" s="133">
        <f t="shared" si="0"/>
        <v>185600</v>
      </c>
      <c r="I82" s="128"/>
      <c r="J82" s="128"/>
      <c r="L82" s="128"/>
    </row>
    <row r="83" spans="1:12" s="146" customFormat="1" ht="19.5" customHeight="1">
      <c r="A83" s="193"/>
      <c r="B83" s="228"/>
      <c r="C83" s="225">
        <v>4270</v>
      </c>
      <c r="D83" s="227" t="s">
        <v>436</v>
      </c>
      <c r="E83" s="320"/>
      <c r="F83" s="320"/>
      <c r="G83" s="320">
        <v>30000</v>
      </c>
      <c r="H83" s="320">
        <f t="shared" si="0"/>
        <v>30000</v>
      </c>
      <c r="I83" s="145"/>
      <c r="J83" s="145"/>
      <c r="L83" s="145"/>
    </row>
    <row r="84" spans="1:12" s="95" customFormat="1" ht="19.5" customHeight="1">
      <c r="A84" s="76"/>
      <c r="B84" s="78">
        <v>80110</v>
      </c>
      <c r="C84" s="78"/>
      <c r="D84" s="78" t="s">
        <v>266</v>
      </c>
      <c r="E84" s="441">
        <v>54021046</v>
      </c>
      <c r="F84" s="406"/>
      <c r="G84" s="406">
        <f>G85+G87+G93</f>
        <v>365714</v>
      </c>
      <c r="H84" s="406">
        <f t="shared" si="0"/>
        <v>54386760</v>
      </c>
      <c r="I84" s="128"/>
      <c r="J84" s="128"/>
      <c r="L84" s="94"/>
    </row>
    <row r="85" spans="1:12" s="95" customFormat="1" ht="18.75" customHeight="1">
      <c r="A85" s="80"/>
      <c r="B85" s="66"/>
      <c r="C85" s="66"/>
      <c r="D85" s="414" t="s">
        <v>208</v>
      </c>
      <c r="E85" s="133">
        <v>34381400</v>
      </c>
      <c r="F85" s="442"/>
      <c r="G85" s="442">
        <f>G86</f>
        <v>190000</v>
      </c>
      <c r="H85" s="133">
        <f>E85+G85-F85</f>
        <v>34571400</v>
      </c>
      <c r="I85" s="128"/>
      <c r="J85" s="128"/>
      <c r="L85" s="94"/>
    </row>
    <row r="86" spans="1:12" s="95" customFormat="1" ht="18.75" customHeight="1">
      <c r="A86" s="80"/>
      <c r="B86" s="66"/>
      <c r="C86" s="82">
        <v>4010</v>
      </c>
      <c r="D86" s="409" t="s">
        <v>70</v>
      </c>
      <c r="E86" s="320">
        <v>31846086</v>
      </c>
      <c r="F86" s="230"/>
      <c r="G86" s="230">
        <v>190000</v>
      </c>
      <c r="H86" s="142">
        <f>E86+G86-F86</f>
        <v>32036086</v>
      </c>
      <c r="I86" s="128"/>
      <c r="J86" s="128"/>
      <c r="L86" s="94"/>
    </row>
    <row r="87" spans="1:12" s="95" customFormat="1" ht="19.5" customHeight="1">
      <c r="A87" s="80"/>
      <c r="B87" s="66"/>
      <c r="C87" s="353"/>
      <c r="D87" s="416" t="s">
        <v>121</v>
      </c>
      <c r="E87" s="133">
        <v>6543085</v>
      </c>
      <c r="F87" s="442"/>
      <c r="G87" s="442">
        <f>SUM(G88:G92)</f>
        <v>138014</v>
      </c>
      <c r="H87" s="442">
        <f t="shared" si="0"/>
        <v>6681099</v>
      </c>
      <c r="I87" s="128"/>
      <c r="J87" s="128"/>
      <c r="L87" s="94"/>
    </row>
    <row r="88" spans="1:12" s="443" customFormat="1" ht="19.5" customHeight="1">
      <c r="A88" s="192"/>
      <c r="B88" s="81"/>
      <c r="C88" s="82">
        <v>4210</v>
      </c>
      <c r="D88" s="413" t="s">
        <v>118</v>
      </c>
      <c r="E88" s="142">
        <v>519100</v>
      </c>
      <c r="F88" s="429"/>
      <c r="G88" s="429">
        <v>31500</v>
      </c>
      <c r="H88" s="429">
        <f t="shared" si="0"/>
        <v>550600</v>
      </c>
      <c r="I88" s="147"/>
      <c r="J88" s="147"/>
      <c r="L88" s="444"/>
    </row>
    <row r="89" spans="1:12" s="443" customFormat="1" ht="19.5" customHeight="1">
      <c r="A89" s="417"/>
      <c r="B89" s="82"/>
      <c r="C89" s="225">
        <v>4240</v>
      </c>
      <c r="D89" s="227" t="s">
        <v>270</v>
      </c>
      <c r="E89" s="142">
        <v>68750</v>
      </c>
      <c r="F89" s="429"/>
      <c r="G89" s="429">
        <v>10000</v>
      </c>
      <c r="H89" s="429">
        <f t="shared" si="0"/>
        <v>78750</v>
      </c>
      <c r="I89" s="147"/>
      <c r="J89" s="147"/>
      <c r="L89" s="444"/>
    </row>
    <row r="90" spans="1:12" s="443" customFormat="1" ht="19.5" customHeight="1">
      <c r="A90" s="192"/>
      <c r="B90" s="81"/>
      <c r="C90" s="225">
        <v>4260</v>
      </c>
      <c r="D90" s="227" t="s">
        <v>176</v>
      </c>
      <c r="E90" s="463">
        <v>2455590</v>
      </c>
      <c r="F90" s="464"/>
      <c r="G90" s="464">
        <f>34000-28000</f>
        <v>6000</v>
      </c>
      <c r="H90" s="429">
        <f t="shared" si="0"/>
        <v>2461590</v>
      </c>
      <c r="I90" s="147"/>
      <c r="J90" s="147"/>
      <c r="L90" s="444"/>
    </row>
    <row r="91" spans="1:12" s="443" customFormat="1" ht="19.5" customHeight="1">
      <c r="A91" s="192"/>
      <c r="B91" s="81"/>
      <c r="C91" s="82">
        <v>4270</v>
      </c>
      <c r="D91" s="413" t="s">
        <v>339</v>
      </c>
      <c r="E91" s="435">
        <v>701168</v>
      </c>
      <c r="F91" s="446"/>
      <c r="G91" s="446">
        <f>88014-5500</f>
        <v>82514</v>
      </c>
      <c r="H91" s="446">
        <f>E91+G91-F91</f>
        <v>783682</v>
      </c>
      <c r="I91" s="147"/>
      <c r="J91" s="147"/>
      <c r="L91" s="444"/>
    </row>
    <row r="92" spans="1:12" s="443" customFormat="1" ht="19.5" customHeight="1">
      <c r="A92" s="192"/>
      <c r="B92" s="81"/>
      <c r="C92" s="130">
        <v>4300</v>
      </c>
      <c r="D92" s="83" t="s">
        <v>119</v>
      </c>
      <c r="E92" s="463">
        <v>403684</v>
      </c>
      <c r="F92" s="464"/>
      <c r="G92" s="464">
        <v>8000</v>
      </c>
      <c r="H92" s="464">
        <f>E92+G92-F92</f>
        <v>411684</v>
      </c>
      <c r="I92" s="147"/>
      <c r="J92" s="147"/>
      <c r="L92" s="444"/>
    </row>
    <row r="93" spans="1:12" s="95" customFormat="1" ht="19.5" customHeight="1">
      <c r="A93" s="80"/>
      <c r="B93" s="66"/>
      <c r="C93" s="353"/>
      <c r="D93" s="416" t="s">
        <v>146</v>
      </c>
      <c r="E93" s="133">
        <v>6773000</v>
      </c>
      <c r="F93" s="442"/>
      <c r="G93" s="442">
        <f>SUM(G94:G95)</f>
        <v>37700</v>
      </c>
      <c r="H93" s="133">
        <f>E93+G93-F93</f>
        <v>6810700</v>
      </c>
      <c r="I93" s="128"/>
      <c r="J93" s="128"/>
      <c r="L93" s="94"/>
    </row>
    <row r="94" spans="1:12" s="95" customFormat="1" ht="19.5" customHeight="1">
      <c r="A94" s="80"/>
      <c r="B94" s="66"/>
      <c r="C94" s="82">
        <v>4110</v>
      </c>
      <c r="D94" s="413" t="s">
        <v>174</v>
      </c>
      <c r="E94" s="320">
        <v>5971570</v>
      </c>
      <c r="F94" s="230"/>
      <c r="G94" s="230">
        <v>33000</v>
      </c>
      <c r="H94" s="142">
        <f>E94+G94-F94</f>
        <v>6004570</v>
      </c>
      <c r="I94" s="128"/>
      <c r="J94" s="128"/>
      <c r="L94" s="94"/>
    </row>
    <row r="95" spans="1:12" s="443" customFormat="1" ht="19.5" customHeight="1">
      <c r="A95" s="192"/>
      <c r="B95" s="81"/>
      <c r="C95" s="82">
        <v>4120</v>
      </c>
      <c r="D95" s="413" t="s">
        <v>175</v>
      </c>
      <c r="E95" s="582">
        <v>801430</v>
      </c>
      <c r="F95" s="583"/>
      <c r="G95" s="583">
        <v>4700</v>
      </c>
      <c r="H95" s="320">
        <f>E95+G95-F95</f>
        <v>806130</v>
      </c>
      <c r="I95" s="147"/>
      <c r="J95" s="147"/>
      <c r="L95" s="444"/>
    </row>
    <row r="96" spans="1:12" s="95" customFormat="1" ht="19.5" customHeight="1">
      <c r="A96" s="76"/>
      <c r="B96" s="77">
        <v>80120</v>
      </c>
      <c r="C96" s="77"/>
      <c r="D96" s="77" t="s">
        <v>267</v>
      </c>
      <c r="E96" s="127">
        <v>49954963</v>
      </c>
      <c r="F96" s="79">
        <f>F97</f>
        <v>6420</v>
      </c>
      <c r="G96" s="79">
        <f>G97</f>
        <v>27900</v>
      </c>
      <c r="H96" s="79">
        <f t="shared" si="0"/>
        <v>49976443</v>
      </c>
      <c r="I96" s="128">
        <f>G96-F96</f>
        <v>21480</v>
      </c>
      <c r="J96" s="128"/>
      <c r="L96" s="94"/>
    </row>
    <row r="97" spans="1:12" s="95" customFormat="1" ht="19.5" customHeight="1">
      <c r="A97" s="80"/>
      <c r="B97" s="353"/>
      <c r="C97" s="353"/>
      <c r="D97" s="416" t="s">
        <v>121</v>
      </c>
      <c r="E97" s="133">
        <v>5424143</v>
      </c>
      <c r="F97" s="442">
        <f>SUM(F98:F100)</f>
        <v>6420</v>
      </c>
      <c r="G97" s="442">
        <f>SUM(G98:G100)</f>
        <v>27900</v>
      </c>
      <c r="H97" s="442">
        <f t="shared" si="0"/>
        <v>5445623</v>
      </c>
      <c r="I97" s="128"/>
      <c r="J97" s="128"/>
      <c r="L97" s="94"/>
    </row>
    <row r="98" spans="1:12" s="443" customFormat="1" ht="19.5" customHeight="1">
      <c r="A98" s="192"/>
      <c r="B98" s="81"/>
      <c r="C98" s="82">
        <v>3020</v>
      </c>
      <c r="D98" s="413" t="s">
        <v>281</v>
      </c>
      <c r="E98" s="142">
        <v>83201</v>
      </c>
      <c r="F98" s="429"/>
      <c r="G98" s="429">
        <v>12900</v>
      </c>
      <c r="H98" s="429">
        <f t="shared" si="0"/>
        <v>96101</v>
      </c>
      <c r="I98" s="147"/>
      <c r="J98" s="147"/>
      <c r="L98" s="444"/>
    </row>
    <row r="99" spans="1:12" s="148" customFormat="1" ht="19.5" customHeight="1">
      <c r="A99" s="192"/>
      <c r="B99" s="81"/>
      <c r="C99" s="225">
        <v>4260</v>
      </c>
      <c r="D99" s="227" t="s">
        <v>176</v>
      </c>
      <c r="E99" s="142">
        <v>1961180</v>
      </c>
      <c r="F99" s="142">
        <f>16420-10000</f>
        <v>6420</v>
      </c>
      <c r="G99" s="142"/>
      <c r="H99" s="142">
        <f t="shared" si="0"/>
        <v>1954760</v>
      </c>
      <c r="I99" s="147"/>
      <c r="J99" s="147"/>
      <c r="L99" s="147"/>
    </row>
    <row r="100" spans="1:12" s="443" customFormat="1" ht="19.5" customHeight="1">
      <c r="A100" s="192"/>
      <c r="B100" s="82"/>
      <c r="C100" s="82">
        <v>4270</v>
      </c>
      <c r="D100" s="413" t="s">
        <v>339</v>
      </c>
      <c r="E100" s="435">
        <v>625143</v>
      </c>
      <c r="F100" s="446"/>
      <c r="G100" s="446">
        <v>15000</v>
      </c>
      <c r="H100" s="446">
        <f>E100+G100-F100</f>
        <v>640143</v>
      </c>
      <c r="I100" s="147"/>
      <c r="J100" s="147"/>
      <c r="L100" s="444"/>
    </row>
    <row r="101" spans="1:12" s="95" customFormat="1" ht="19.5" customHeight="1">
      <c r="A101" s="76"/>
      <c r="B101" s="77">
        <v>80123</v>
      </c>
      <c r="C101" s="77"/>
      <c r="D101" s="77" t="s">
        <v>318</v>
      </c>
      <c r="E101" s="127">
        <v>8592000</v>
      </c>
      <c r="F101" s="79"/>
      <c r="G101" s="79">
        <f>G102</f>
        <v>4000</v>
      </c>
      <c r="H101" s="79">
        <f t="shared" si="0"/>
        <v>8596000</v>
      </c>
      <c r="I101" s="128"/>
      <c r="J101" s="128"/>
      <c r="L101" s="94"/>
    </row>
    <row r="102" spans="1:12" s="95" customFormat="1" ht="19.5" customHeight="1">
      <c r="A102" s="80"/>
      <c r="B102" s="353"/>
      <c r="C102" s="353"/>
      <c r="D102" s="416" t="s">
        <v>121</v>
      </c>
      <c r="E102" s="133">
        <v>644900</v>
      </c>
      <c r="F102" s="442"/>
      <c r="G102" s="442">
        <f>G103</f>
        <v>4000</v>
      </c>
      <c r="H102" s="442">
        <f t="shared" si="0"/>
        <v>648900</v>
      </c>
      <c r="I102" s="128"/>
      <c r="J102" s="128"/>
      <c r="L102" s="94"/>
    </row>
    <row r="103" spans="1:12" s="443" customFormat="1" ht="19.5" customHeight="1">
      <c r="A103" s="192"/>
      <c r="B103" s="81"/>
      <c r="C103" s="82">
        <v>4260</v>
      </c>
      <c r="D103" s="413" t="s">
        <v>176</v>
      </c>
      <c r="E103" s="142">
        <v>165830</v>
      </c>
      <c r="F103" s="429"/>
      <c r="G103" s="429">
        <v>4000</v>
      </c>
      <c r="H103" s="429">
        <f t="shared" si="0"/>
        <v>169830</v>
      </c>
      <c r="I103" s="147"/>
      <c r="J103" s="147"/>
      <c r="L103" s="444"/>
    </row>
    <row r="104" spans="1:12" s="95" customFormat="1" ht="19.5" customHeight="1">
      <c r="A104" s="76"/>
      <c r="B104" s="77">
        <v>80130</v>
      </c>
      <c r="C104" s="77"/>
      <c r="D104" s="77" t="s">
        <v>148</v>
      </c>
      <c r="E104" s="127">
        <v>49998717</v>
      </c>
      <c r="F104" s="79">
        <f>F105+F108</f>
        <v>458994</v>
      </c>
      <c r="G104" s="79">
        <f>G105+G108</f>
        <v>10000</v>
      </c>
      <c r="H104" s="79">
        <f aca="true" t="shared" si="1" ref="H104:H110">E104+G104-F104</f>
        <v>49549723</v>
      </c>
      <c r="I104" s="128"/>
      <c r="J104" s="128"/>
      <c r="L104" s="94"/>
    </row>
    <row r="105" spans="1:12" s="95" customFormat="1" ht="19.5" customHeight="1">
      <c r="A105" s="80"/>
      <c r="B105" s="353"/>
      <c r="C105" s="353"/>
      <c r="D105" s="416" t="s">
        <v>121</v>
      </c>
      <c r="E105" s="133">
        <v>4899952</v>
      </c>
      <c r="F105" s="442">
        <f>SUM(F106:F107)</f>
        <v>10480</v>
      </c>
      <c r="G105" s="442">
        <f>SUM(G106:G107)</f>
        <v>10000</v>
      </c>
      <c r="H105" s="442">
        <f t="shared" si="1"/>
        <v>4899472</v>
      </c>
      <c r="I105" s="128"/>
      <c r="J105" s="128"/>
      <c r="L105" s="94"/>
    </row>
    <row r="106" spans="1:12" s="443" customFormat="1" ht="19.5" customHeight="1">
      <c r="A106" s="192"/>
      <c r="B106" s="81"/>
      <c r="C106" s="82">
        <v>4260</v>
      </c>
      <c r="D106" s="413" t="s">
        <v>176</v>
      </c>
      <c r="E106" s="142">
        <v>1701276</v>
      </c>
      <c r="F106" s="429">
        <v>10480</v>
      </c>
      <c r="G106" s="429"/>
      <c r="H106" s="429">
        <f t="shared" si="1"/>
        <v>1690796</v>
      </c>
      <c r="I106" s="147"/>
      <c r="J106" s="147"/>
      <c r="L106" s="444"/>
    </row>
    <row r="107" spans="1:12" s="148" customFormat="1" ht="19.5" customHeight="1">
      <c r="A107" s="192"/>
      <c r="B107" s="81"/>
      <c r="C107" s="82">
        <v>4270</v>
      </c>
      <c r="D107" s="413" t="s">
        <v>339</v>
      </c>
      <c r="E107" s="142">
        <v>427166</v>
      </c>
      <c r="F107" s="142"/>
      <c r="G107" s="142">
        <v>10000</v>
      </c>
      <c r="H107" s="142">
        <f t="shared" si="1"/>
        <v>437166</v>
      </c>
      <c r="I107" s="147"/>
      <c r="J107" s="147"/>
      <c r="L107" s="147"/>
    </row>
    <row r="108" spans="1:12" s="121" customFormat="1" ht="19.5" customHeight="1">
      <c r="A108" s="80"/>
      <c r="B108" s="66"/>
      <c r="C108" s="66"/>
      <c r="D108" s="450" t="s">
        <v>211</v>
      </c>
      <c r="E108" s="133">
        <v>10436585</v>
      </c>
      <c r="F108" s="133">
        <f>F110</f>
        <v>448514</v>
      </c>
      <c r="G108" s="133"/>
      <c r="H108" s="133">
        <f t="shared" si="1"/>
        <v>9988071</v>
      </c>
      <c r="I108" s="128"/>
      <c r="J108" s="128"/>
      <c r="L108" s="128"/>
    </row>
    <row r="109" spans="1:12" s="146" customFormat="1" ht="19.5" customHeight="1">
      <c r="A109" s="193"/>
      <c r="B109" s="158"/>
      <c r="C109" s="158"/>
      <c r="D109" s="431" t="s">
        <v>433</v>
      </c>
      <c r="E109" s="351">
        <v>4556395</v>
      </c>
      <c r="F109" s="351">
        <v>448514</v>
      </c>
      <c r="G109" s="351"/>
      <c r="H109" s="351">
        <f t="shared" si="1"/>
        <v>4107881</v>
      </c>
      <c r="I109" s="145"/>
      <c r="J109" s="145"/>
      <c r="L109" s="145"/>
    </row>
    <row r="110" spans="1:12" s="148" customFormat="1" ht="19.5" customHeight="1">
      <c r="A110" s="192"/>
      <c r="B110" s="82"/>
      <c r="C110" s="82">
        <v>6050</v>
      </c>
      <c r="D110" s="409" t="s">
        <v>205</v>
      </c>
      <c r="E110" s="142">
        <v>9636585</v>
      </c>
      <c r="F110" s="142">
        <f>F109</f>
        <v>448514</v>
      </c>
      <c r="G110" s="142"/>
      <c r="H110" s="142">
        <f t="shared" si="1"/>
        <v>9188071</v>
      </c>
      <c r="I110" s="147"/>
      <c r="J110" s="147"/>
      <c r="L110" s="147"/>
    </row>
    <row r="111" spans="1:12" ht="19.5" customHeight="1">
      <c r="A111" s="72">
        <v>851</v>
      </c>
      <c r="B111" s="89"/>
      <c r="C111" s="73"/>
      <c r="D111" s="92" t="s">
        <v>106</v>
      </c>
      <c r="E111" s="74">
        <v>6235000</v>
      </c>
      <c r="F111" s="75">
        <f>F112</f>
        <v>5772</v>
      </c>
      <c r="G111" s="75">
        <f>G112</f>
        <v>5772</v>
      </c>
      <c r="H111" s="75">
        <f t="shared" si="0"/>
        <v>6235000</v>
      </c>
      <c r="I111" s="47"/>
      <c r="J111" s="47"/>
      <c r="L111" s="47"/>
    </row>
    <row r="112" spans="1:12" s="121" customFormat="1" ht="19.5" customHeight="1">
      <c r="A112" s="76"/>
      <c r="B112" s="78">
        <v>85154</v>
      </c>
      <c r="C112" s="78"/>
      <c r="D112" s="78" t="s">
        <v>127</v>
      </c>
      <c r="E112" s="127">
        <v>4345000</v>
      </c>
      <c r="F112" s="127">
        <f>F113</f>
        <v>5772</v>
      </c>
      <c r="G112" s="127">
        <f>G113</f>
        <v>5772</v>
      </c>
      <c r="H112" s="127">
        <f t="shared" si="0"/>
        <v>4345000</v>
      </c>
      <c r="I112" s="128"/>
      <c r="J112" s="128"/>
      <c r="L112" s="128"/>
    </row>
    <row r="113" spans="1:12" s="121" customFormat="1" ht="29.25" customHeight="1">
      <c r="A113" s="80"/>
      <c r="B113" s="353"/>
      <c r="C113" s="353"/>
      <c r="D113" s="411" t="s">
        <v>386</v>
      </c>
      <c r="E113" s="412">
        <v>4345000</v>
      </c>
      <c r="F113" s="412">
        <f>F114+F118</f>
        <v>5772</v>
      </c>
      <c r="G113" s="412">
        <f>G114+G118</f>
        <v>5772</v>
      </c>
      <c r="H113" s="412">
        <f t="shared" si="0"/>
        <v>4345000</v>
      </c>
      <c r="I113" s="128"/>
      <c r="J113" s="128"/>
      <c r="L113" s="128"/>
    </row>
    <row r="114" spans="1:12" s="148" customFormat="1" ht="74.25" customHeight="1">
      <c r="A114" s="192"/>
      <c r="B114" s="81"/>
      <c r="C114" s="66"/>
      <c r="D114" s="581" t="s">
        <v>385</v>
      </c>
      <c r="E114" s="686">
        <v>1837000</v>
      </c>
      <c r="F114" s="686">
        <f>SUM(F115:F117)</f>
        <v>1272</v>
      </c>
      <c r="G114" s="686">
        <f>SUM(G115:G117)</f>
        <v>1272</v>
      </c>
      <c r="H114" s="686">
        <f t="shared" si="0"/>
        <v>1837000</v>
      </c>
      <c r="I114" s="147"/>
      <c r="J114" s="147"/>
      <c r="L114" s="147"/>
    </row>
    <row r="115" spans="1:12" s="121" customFormat="1" ht="19.5" customHeight="1">
      <c r="A115" s="193"/>
      <c r="B115" s="158"/>
      <c r="C115" s="413">
        <v>4110</v>
      </c>
      <c r="D115" s="413" t="s">
        <v>174</v>
      </c>
      <c r="E115" s="316">
        <v>50452</v>
      </c>
      <c r="F115" s="316"/>
      <c r="G115" s="316">
        <f>1201-90</f>
        <v>1111</v>
      </c>
      <c r="H115" s="142">
        <f>E115-F115+G115</f>
        <v>51563</v>
      </c>
      <c r="I115" s="128"/>
      <c r="J115" s="128"/>
      <c r="L115" s="128"/>
    </row>
    <row r="116" spans="1:12" s="121" customFormat="1" ht="19.5" customHeight="1">
      <c r="A116" s="210"/>
      <c r="B116" s="228"/>
      <c r="C116" s="82">
        <v>4120</v>
      </c>
      <c r="D116" s="83" t="s">
        <v>175</v>
      </c>
      <c r="E116" s="316">
        <v>7338</v>
      </c>
      <c r="F116" s="316"/>
      <c r="G116" s="316">
        <f>169-8</f>
        <v>161</v>
      </c>
      <c r="H116" s="142">
        <f>E116-F116+G116</f>
        <v>7499</v>
      </c>
      <c r="I116" s="128"/>
      <c r="J116" s="128"/>
      <c r="L116" s="128"/>
    </row>
    <row r="117" spans="1:12" s="148" customFormat="1" ht="19.5" customHeight="1">
      <c r="A117" s="192"/>
      <c r="B117" s="81"/>
      <c r="C117" s="82">
        <v>4170</v>
      </c>
      <c r="D117" s="413" t="s">
        <v>128</v>
      </c>
      <c r="E117" s="142">
        <v>390527</v>
      </c>
      <c r="F117" s="142">
        <f>1370-98</f>
        <v>1272</v>
      </c>
      <c r="G117" s="142"/>
      <c r="H117" s="142">
        <f t="shared" si="0"/>
        <v>389255</v>
      </c>
      <c r="I117" s="147"/>
      <c r="J117" s="147"/>
      <c r="L117" s="147"/>
    </row>
    <row r="118" spans="1:12" s="121" customFormat="1" ht="21" customHeight="1">
      <c r="A118" s="193"/>
      <c r="B118" s="158"/>
      <c r="C118" s="353"/>
      <c r="D118" s="415" t="s">
        <v>399</v>
      </c>
      <c r="E118" s="356">
        <v>280000</v>
      </c>
      <c r="F118" s="356">
        <f>F119+F121</f>
        <v>4500</v>
      </c>
      <c r="G118" s="356">
        <f>G119+G121</f>
        <v>4500</v>
      </c>
      <c r="H118" s="618">
        <f t="shared" si="0"/>
        <v>280000</v>
      </c>
      <c r="I118" s="128"/>
      <c r="J118" s="128"/>
      <c r="L118" s="128"/>
    </row>
    <row r="119" spans="1:12" s="121" customFormat="1" ht="21" customHeight="1">
      <c r="A119" s="193"/>
      <c r="B119" s="158"/>
      <c r="C119" s="413">
        <v>4210</v>
      </c>
      <c r="D119" s="413" t="s">
        <v>118</v>
      </c>
      <c r="E119" s="316">
        <v>78000</v>
      </c>
      <c r="F119" s="316"/>
      <c r="G119" s="316">
        <f>8000-3500</f>
        <v>4500</v>
      </c>
      <c r="H119" s="142">
        <f t="shared" si="0"/>
        <v>82500</v>
      </c>
      <c r="I119" s="128"/>
      <c r="J119" s="128"/>
      <c r="L119" s="128"/>
    </row>
    <row r="120" spans="1:12" s="121" customFormat="1" ht="21" customHeight="1">
      <c r="A120" s="193"/>
      <c r="B120" s="158"/>
      <c r="C120" s="696"/>
      <c r="D120" s="681" t="s">
        <v>292</v>
      </c>
      <c r="E120" s="697">
        <v>77000</v>
      </c>
      <c r="F120" s="697">
        <f>8000-3500</f>
        <v>4500</v>
      </c>
      <c r="G120" s="697"/>
      <c r="H120" s="682">
        <f>E120-F120+G120</f>
        <v>72500</v>
      </c>
      <c r="I120" s="128"/>
      <c r="J120" s="128"/>
      <c r="L120" s="128"/>
    </row>
    <row r="121" spans="1:12" s="121" customFormat="1" ht="21" customHeight="1">
      <c r="A121" s="210"/>
      <c r="B121" s="228"/>
      <c r="C121" s="82">
        <v>6060</v>
      </c>
      <c r="D121" s="83" t="s">
        <v>155</v>
      </c>
      <c r="E121" s="316">
        <v>77000</v>
      </c>
      <c r="F121" s="316">
        <f>F120</f>
        <v>4500</v>
      </c>
      <c r="G121" s="316"/>
      <c r="H121" s="84">
        <f t="shared" si="0"/>
        <v>72500</v>
      </c>
      <c r="I121" s="128"/>
      <c r="J121" s="128"/>
      <c r="L121" s="128"/>
    </row>
    <row r="122" spans="1:12" ht="19.5" customHeight="1">
      <c r="A122" s="72">
        <v>854</v>
      </c>
      <c r="B122" s="89"/>
      <c r="C122" s="73"/>
      <c r="D122" s="92" t="s">
        <v>105</v>
      </c>
      <c r="E122" s="74">
        <v>43712593</v>
      </c>
      <c r="F122" s="75">
        <f>F123+F129+F133+F146+F151</f>
        <v>85807</v>
      </c>
      <c r="G122" s="75">
        <f>G123+G129+G133+G146+G151</f>
        <v>85594</v>
      </c>
      <c r="H122" s="75">
        <f t="shared" si="0"/>
        <v>43712380</v>
      </c>
      <c r="I122" s="47"/>
      <c r="J122" s="47"/>
      <c r="L122" s="47"/>
    </row>
    <row r="123" spans="1:12" s="95" customFormat="1" ht="19.5" customHeight="1">
      <c r="A123" s="76"/>
      <c r="B123" s="77">
        <v>85403</v>
      </c>
      <c r="C123" s="77"/>
      <c r="D123" s="231" t="s">
        <v>324</v>
      </c>
      <c r="E123" s="127">
        <v>10802676</v>
      </c>
      <c r="F123" s="79">
        <f>F126+F124</f>
        <v>59000</v>
      </c>
      <c r="G123" s="79">
        <f>G126+G124</f>
        <v>44000</v>
      </c>
      <c r="H123" s="79">
        <f t="shared" si="0"/>
        <v>10787676</v>
      </c>
      <c r="I123" s="128"/>
      <c r="J123" s="128"/>
      <c r="L123" s="94"/>
    </row>
    <row r="124" spans="1:12" s="95" customFormat="1" ht="19.5" customHeight="1">
      <c r="A124" s="80"/>
      <c r="B124" s="66"/>
      <c r="C124" s="353"/>
      <c r="D124" s="416" t="s">
        <v>121</v>
      </c>
      <c r="E124" s="133">
        <v>1278134</v>
      </c>
      <c r="F124" s="442"/>
      <c r="G124" s="442">
        <f>G125</f>
        <v>44000</v>
      </c>
      <c r="H124" s="442">
        <f t="shared" si="0"/>
        <v>1322134</v>
      </c>
      <c r="I124" s="128"/>
      <c r="J124" s="128"/>
      <c r="L124" s="94"/>
    </row>
    <row r="125" spans="1:12" s="146" customFormat="1" ht="19.5" customHeight="1">
      <c r="A125" s="193"/>
      <c r="B125" s="158"/>
      <c r="C125" s="225">
        <v>4270</v>
      </c>
      <c r="D125" s="227" t="s">
        <v>8</v>
      </c>
      <c r="E125" s="320">
        <v>150943</v>
      </c>
      <c r="F125" s="320"/>
      <c r="G125" s="320">
        <v>44000</v>
      </c>
      <c r="H125" s="320">
        <f t="shared" si="0"/>
        <v>194943</v>
      </c>
      <c r="I125" s="145"/>
      <c r="J125" s="145"/>
      <c r="L125" s="145"/>
    </row>
    <row r="126" spans="1:12" s="437" customFormat="1" ht="19.5" customHeight="1">
      <c r="A126" s="194"/>
      <c r="B126" s="202"/>
      <c r="C126" s="66"/>
      <c r="D126" s="450" t="s">
        <v>384</v>
      </c>
      <c r="E126" s="436">
        <v>99057</v>
      </c>
      <c r="F126" s="197">
        <f>F128</f>
        <v>59000</v>
      </c>
      <c r="G126" s="197"/>
      <c r="H126" s="197">
        <f>E126+G126-F126</f>
        <v>40057</v>
      </c>
      <c r="I126" s="198"/>
      <c r="J126" s="198"/>
      <c r="L126" s="438"/>
    </row>
    <row r="127" spans="1:12" s="121" customFormat="1" ht="19.5" customHeight="1">
      <c r="A127" s="80"/>
      <c r="B127" s="66"/>
      <c r="C127" s="158"/>
      <c r="D127" s="431" t="s">
        <v>434</v>
      </c>
      <c r="E127" s="351">
        <v>99057</v>
      </c>
      <c r="F127" s="351">
        <v>59000</v>
      </c>
      <c r="G127" s="351"/>
      <c r="H127" s="351">
        <f t="shared" si="0"/>
        <v>40057</v>
      </c>
      <c r="I127" s="128"/>
      <c r="J127" s="128"/>
      <c r="L127" s="128"/>
    </row>
    <row r="128" spans="1:12" s="148" customFormat="1" ht="19.5" customHeight="1">
      <c r="A128" s="192"/>
      <c r="B128" s="82"/>
      <c r="C128" s="82">
        <v>6050</v>
      </c>
      <c r="D128" s="409" t="s">
        <v>205</v>
      </c>
      <c r="E128" s="142">
        <v>99057</v>
      </c>
      <c r="F128" s="142">
        <f>F127</f>
        <v>59000</v>
      </c>
      <c r="G128" s="142"/>
      <c r="H128" s="142">
        <f t="shared" si="0"/>
        <v>40057</v>
      </c>
      <c r="I128" s="147"/>
      <c r="J128" s="147"/>
      <c r="L128" s="147"/>
    </row>
    <row r="129" spans="1:12" s="95" customFormat="1" ht="19.5" customHeight="1">
      <c r="A129" s="76"/>
      <c r="B129" s="78">
        <v>85410</v>
      </c>
      <c r="C129" s="78"/>
      <c r="D129" s="78" t="s">
        <v>274</v>
      </c>
      <c r="E129" s="441">
        <v>7351200</v>
      </c>
      <c r="F129" s="406"/>
      <c r="G129" s="406">
        <f>G130</f>
        <v>35000</v>
      </c>
      <c r="H129" s="406">
        <f t="shared" si="0"/>
        <v>7386200</v>
      </c>
      <c r="I129" s="128"/>
      <c r="J129" s="128"/>
      <c r="L129" s="94"/>
    </row>
    <row r="130" spans="1:12" s="95" customFormat="1" ht="19.5" customHeight="1">
      <c r="A130" s="80"/>
      <c r="B130" s="66"/>
      <c r="C130" s="353"/>
      <c r="D130" s="416" t="s">
        <v>121</v>
      </c>
      <c r="E130" s="133">
        <v>1490500</v>
      </c>
      <c r="F130" s="442"/>
      <c r="G130" s="442">
        <f>SUM(G131:G132)</f>
        <v>35000</v>
      </c>
      <c r="H130" s="442">
        <f t="shared" si="0"/>
        <v>1525500</v>
      </c>
      <c r="I130" s="128"/>
      <c r="J130" s="128"/>
      <c r="L130" s="94"/>
    </row>
    <row r="131" spans="1:12" s="146" customFormat="1" ht="19.5" customHeight="1">
      <c r="A131" s="193"/>
      <c r="B131" s="158"/>
      <c r="C131" s="225">
        <v>4260</v>
      </c>
      <c r="D131" s="227" t="s">
        <v>176</v>
      </c>
      <c r="E131" s="320">
        <v>767350</v>
      </c>
      <c r="F131" s="320"/>
      <c r="G131" s="320">
        <v>20000</v>
      </c>
      <c r="H131" s="320">
        <f t="shared" si="0"/>
        <v>787350</v>
      </c>
      <c r="I131" s="145"/>
      <c r="J131" s="145"/>
      <c r="L131" s="145"/>
    </row>
    <row r="132" spans="1:12" s="439" customFormat="1" ht="19.5" customHeight="1">
      <c r="A132" s="193"/>
      <c r="B132" s="158"/>
      <c r="C132" s="225">
        <v>4270</v>
      </c>
      <c r="D132" s="227" t="s">
        <v>8</v>
      </c>
      <c r="E132" s="320">
        <v>90000</v>
      </c>
      <c r="F132" s="230"/>
      <c r="G132" s="230">
        <v>15000</v>
      </c>
      <c r="H132" s="320">
        <f t="shared" si="0"/>
        <v>105000</v>
      </c>
      <c r="I132" s="145"/>
      <c r="J132" s="145"/>
      <c r="L132" s="440"/>
    </row>
    <row r="133" spans="1:12" s="121" customFormat="1" ht="19.5" customHeight="1">
      <c r="A133" s="76"/>
      <c r="B133" s="77">
        <v>85415</v>
      </c>
      <c r="C133" s="77"/>
      <c r="D133" s="77" t="s">
        <v>264</v>
      </c>
      <c r="E133" s="127">
        <v>1745917</v>
      </c>
      <c r="F133" s="127">
        <f>F136+F139+F134</f>
        <v>24557</v>
      </c>
      <c r="G133" s="127">
        <f>G136+G139+G134</f>
        <v>4344</v>
      </c>
      <c r="H133" s="127">
        <f t="shared" si="0"/>
        <v>1725704</v>
      </c>
      <c r="I133" s="128"/>
      <c r="J133" s="128"/>
      <c r="L133" s="128"/>
    </row>
    <row r="134" spans="1:12" s="121" customFormat="1" ht="19.5" customHeight="1">
      <c r="A134" s="76"/>
      <c r="B134" s="580"/>
      <c r="C134" s="580"/>
      <c r="D134" s="199" t="s">
        <v>372</v>
      </c>
      <c r="E134" s="134">
        <v>454000</v>
      </c>
      <c r="F134" s="134">
        <f>F135</f>
        <v>213</v>
      </c>
      <c r="G134" s="134"/>
      <c r="H134" s="134">
        <f t="shared" si="0"/>
        <v>453787</v>
      </c>
      <c r="I134" s="128"/>
      <c r="J134" s="128"/>
      <c r="L134" s="128"/>
    </row>
    <row r="135" spans="1:12" s="121" customFormat="1" ht="19.5" customHeight="1">
      <c r="A135" s="76"/>
      <c r="B135" s="344"/>
      <c r="C135" s="81">
        <v>3240</v>
      </c>
      <c r="D135" s="742" t="s">
        <v>213</v>
      </c>
      <c r="E135" s="135">
        <v>242000</v>
      </c>
      <c r="F135" s="135">
        <v>213</v>
      </c>
      <c r="G135" s="135"/>
      <c r="H135" s="135">
        <f t="shared" si="0"/>
        <v>241787</v>
      </c>
      <c r="I135" s="128"/>
      <c r="J135" s="128"/>
      <c r="L135" s="128"/>
    </row>
    <row r="136" spans="1:12" s="121" customFormat="1" ht="27" customHeight="1">
      <c r="A136" s="80"/>
      <c r="B136" s="66"/>
      <c r="C136" s="353"/>
      <c r="D136" s="415" t="s">
        <v>212</v>
      </c>
      <c r="E136" s="134">
        <v>1063517</v>
      </c>
      <c r="F136" s="134">
        <f>SUM(F137:F138)</f>
        <v>1344</v>
      </c>
      <c r="G136" s="134">
        <f>SUM(G137:G138)</f>
        <v>1344</v>
      </c>
      <c r="H136" s="134">
        <f t="shared" si="0"/>
        <v>1063517</v>
      </c>
      <c r="I136" s="128"/>
      <c r="J136" s="128"/>
      <c r="L136" s="128"/>
    </row>
    <row r="137" spans="1:12" s="148" customFormat="1" ht="19.5" customHeight="1">
      <c r="A137" s="192"/>
      <c r="B137" s="81"/>
      <c r="C137" s="82">
        <v>3240</v>
      </c>
      <c r="D137" s="413" t="s">
        <v>213</v>
      </c>
      <c r="E137" s="135">
        <v>1042909</v>
      </c>
      <c r="F137" s="135">
        <v>1344</v>
      </c>
      <c r="G137" s="135"/>
      <c r="H137" s="135">
        <f t="shared" si="0"/>
        <v>1041565</v>
      </c>
      <c r="I137" s="147"/>
      <c r="J137" s="147"/>
      <c r="L137" s="147"/>
    </row>
    <row r="138" spans="1:12" s="148" customFormat="1" ht="19.5" customHeight="1">
      <c r="A138" s="192"/>
      <c r="B138" s="81"/>
      <c r="C138" s="82">
        <v>3260</v>
      </c>
      <c r="D138" s="413" t="s">
        <v>214</v>
      </c>
      <c r="E138" s="142">
        <v>20608</v>
      </c>
      <c r="F138" s="142"/>
      <c r="G138" s="142">
        <v>1344</v>
      </c>
      <c r="H138" s="142">
        <f t="shared" si="0"/>
        <v>21952</v>
      </c>
      <c r="I138" s="147"/>
      <c r="J138" s="147"/>
      <c r="L138" s="147"/>
    </row>
    <row r="139" spans="1:12" s="148" customFormat="1" ht="19.5" customHeight="1">
      <c r="A139" s="192"/>
      <c r="B139" s="81"/>
      <c r="C139" s="66"/>
      <c r="D139" s="415" t="s">
        <v>382</v>
      </c>
      <c r="E139" s="133">
        <v>160000</v>
      </c>
      <c r="F139" s="442">
        <f>SUM(F140:F144)</f>
        <v>23000</v>
      </c>
      <c r="G139" s="442">
        <f>SUM(G140:G144)</f>
        <v>3000</v>
      </c>
      <c r="H139" s="442">
        <f t="shared" si="0"/>
        <v>140000</v>
      </c>
      <c r="I139" s="147"/>
      <c r="J139" s="147"/>
      <c r="L139" s="147"/>
    </row>
    <row r="140" spans="1:12" s="148" customFormat="1" ht="19.5" customHeight="1">
      <c r="A140" s="192"/>
      <c r="B140" s="81"/>
      <c r="C140" s="82">
        <v>4110</v>
      </c>
      <c r="D140" s="413" t="s">
        <v>174</v>
      </c>
      <c r="E140" s="320">
        <v>22910</v>
      </c>
      <c r="F140" s="230">
        <v>2996</v>
      </c>
      <c r="G140" s="230"/>
      <c r="H140" s="230">
        <f t="shared" si="0"/>
        <v>19914</v>
      </c>
      <c r="I140" s="147"/>
      <c r="J140" s="147"/>
      <c r="L140" s="147"/>
    </row>
    <row r="141" spans="1:12" s="148" customFormat="1" ht="19.5" customHeight="1">
      <c r="A141" s="192"/>
      <c r="B141" s="81"/>
      <c r="C141" s="82">
        <v>4120</v>
      </c>
      <c r="D141" s="413" t="s">
        <v>175</v>
      </c>
      <c r="E141" s="320">
        <v>3160</v>
      </c>
      <c r="F141" s="320">
        <v>374</v>
      </c>
      <c r="G141" s="320"/>
      <c r="H141" s="320">
        <f t="shared" si="0"/>
        <v>2786</v>
      </c>
      <c r="I141" s="147"/>
      <c r="J141" s="147"/>
      <c r="L141" s="147"/>
    </row>
    <row r="142" spans="1:12" s="148" customFormat="1" ht="19.5" customHeight="1">
      <c r="A142" s="192"/>
      <c r="B142" s="81"/>
      <c r="C142" s="82">
        <v>4170</v>
      </c>
      <c r="D142" s="413" t="s">
        <v>128</v>
      </c>
      <c r="E142" s="320">
        <v>129800</v>
      </c>
      <c r="F142" s="230">
        <v>15500</v>
      </c>
      <c r="G142" s="230"/>
      <c r="H142" s="320">
        <f t="shared" si="0"/>
        <v>114300</v>
      </c>
      <c r="I142" s="147"/>
      <c r="J142" s="147"/>
      <c r="L142" s="147"/>
    </row>
    <row r="143" spans="1:12" s="148" customFormat="1" ht="19.5" customHeight="1">
      <c r="A143" s="192"/>
      <c r="B143" s="81"/>
      <c r="C143" s="82">
        <v>4210</v>
      </c>
      <c r="D143" s="83" t="s">
        <v>118</v>
      </c>
      <c r="E143" s="320">
        <v>4130</v>
      </c>
      <c r="F143" s="230">
        <v>4130</v>
      </c>
      <c r="G143" s="230"/>
      <c r="H143" s="320">
        <f t="shared" si="0"/>
        <v>0</v>
      </c>
      <c r="I143" s="147"/>
      <c r="J143" s="147"/>
      <c r="L143" s="147"/>
    </row>
    <row r="144" spans="1:12" s="148" customFormat="1" ht="19.5" customHeight="1">
      <c r="A144" s="192"/>
      <c r="B144" s="81"/>
      <c r="C144" s="81">
        <v>4300</v>
      </c>
      <c r="D144" s="702" t="s">
        <v>119</v>
      </c>
      <c r="E144" s="595"/>
      <c r="F144" s="748"/>
      <c r="G144" s="748">
        <v>3000</v>
      </c>
      <c r="H144" s="595">
        <f t="shared" si="0"/>
        <v>3000</v>
      </c>
      <c r="I144" s="147"/>
      <c r="J144" s="147"/>
      <c r="L144" s="147"/>
    </row>
    <row r="145" spans="1:12" s="148" customFormat="1" ht="19.5" customHeight="1">
      <c r="A145" s="828"/>
      <c r="B145" s="796"/>
      <c r="C145" s="796"/>
      <c r="D145" s="801"/>
      <c r="E145" s="829"/>
      <c r="F145" s="830"/>
      <c r="G145" s="830"/>
      <c r="H145" s="829"/>
      <c r="I145" s="147"/>
      <c r="J145" s="147"/>
      <c r="L145" s="147"/>
    </row>
    <row r="146" spans="1:12" s="95" customFormat="1" ht="19.5" customHeight="1">
      <c r="A146" s="76"/>
      <c r="B146" s="78">
        <v>85421</v>
      </c>
      <c r="C146" s="78"/>
      <c r="D146" s="827" t="s">
        <v>327</v>
      </c>
      <c r="E146" s="441">
        <v>570000</v>
      </c>
      <c r="F146" s="406">
        <f>F147+F149</f>
        <v>250</v>
      </c>
      <c r="G146" s="406">
        <f>G147+G149</f>
        <v>250</v>
      </c>
      <c r="H146" s="441">
        <f t="shared" si="0"/>
        <v>570000</v>
      </c>
      <c r="I146" s="128"/>
      <c r="J146" s="128"/>
      <c r="L146" s="94"/>
    </row>
    <row r="147" spans="1:12" s="437" customFormat="1" ht="19.5" customHeight="1">
      <c r="A147" s="194"/>
      <c r="B147" s="195"/>
      <c r="C147" s="195"/>
      <c r="D147" s="196" t="s">
        <v>369</v>
      </c>
      <c r="E147" s="436">
        <v>417500</v>
      </c>
      <c r="F147" s="197"/>
      <c r="G147" s="197">
        <f>G148</f>
        <v>250</v>
      </c>
      <c r="H147" s="134">
        <f t="shared" si="0"/>
        <v>417750</v>
      </c>
      <c r="I147" s="198"/>
      <c r="J147" s="198"/>
      <c r="L147" s="438"/>
    </row>
    <row r="148" spans="1:12" s="439" customFormat="1" ht="19.5" customHeight="1">
      <c r="A148" s="193"/>
      <c r="B148" s="158"/>
      <c r="C148" s="228">
        <v>4170</v>
      </c>
      <c r="D148" s="229" t="s">
        <v>128</v>
      </c>
      <c r="E148" s="320"/>
      <c r="F148" s="230"/>
      <c r="G148" s="230">
        <v>250</v>
      </c>
      <c r="H148" s="135">
        <f t="shared" si="0"/>
        <v>250</v>
      </c>
      <c r="I148" s="145"/>
      <c r="J148" s="145"/>
      <c r="L148" s="440"/>
    </row>
    <row r="149" spans="1:12" s="121" customFormat="1" ht="19.5" customHeight="1">
      <c r="A149" s="80"/>
      <c r="B149" s="66"/>
      <c r="C149" s="66"/>
      <c r="D149" s="416" t="s">
        <v>121</v>
      </c>
      <c r="E149" s="685">
        <v>69800</v>
      </c>
      <c r="F149" s="685">
        <f>F150</f>
        <v>250</v>
      </c>
      <c r="G149" s="685"/>
      <c r="H149" s="134">
        <f t="shared" si="0"/>
        <v>69550</v>
      </c>
      <c r="I149" s="128"/>
      <c r="J149" s="128"/>
      <c r="L149" s="128"/>
    </row>
    <row r="150" spans="1:12" s="148" customFormat="1" ht="19.5" customHeight="1">
      <c r="A150" s="192"/>
      <c r="B150" s="82"/>
      <c r="C150" s="82">
        <v>4300</v>
      </c>
      <c r="D150" s="409" t="s">
        <v>119</v>
      </c>
      <c r="E150" s="142">
        <v>7800</v>
      </c>
      <c r="F150" s="142">
        <v>250</v>
      </c>
      <c r="G150" s="142"/>
      <c r="H150" s="135">
        <f t="shared" si="0"/>
        <v>7550</v>
      </c>
      <c r="I150" s="147"/>
      <c r="J150" s="147"/>
      <c r="L150" s="147"/>
    </row>
    <row r="151" spans="1:12" s="95" customFormat="1" ht="18.75" customHeight="1">
      <c r="A151" s="76"/>
      <c r="B151" s="77">
        <v>85495</v>
      </c>
      <c r="C151" s="77"/>
      <c r="D151" s="77" t="s">
        <v>102</v>
      </c>
      <c r="E151" s="127">
        <v>6566458</v>
      </c>
      <c r="F151" s="79">
        <f>F152</f>
        <v>2000</v>
      </c>
      <c r="G151" s="79">
        <f>G152</f>
        <v>2000</v>
      </c>
      <c r="H151" s="79">
        <f>E151+G151-F151</f>
        <v>6566458</v>
      </c>
      <c r="I151" s="128"/>
      <c r="J151" s="128"/>
      <c r="L151" s="94"/>
    </row>
    <row r="152" spans="1:12" s="95" customFormat="1" ht="18.75" customHeight="1">
      <c r="A152" s="80"/>
      <c r="B152" s="353"/>
      <c r="C152" s="353"/>
      <c r="D152" s="353" t="s">
        <v>335</v>
      </c>
      <c r="E152" s="134">
        <v>6352800</v>
      </c>
      <c r="F152" s="447">
        <f>F153</f>
        <v>2000</v>
      </c>
      <c r="G152" s="447">
        <f>G153</f>
        <v>2000</v>
      </c>
      <c r="H152" s="447">
        <f>E152+G152-F152</f>
        <v>6352800</v>
      </c>
      <c r="I152" s="128"/>
      <c r="J152" s="128"/>
      <c r="L152" s="94"/>
    </row>
    <row r="153" spans="1:12" s="95" customFormat="1" ht="18.75" customHeight="1">
      <c r="A153" s="80"/>
      <c r="B153" s="66"/>
      <c r="C153" s="66"/>
      <c r="D153" s="456" t="s">
        <v>121</v>
      </c>
      <c r="E153" s="457">
        <v>1416400</v>
      </c>
      <c r="F153" s="458">
        <f>SUM(F154:F155)</f>
        <v>2000</v>
      </c>
      <c r="G153" s="458">
        <f>SUM(G154:G155)</f>
        <v>2000</v>
      </c>
      <c r="H153" s="458">
        <f>E153+G153-F153</f>
        <v>1416400</v>
      </c>
      <c r="I153" s="128"/>
      <c r="J153" s="128"/>
      <c r="L153" s="94"/>
    </row>
    <row r="154" spans="1:12" s="95" customFormat="1" ht="18.75" customHeight="1">
      <c r="A154" s="80"/>
      <c r="B154" s="66"/>
      <c r="C154" s="82">
        <v>4220</v>
      </c>
      <c r="D154" s="413" t="s">
        <v>181</v>
      </c>
      <c r="E154" s="135">
        <v>560000</v>
      </c>
      <c r="F154" s="449">
        <v>2000</v>
      </c>
      <c r="G154" s="449"/>
      <c r="H154" s="449">
        <f>E154+G154-F154</f>
        <v>558000</v>
      </c>
      <c r="I154" s="128"/>
      <c r="J154" s="128"/>
      <c r="L154" s="94"/>
    </row>
    <row r="155" spans="1:12" s="443" customFormat="1" ht="18.75" customHeight="1">
      <c r="A155" s="417"/>
      <c r="B155" s="82"/>
      <c r="C155" s="82">
        <v>4260</v>
      </c>
      <c r="D155" s="413" t="s">
        <v>176</v>
      </c>
      <c r="E155" s="142">
        <v>359250</v>
      </c>
      <c r="F155" s="429"/>
      <c r="G155" s="429">
        <v>2000</v>
      </c>
      <c r="H155" s="429">
        <f>E155+G155-F155</f>
        <v>361250</v>
      </c>
      <c r="I155" s="147"/>
      <c r="J155" s="147"/>
      <c r="L155" s="444"/>
    </row>
    <row r="156" spans="1:12" ht="21" customHeight="1">
      <c r="A156" s="72">
        <v>900</v>
      </c>
      <c r="B156" s="89"/>
      <c r="C156" s="73"/>
      <c r="D156" s="490" t="s">
        <v>207</v>
      </c>
      <c r="E156" s="74">
        <v>63154206</v>
      </c>
      <c r="F156" s="75">
        <f>F157</f>
        <v>83700</v>
      </c>
      <c r="G156" s="75">
        <f>G157</f>
        <v>83700</v>
      </c>
      <c r="H156" s="75">
        <f t="shared" si="0"/>
        <v>63154206</v>
      </c>
      <c r="I156" s="47"/>
      <c r="J156" s="47"/>
      <c r="L156" s="47"/>
    </row>
    <row r="157" spans="1:12" s="121" customFormat="1" ht="18.75" customHeight="1">
      <c r="A157" s="131"/>
      <c r="B157" s="78">
        <v>90002</v>
      </c>
      <c r="C157" s="78"/>
      <c r="D157" s="200" t="s">
        <v>304</v>
      </c>
      <c r="E157" s="441">
        <v>15979206</v>
      </c>
      <c r="F157" s="441">
        <f>F158+F160</f>
        <v>83700</v>
      </c>
      <c r="G157" s="441">
        <f>G158+G160</f>
        <v>83700</v>
      </c>
      <c r="H157" s="441">
        <f t="shared" si="0"/>
        <v>15979206</v>
      </c>
      <c r="I157" s="128"/>
      <c r="J157" s="128"/>
      <c r="L157" s="128"/>
    </row>
    <row r="158" spans="1:12" s="121" customFormat="1" ht="18.75" customHeight="1">
      <c r="A158" s="158"/>
      <c r="B158" s="613"/>
      <c r="C158" s="459"/>
      <c r="D158" s="414" t="s">
        <v>482</v>
      </c>
      <c r="E158" s="220">
        <v>4000000</v>
      </c>
      <c r="F158" s="220">
        <f>F159</f>
        <v>83700</v>
      </c>
      <c r="G158" s="220"/>
      <c r="H158" s="134">
        <f t="shared" si="0"/>
        <v>3916300</v>
      </c>
      <c r="I158" s="128"/>
      <c r="J158" s="128"/>
      <c r="L158" s="128"/>
    </row>
    <row r="159" spans="1:12" s="148" customFormat="1" ht="18.75" customHeight="1">
      <c r="A159" s="192"/>
      <c r="B159" s="81"/>
      <c r="C159" s="82">
        <v>4300</v>
      </c>
      <c r="D159" s="409" t="s">
        <v>119</v>
      </c>
      <c r="E159" s="135">
        <v>3540000</v>
      </c>
      <c r="F159" s="135">
        <v>83700</v>
      </c>
      <c r="G159" s="135"/>
      <c r="H159" s="135">
        <f t="shared" si="0"/>
        <v>3456300</v>
      </c>
      <c r="I159" s="147"/>
      <c r="J159" s="147"/>
      <c r="L159" s="147"/>
    </row>
    <row r="160" spans="1:12" s="121" customFormat="1" ht="19.5" customHeight="1">
      <c r="A160" s="80"/>
      <c r="B160" s="66"/>
      <c r="C160" s="66"/>
      <c r="D160" s="414" t="s">
        <v>483</v>
      </c>
      <c r="E160" s="685">
        <v>420000</v>
      </c>
      <c r="F160" s="685"/>
      <c r="G160" s="685">
        <f>G161</f>
        <v>83700</v>
      </c>
      <c r="H160" s="134">
        <f t="shared" si="0"/>
        <v>503700</v>
      </c>
      <c r="I160" s="128"/>
      <c r="J160" s="128"/>
      <c r="L160" s="128"/>
    </row>
    <row r="161" spans="1:12" s="148" customFormat="1" ht="19.5" customHeight="1">
      <c r="A161" s="192"/>
      <c r="B161" s="82"/>
      <c r="C161" s="82">
        <v>4520</v>
      </c>
      <c r="D161" s="409" t="s">
        <v>484</v>
      </c>
      <c r="E161" s="142">
        <v>420000</v>
      </c>
      <c r="F161" s="142"/>
      <c r="G161" s="142">
        <v>83700</v>
      </c>
      <c r="H161" s="135">
        <f t="shared" si="0"/>
        <v>503700</v>
      </c>
      <c r="I161" s="147"/>
      <c r="J161" s="147"/>
      <c r="L161" s="147"/>
    </row>
    <row r="162" spans="1:12" ht="21" customHeight="1">
      <c r="A162" s="72">
        <v>926</v>
      </c>
      <c r="B162" s="89"/>
      <c r="C162" s="73"/>
      <c r="D162" s="92" t="s">
        <v>307</v>
      </c>
      <c r="E162" s="74">
        <v>19758114</v>
      </c>
      <c r="F162" s="75">
        <f>F163</f>
        <v>713</v>
      </c>
      <c r="G162" s="75">
        <f>G163</f>
        <v>713</v>
      </c>
      <c r="H162" s="75">
        <f t="shared" si="0"/>
        <v>19758114</v>
      </c>
      <c r="I162" s="47"/>
      <c r="J162" s="47"/>
      <c r="L162" s="47"/>
    </row>
    <row r="163" spans="1:12" s="121" customFormat="1" ht="18.75" customHeight="1">
      <c r="A163" s="76"/>
      <c r="B163" s="78">
        <v>92605</v>
      </c>
      <c r="C163" s="78"/>
      <c r="D163" s="78" t="s">
        <v>322</v>
      </c>
      <c r="E163" s="441">
        <v>3840000</v>
      </c>
      <c r="F163" s="441">
        <f>F164</f>
        <v>713</v>
      </c>
      <c r="G163" s="441">
        <f>G164</f>
        <v>713</v>
      </c>
      <c r="H163" s="441">
        <f t="shared" si="0"/>
        <v>3840000</v>
      </c>
      <c r="I163" s="128"/>
      <c r="J163" s="128"/>
      <c r="L163" s="128"/>
    </row>
    <row r="164" spans="1:12" s="121" customFormat="1" ht="18.75" customHeight="1">
      <c r="A164" s="80"/>
      <c r="B164" s="66"/>
      <c r="C164" s="459"/>
      <c r="D164" s="496" t="s">
        <v>160</v>
      </c>
      <c r="E164" s="220">
        <v>800000</v>
      </c>
      <c r="F164" s="220">
        <f>SUM(F165:F167)</f>
        <v>713</v>
      </c>
      <c r="G164" s="220">
        <f>SUM(G165:G167)</f>
        <v>713</v>
      </c>
      <c r="H164" s="220">
        <f t="shared" si="0"/>
        <v>800000</v>
      </c>
      <c r="I164" s="128"/>
      <c r="J164" s="128"/>
      <c r="L164" s="128"/>
    </row>
    <row r="165" spans="1:12" s="148" customFormat="1" ht="18.75" customHeight="1">
      <c r="A165" s="192"/>
      <c r="B165" s="81"/>
      <c r="C165" s="460">
        <v>4110</v>
      </c>
      <c r="D165" s="461" t="s">
        <v>174</v>
      </c>
      <c r="E165" s="135">
        <v>108067</v>
      </c>
      <c r="F165" s="135">
        <v>655</v>
      </c>
      <c r="G165" s="135"/>
      <c r="H165" s="135">
        <f t="shared" si="0"/>
        <v>107412</v>
      </c>
      <c r="I165" s="147"/>
      <c r="J165" s="147"/>
      <c r="L165" s="147"/>
    </row>
    <row r="166" spans="1:12" s="148" customFormat="1" ht="18.75" customHeight="1">
      <c r="A166" s="192"/>
      <c r="B166" s="81"/>
      <c r="C166" s="460">
        <v>4120</v>
      </c>
      <c r="D166" s="461" t="s">
        <v>175</v>
      </c>
      <c r="E166" s="142">
        <v>18022</v>
      </c>
      <c r="F166" s="142">
        <v>58</v>
      </c>
      <c r="G166" s="142"/>
      <c r="H166" s="135">
        <f t="shared" si="0"/>
        <v>17964</v>
      </c>
      <c r="I166" s="147"/>
      <c r="J166" s="147"/>
      <c r="L166" s="147"/>
    </row>
    <row r="167" spans="1:12" s="148" customFormat="1" ht="18.75" customHeight="1">
      <c r="A167" s="192"/>
      <c r="B167" s="81"/>
      <c r="C167" s="527">
        <v>4170</v>
      </c>
      <c r="D167" s="527" t="s">
        <v>128</v>
      </c>
      <c r="E167" s="463">
        <v>623911</v>
      </c>
      <c r="F167" s="463"/>
      <c r="G167" s="463">
        <v>713</v>
      </c>
      <c r="H167" s="463">
        <f t="shared" si="0"/>
        <v>624624</v>
      </c>
      <c r="I167" s="147"/>
      <c r="J167" s="147"/>
      <c r="L167" s="147"/>
    </row>
    <row r="168" spans="1:12" ht="27.75" customHeight="1" thickBot="1">
      <c r="A168" s="66"/>
      <c r="B168" s="66"/>
      <c r="C168" s="66"/>
      <c r="D168" s="492" t="s">
        <v>69</v>
      </c>
      <c r="E168" s="597">
        <v>5057335</v>
      </c>
      <c r="F168" s="597"/>
      <c r="G168" s="597">
        <f>G169</f>
        <v>213</v>
      </c>
      <c r="H168" s="352">
        <f t="shared" si="0"/>
        <v>5057548</v>
      </c>
      <c r="I168" s="47"/>
      <c r="J168" s="47"/>
      <c r="L168" s="47"/>
    </row>
    <row r="169" spans="1:12" ht="19.5" customHeight="1" thickTop="1">
      <c r="A169" s="89">
        <v>854</v>
      </c>
      <c r="B169" s="89"/>
      <c r="C169" s="743"/>
      <c r="D169" s="607" t="s">
        <v>105</v>
      </c>
      <c r="E169" s="749">
        <v>1239025</v>
      </c>
      <c r="F169" s="749"/>
      <c r="G169" s="749">
        <f>G170</f>
        <v>213</v>
      </c>
      <c r="H169" s="223">
        <f t="shared" si="0"/>
        <v>1239238</v>
      </c>
      <c r="I169" s="47"/>
      <c r="J169" s="47"/>
      <c r="L169" s="47"/>
    </row>
    <row r="170" spans="1:12" ht="19.5" customHeight="1">
      <c r="A170" s="202"/>
      <c r="B170" s="77">
        <v>85415</v>
      </c>
      <c r="C170" s="361"/>
      <c r="D170" s="231" t="s">
        <v>264</v>
      </c>
      <c r="E170" s="750">
        <v>1239025</v>
      </c>
      <c r="F170" s="750"/>
      <c r="G170" s="750">
        <f>G171</f>
        <v>213</v>
      </c>
      <c r="H170" s="224">
        <f t="shared" si="0"/>
        <v>1239238</v>
      </c>
      <c r="I170" s="47"/>
      <c r="J170" s="47"/>
      <c r="L170" s="47"/>
    </row>
    <row r="171" spans="1:12" ht="27.75" customHeight="1">
      <c r="A171" s="202"/>
      <c r="B171" s="344"/>
      <c r="C171" s="81"/>
      <c r="D171" s="415" t="s">
        <v>431</v>
      </c>
      <c r="E171" s="197">
        <v>1239025</v>
      </c>
      <c r="F171" s="197"/>
      <c r="G171" s="197">
        <f>G172</f>
        <v>213</v>
      </c>
      <c r="H171" s="329">
        <f t="shared" si="0"/>
        <v>1239238</v>
      </c>
      <c r="I171" s="47"/>
      <c r="J171" s="47"/>
      <c r="L171" s="47"/>
    </row>
    <row r="172" spans="1:12" ht="27.75" customHeight="1">
      <c r="A172" s="202"/>
      <c r="B172" s="344"/>
      <c r="C172" s="81">
        <v>2910</v>
      </c>
      <c r="D172" s="742" t="s">
        <v>432</v>
      </c>
      <c r="E172" s="859"/>
      <c r="F172" s="859"/>
      <c r="G172" s="859">
        <v>213</v>
      </c>
      <c r="H172" s="858">
        <f t="shared" si="0"/>
        <v>213</v>
      </c>
      <c r="I172" s="47"/>
      <c r="J172" s="47"/>
      <c r="L172" s="47"/>
    </row>
    <row r="173" spans="1:12" ht="35.25" customHeight="1">
      <c r="A173" s="862"/>
      <c r="B173" s="800"/>
      <c r="C173" s="796"/>
      <c r="D173" s="801"/>
      <c r="E173" s="830"/>
      <c r="F173" s="830"/>
      <c r="G173" s="830"/>
      <c r="H173" s="863"/>
      <c r="I173" s="47"/>
      <c r="J173" s="47"/>
      <c r="L173" s="47"/>
    </row>
    <row r="174" spans="1:12" ht="20.25" customHeight="1" thickBot="1">
      <c r="A174" s="66"/>
      <c r="B174" s="66"/>
      <c r="C174" s="66"/>
      <c r="D174" s="860" t="s">
        <v>130</v>
      </c>
      <c r="E174" s="861">
        <v>99373034</v>
      </c>
      <c r="F174" s="861">
        <f>F175+F176</f>
        <v>78998</v>
      </c>
      <c r="G174" s="861">
        <f>G175+G176</f>
        <v>78998</v>
      </c>
      <c r="H174" s="861">
        <f t="shared" si="0"/>
        <v>99373034</v>
      </c>
      <c r="I174" s="47"/>
      <c r="J174" s="47"/>
      <c r="L174" s="47"/>
    </row>
    <row r="175" spans="1:12" s="182" customFormat="1" ht="21" customHeight="1" thickBot="1">
      <c r="A175" s="158"/>
      <c r="B175" s="158"/>
      <c r="C175" s="158"/>
      <c r="D175" s="151" t="s">
        <v>131</v>
      </c>
      <c r="E175" s="352">
        <v>77259529</v>
      </c>
      <c r="F175" s="352"/>
      <c r="G175" s="352"/>
      <c r="H175" s="352">
        <f t="shared" si="0"/>
        <v>77259529</v>
      </c>
      <c r="I175" s="183"/>
      <c r="J175" s="183"/>
      <c r="L175" s="183"/>
    </row>
    <row r="176" spans="1:12" s="182" customFormat="1" ht="29.25" customHeight="1" thickBot="1" thickTop="1">
      <c r="A176" s="228"/>
      <c r="B176" s="228"/>
      <c r="C176" s="228"/>
      <c r="D176" s="492" t="s">
        <v>132</v>
      </c>
      <c r="E176" s="753">
        <v>22113505</v>
      </c>
      <c r="F176" s="753">
        <f>F177+F184</f>
        <v>78998</v>
      </c>
      <c r="G176" s="753">
        <f>G177+G184</f>
        <v>78998</v>
      </c>
      <c r="H176" s="753">
        <f t="shared" si="0"/>
        <v>22113505</v>
      </c>
      <c r="I176" s="183"/>
      <c r="J176" s="183"/>
      <c r="L176" s="183"/>
    </row>
    <row r="177" spans="1:12" s="182" customFormat="1" ht="18.75" customHeight="1" thickTop="1">
      <c r="A177" s="72">
        <v>754</v>
      </c>
      <c r="B177" s="89"/>
      <c r="C177" s="89"/>
      <c r="D177" s="360" t="s">
        <v>97</v>
      </c>
      <c r="E177" s="478">
        <v>12959000</v>
      </c>
      <c r="F177" s="478">
        <f>F178</f>
        <v>53000</v>
      </c>
      <c r="G177" s="478">
        <f>G178</f>
        <v>53000</v>
      </c>
      <c r="H177" s="478">
        <f aca="true" t="shared" si="2" ref="H177:H193">E177+G177-F177</f>
        <v>12959000</v>
      </c>
      <c r="I177" s="183"/>
      <c r="J177" s="183"/>
      <c r="L177" s="183"/>
    </row>
    <row r="178" spans="1:12" s="182" customFormat="1" ht="18.75" customHeight="1">
      <c r="A178" s="131"/>
      <c r="B178" s="78">
        <v>75411</v>
      </c>
      <c r="C178" s="78"/>
      <c r="D178" s="200" t="s">
        <v>400</v>
      </c>
      <c r="E178" s="823">
        <v>12959000</v>
      </c>
      <c r="F178" s="823">
        <f>F179+F182</f>
        <v>53000</v>
      </c>
      <c r="G178" s="823">
        <f>G179+G182</f>
        <v>53000</v>
      </c>
      <c r="H178" s="823">
        <f t="shared" si="2"/>
        <v>12959000</v>
      </c>
      <c r="I178" s="183"/>
      <c r="J178" s="183"/>
      <c r="L178" s="183"/>
    </row>
    <row r="179" spans="1:12" s="182" customFormat="1" ht="18.75" customHeight="1">
      <c r="A179" s="81"/>
      <c r="B179" s="66"/>
      <c r="C179" s="66"/>
      <c r="D179" s="414" t="s">
        <v>208</v>
      </c>
      <c r="E179" s="358">
        <v>9891800</v>
      </c>
      <c r="F179" s="358">
        <f>SUM(F180:F181)</f>
        <v>53000</v>
      </c>
      <c r="G179" s="358"/>
      <c r="H179" s="358">
        <f t="shared" si="2"/>
        <v>9838800</v>
      </c>
      <c r="I179" s="183"/>
      <c r="J179" s="183"/>
      <c r="L179" s="183"/>
    </row>
    <row r="180" spans="1:12" s="182" customFormat="1" ht="27.75" customHeight="1">
      <c r="A180" s="81"/>
      <c r="B180" s="66"/>
      <c r="C180" s="82">
        <v>4050</v>
      </c>
      <c r="D180" s="83" t="s">
        <v>402</v>
      </c>
      <c r="E180" s="824">
        <v>8499000</v>
      </c>
      <c r="F180" s="824">
        <v>11000</v>
      </c>
      <c r="G180" s="824"/>
      <c r="H180" s="825">
        <f t="shared" si="2"/>
        <v>8488000</v>
      </c>
      <c r="I180" s="183"/>
      <c r="J180" s="183"/>
      <c r="L180" s="183"/>
    </row>
    <row r="181" spans="1:12" s="146" customFormat="1" ht="28.5" customHeight="1">
      <c r="A181" s="107"/>
      <c r="B181" s="107"/>
      <c r="C181" s="82">
        <v>4080</v>
      </c>
      <c r="D181" s="83" t="s">
        <v>403</v>
      </c>
      <c r="E181" s="826">
        <v>42000</v>
      </c>
      <c r="F181" s="826">
        <v>42000</v>
      </c>
      <c r="G181" s="826"/>
      <c r="H181" s="825">
        <f t="shared" si="2"/>
        <v>0</v>
      </c>
      <c r="I181" s="145"/>
      <c r="J181" s="145"/>
      <c r="L181" s="145"/>
    </row>
    <row r="182" spans="1:12" s="182" customFormat="1" ht="18.75" customHeight="1">
      <c r="A182" s="66"/>
      <c r="B182" s="459"/>
      <c r="C182" s="459"/>
      <c r="D182" s="700" t="s">
        <v>146</v>
      </c>
      <c r="E182" s="358">
        <v>36700</v>
      </c>
      <c r="F182" s="358"/>
      <c r="G182" s="358">
        <f>G183</f>
        <v>53000</v>
      </c>
      <c r="H182" s="358">
        <f t="shared" si="2"/>
        <v>89700</v>
      </c>
      <c r="I182" s="183"/>
      <c r="J182" s="183"/>
      <c r="L182" s="183"/>
    </row>
    <row r="183" spans="1:12" s="182" customFormat="1" ht="18.75" customHeight="1">
      <c r="A183" s="66"/>
      <c r="B183" s="459"/>
      <c r="C183" s="82">
        <v>4110</v>
      </c>
      <c r="D183" s="83" t="s">
        <v>174</v>
      </c>
      <c r="E183" s="825">
        <v>32300</v>
      </c>
      <c r="F183" s="825"/>
      <c r="G183" s="825">
        <v>53000</v>
      </c>
      <c r="H183" s="825">
        <f t="shared" si="2"/>
        <v>85300</v>
      </c>
      <c r="I183" s="183"/>
      <c r="J183" s="183"/>
      <c r="L183" s="183"/>
    </row>
    <row r="184" spans="1:12" s="182" customFormat="1" ht="21" customHeight="1">
      <c r="A184" s="72">
        <v>853</v>
      </c>
      <c r="B184" s="89"/>
      <c r="C184" s="89"/>
      <c r="D184" s="92" t="s">
        <v>145</v>
      </c>
      <c r="E184" s="478">
        <v>585369</v>
      </c>
      <c r="F184" s="478">
        <f>F185</f>
        <v>25998</v>
      </c>
      <c r="G184" s="478">
        <f>G185</f>
        <v>25998</v>
      </c>
      <c r="H184" s="478">
        <f t="shared" si="2"/>
        <v>585369</v>
      </c>
      <c r="I184" s="183"/>
      <c r="J184" s="183"/>
      <c r="L184" s="183"/>
    </row>
    <row r="185" spans="1:12" s="182" customFormat="1" ht="19.5" customHeight="1">
      <c r="A185" s="66"/>
      <c r="B185" s="78">
        <v>85321</v>
      </c>
      <c r="C185" s="78"/>
      <c r="D185" s="78" t="s">
        <v>412</v>
      </c>
      <c r="E185" s="224">
        <v>552000</v>
      </c>
      <c r="F185" s="224">
        <f>F186+F189</f>
        <v>25998</v>
      </c>
      <c r="G185" s="224">
        <f>G186+G189</f>
        <v>25998</v>
      </c>
      <c r="H185" s="224">
        <f t="shared" si="2"/>
        <v>552000</v>
      </c>
      <c r="I185" s="183"/>
      <c r="J185" s="183"/>
      <c r="L185" s="183"/>
    </row>
    <row r="186" spans="1:12" s="182" customFormat="1" ht="19.5" customHeight="1">
      <c r="A186" s="66"/>
      <c r="B186" s="353"/>
      <c r="C186" s="353"/>
      <c r="D186" s="415" t="s">
        <v>208</v>
      </c>
      <c r="E186" s="405">
        <v>354300</v>
      </c>
      <c r="F186" s="405">
        <f>SUM(F187:F188)</f>
        <v>295</v>
      </c>
      <c r="G186" s="405">
        <f>SUM(G187:G188)</f>
        <v>25998</v>
      </c>
      <c r="H186" s="405">
        <f t="shared" si="2"/>
        <v>380003</v>
      </c>
      <c r="I186" s="183"/>
      <c r="J186" s="183"/>
      <c r="L186" s="183"/>
    </row>
    <row r="187" spans="1:12" s="346" customFormat="1" ht="19.5" customHeight="1">
      <c r="A187" s="81"/>
      <c r="B187" s="81"/>
      <c r="C187" s="82">
        <v>4040</v>
      </c>
      <c r="D187" s="83" t="s">
        <v>151</v>
      </c>
      <c r="E187" s="680">
        <v>20800</v>
      </c>
      <c r="F187" s="680">
        <v>295</v>
      </c>
      <c r="G187" s="680"/>
      <c r="H187" s="319">
        <f t="shared" si="2"/>
        <v>20505</v>
      </c>
      <c r="I187" s="345"/>
      <c r="J187" s="345"/>
      <c r="L187" s="345"/>
    </row>
    <row r="188" spans="1:12" s="346" customFormat="1" ht="19.5" customHeight="1">
      <c r="A188" s="81"/>
      <c r="B188" s="81"/>
      <c r="C188" s="82">
        <v>4170</v>
      </c>
      <c r="D188" s="83" t="s">
        <v>128</v>
      </c>
      <c r="E188" s="680">
        <v>80000</v>
      </c>
      <c r="F188" s="316"/>
      <c r="G188" s="316">
        <f>295+21478+1000+1400+1825</f>
        <v>25998</v>
      </c>
      <c r="H188" s="319">
        <f t="shared" si="2"/>
        <v>105998</v>
      </c>
      <c r="I188" s="345"/>
      <c r="J188" s="345"/>
      <c r="L188" s="345"/>
    </row>
    <row r="189" spans="1:12" s="182" customFormat="1" ht="19.5" customHeight="1">
      <c r="A189" s="66"/>
      <c r="B189" s="66"/>
      <c r="C189" s="353"/>
      <c r="D189" s="415" t="s">
        <v>121</v>
      </c>
      <c r="E189" s="405">
        <v>109400</v>
      </c>
      <c r="F189" s="405">
        <f>SUM(F190:F193)</f>
        <v>25703</v>
      </c>
      <c r="G189" s="405"/>
      <c r="H189" s="405">
        <f t="shared" si="2"/>
        <v>83697</v>
      </c>
      <c r="I189" s="183"/>
      <c r="J189" s="183"/>
      <c r="L189" s="183"/>
    </row>
    <row r="190" spans="1:12" s="346" customFormat="1" ht="19.5" customHeight="1">
      <c r="A190" s="81"/>
      <c r="B190" s="81"/>
      <c r="C190" s="82">
        <v>4300</v>
      </c>
      <c r="D190" s="83" t="s">
        <v>119</v>
      </c>
      <c r="E190" s="680">
        <v>90126</v>
      </c>
      <c r="F190" s="680">
        <v>21478</v>
      </c>
      <c r="G190" s="680"/>
      <c r="H190" s="319">
        <f t="shared" si="2"/>
        <v>68648</v>
      </c>
      <c r="I190" s="345"/>
      <c r="J190" s="345"/>
      <c r="L190" s="345"/>
    </row>
    <row r="191" spans="1:12" s="346" customFormat="1" ht="19.5" customHeight="1">
      <c r="A191" s="81"/>
      <c r="B191" s="81"/>
      <c r="C191" s="82">
        <v>4410</v>
      </c>
      <c r="D191" s="83" t="s">
        <v>178</v>
      </c>
      <c r="E191" s="680">
        <v>1000</v>
      </c>
      <c r="F191" s="680">
        <v>1000</v>
      </c>
      <c r="G191" s="680"/>
      <c r="H191" s="319">
        <f t="shared" si="2"/>
        <v>0</v>
      </c>
      <c r="I191" s="345"/>
      <c r="J191" s="345"/>
      <c r="L191" s="345"/>
    </row>
    <row r="192" spans="1:12" s="346" customFormat="1" ht="19.5" customHeight="1">
      <c r="A192" s="81"/>
      <c r="B192" s="81"/>
      <c r="C192" s="82">
        <v>4420</v>
      </c>
      <c r="D192" s="83" t="s">
        <v>159</v>
      </c>
      <c r="E192" s="680">
        <v>1400</v>
      </c>
      <c r="F192" s="316">
        <v>1400</v>
      </c>
      <c r="G192" s="316"/>
      <c r="H192" s="319">
        <f t="shared" si="2"/>
        <v>0</v>
      </c>
      <c r="I192" s="345"/>
      <c r="J192" s="345"/>
      <c r="L192" s="345"/>
    </row>
    <row r="193" spans="1:12" s="346" customFormat="1" ht="19.5" customHeight="1">
      <c r="A193" s="82"/>
      <c r="B193" s="82"/>
      <c r="C193" s="82">
        <v>4440</v>
      </c>
      <c r="D193" s="83" t="s">
        <v>368</v>
      </c>
      <c r="E193" s="680">
        <v>7874</v>
      </c>
      <c r="F193" s="680">
        <v>1825</v>
      </c>
      <c r="G193" s="680"/>
      <c r="H193" s="319">
        <f t="shared" si="2"/>
        <v>6049</v>
      </c>
      <c r="I193" s="345"/>
      <c r="J193" s="345"/>
      <c r="L193" s="345"/>
    </row>
    <row r="194" spans="9:12" ht="21" customHeight="1">
      <c r="I194" s="47"/>
      <c r="J194" s="47"/>
      <c r="L194" s="47"/>
    </row>
    <row r="195" spans="9:12" ht="21" customHeight="1">
      <c r="I195" s="47"/>
      <c r="J195" s="47"/>
      <c r="L195" s="47"/>
    </row>
    <row r="196" spans="4:7" ht="18.75" customHeight="1">
      <c r="D196" s="912" t="s">
        <v>487</v>
      </c>
      <c r="G196" s="912" t="s">
        <v>489</v>
      </c>
    </row>
    <row r="197" spans="4:7" ht="18.75" customHeight="1">
      <c r="D197" s="912"/>
      <c r="G197" s="912" t="s">
        <v>490</v>
      </c>
    </row>
    <row r="198" spans="4:12" ht="21" customHeight="1">
      <c r="D198" s="912" t="s">
        <v>488</v>
      </c>
      <c r="G198" s="912"/>
      <c r="I198" s="47"/>
      <c r="J198" s="47"/>
      <c r="L198" s="47"/>
    </row>
    <row r="199" ht="18.75" customHeight="1">
      <c r="G199" s="912" t="s">
        <v>491</v>
      </c>
    </row>
    <row r="200" ht="19.5" customHeight="1"/>
    <row r="201" ht="19.5" customHeight="1"/>
    <row r="202" ht="19.5" customHeight="1"/>
    <row r="203" ht="18.75" customHeight="1"/>
    <row r="204" ht="18.75" customHeight="1"/>
    <row r="205" ht="28.5" customHeight="1"/>
    <row r="206" spans="1:9" s="33" customFormat="1" ht="18.75" customHeight="1">
      <c r="A206" s="22"/>
      <c r="B206" s="22"/>
      <c r="C206" s="22"/>
      <c r="D206" s="22"/>
      <c r="E206" s="22"/>
      <c r="F206" s="22"/>
      <c r="G206" s="22"/>
      <c r="H206" s="22"/>
      <c r="I206" s="118"/>
    </row>
    <row r="207" spans="1:9" s="33" customFormat="1" ht="18.75" customHeight="1">
      <c r="A207" s="22"/>
      <c r="B207" s="22"/>
      <c r="C207" s="22"/>
      <c r="D207" s="22"/>
      <c r="E207" s="22"/>
      <c r="F207" s="22"/>
      <c r="G207" s="22"/>
      <c r="H207" s="22"/>
      <c r="I207" s="118"/>
    </row>
    <row r="208" spans="1:9" s="33" customFormat="1" ht="18.75" customHeight="1">
      <c r="A208" s="22"/>
      <c r="B208" s="22"/>
      <c r="C208" s="22"/>
      <c r="D208" s="22"/>
      <c r="E208" s="22"/>
      <c r="F208" s="22"/>
      <c r="G208" s="22"/>
      <c r="H208" s="22"/>
      <c r="I208" s="118"/>
    </row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spans="1:9" s="33" customFormat="1" ht="19.5" customHeight="1">
      <c r="A217" s="22"/>
      <c r="B217" s="22"/>
      <c r="C217" s="22"/>
      <c r="D217" s="22"/>
      <c r="E217" s="22"/>
      <c r="F217" s="22"/>
      <c r="G217" s="22"/>
      <c r="H217" s="22"/>
      <c r="I217" s="119"/>
    </row>
    <row r="218" spans="1:9" s="33" customFormat="1" ht="18.75" customHeight="1">
      <c r="A218" s="22"/>
      <c r="B218" s="22"/>
      <c r="C218" s="22"/>
      <c r="D218" s="22"/>
      <c r="E218" s="22"/>
      <c r="F218" s="22"/>
      <c r="G218" s="22"/>
      <c r="H218" s="22"/>
      <c r="I218" s="118"/>
    </row>
    <row r="219" spans="1:9" s="33" customFormat="1" ht="18.75" customHeight="1">
      <c r="A219" s="22"/>
      <c r="B219" s="22"/>
      <c r="C219" s="22"/>
      <c r="D219" s="22"/>
      <c r="E219" s="22"/>
      <c r="F219" s="22"/>
      <c r="G219" s="22"/>
      <c r="H219" s="22"/>
      <c r="I219" s="118"/>
    </row>
    <row r="220" spans="1:9" s="33" customFormat="1" ht="18.75" customHeight="1">
      <c r="A220" s="22"/>
      <c r="B220" s="22"/>
      <c r="C220" s="22"/>
      <c r="D220" s="22"/>
      <c r="E220" s="22"/>
      <c r="F220" s="22"/>
      <c r="G220" s="22"/>
      <c r="H220" s="22"/>
      <c r="I220" s="118"/>
    </row>
    <row r="221" ht="19.5" customHeight="1"/>
    <row r="222" ht="18.75" customHeight="1"/>
    <row r="223" spans="1:9" s="33" customFormat="1" ht="18.75" customHeight="1">
      <c r="A223" s="22"/>
      <c r="B223" s="22"/>
      <c r="C223" s="22"/>
      <c r="D223" s="22"/>
      <c r="E223" s="22"/>
      <c r="F223" s="22"/>
      <c r="G223" s="22"/>
      <c r="H223" s="22"/>
      <c r="I223" s="118"/>
    </row>
    <row r="224" ht="18.75" customHeight="1"/>
    <row r="225" spans="1:9" s="33" customFormat="1" ht="18.75" customHeight="1">
      <c r="A225" s="22"/>
      <c r="B225" s="22"/>
      <c r="C225" s="22"/>
      <c r="D225" s="22"/>
      <c r="E225" s="22"/>
      <c r="F225" s="22"/>
      <c r="G225" s="22"/>
      <c r="H225" s="22"/>
      <c r="I225" s="118"/>
    </row>
    <row r="226" spans="1:9" s="33" customFormat="1" ht="27" customHeight="1">
      <c r="A226" s="22"/>
      <c r="B226" s="22"/>
      <c r="C226" s="22"/>
      <c r="D226" s="22"/>
      <c r="E226" s="22"/>
      <c r="F226" s="22"/>
      <c r="G226" s="22"/>
      <c r="H226" s="22"/>
      <c r="I226" s="118"/>
    </row>
    <row r="227" spans="1:9" s="33" customFormat="1" ht="18.75" customHeight="1">
      <c r="A227" s="22"/>
      <c r="B227" s="22"/>
      <c r="C227" s="22"/>
      <c r="D227" s="22"/>
      <c r="E227" s="22"/>
      <c r="F227" s="22"/>
      <c r="G227" s="22"/>
      <c r="H227" s="22"/>
      <c r="I227" s="118"/>
    </row>
    <row r="228" spans="1:9" s="33" customFormat="1" ht="19.5" customHeight="1">
      <c r="A228" s="22"/>
      <c r="B228" s="22"/>
      <c r="C228" s="22"/>
      <c r="D228" s="22"/>
      <c r="E228" s="22"/>
      <c r="F228" s="22"/>
      <c r="G228" s="22"/>
      <c r="H228" s="22"/>
      <c r="I228" s="118"/>
    </row>
    <row r="229" ht="19.5" customHeight="1"/>
    <row r="230" ht="19.5" customHeight="1"/>
    <row r="231" ht="19.5" customHeight="1"/>
    <row r="232" ht="19.5" customHeight="1"/>
    <row r="233" ht="19.5" customHeight="1"/>
    <row r="234" spans="1:9" s="33" customFormat="1" ht="18.75" customHeight="1">
      <c r="A234" s="22"/>
      <c r="B234" s="22"/>
      <c r="C234" s="22"/>
      <c r="D234" s="22"/>
      <c r="E234" s="22"/>
      <c r="F234" s="22"/>
      <c r="G234" s="22"/>
      <c r="H234" s="22"/>
      <c r="I234" s="118"/>
    </row>
    <row r="235" spans="1:9" s="33" customFormat="1" ht="19.5" customHeight="1">
      <c r="A235" s="22"/>
      <c r="B235" s="22"/>
      <c r="C235" s="22"/>
      <c r="D235" s="22"/>
      <c r="E235" s="22"/>
      <c r="F235" s="22"/>
      <c r="G235" s="22"/>
      <c r="H235" s="22"/>
      <c r="I235" s="118"/>
    </row>
    <row r="236" ht="19.5" customHeight="1"/>
    <row r="237" ht="18.75" customHeight="1"/>
    <row r="238" ht="18" customHeight="1"/>
    <row r="239" ht="28.5" customHeight="1"/>
    <row r="240" ht="20.25" customHeight="1"/>
    <row r="241" ht="18" customHeight="1"/>
    <row r="242" ht="19.5" customHeight="1"/>
    <row r="243" ht="20.25" customHeight="1"/>
    <row r="244" ht="20.25" customHeight="1"/>
    <row r="245" ht="20.25" customHeight="1"/>
    <row r="246" spans="1:8" s="33" customFormat="1" ht="27" customHeight="1">
      <c r="A246" s="22"/>
      <c r="B246" s="22"/>
      <c r="C246" s="22"/>
      <c r="D246" s="22"/>
      <c r="E246" s="22"/>
      <c r="F246" s="22"/>
      <c r="G246" s="22"/>
      <c r="H246" s="22"/>
    </row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27.75" customHeight="1"/>
    <row r="267" ht="20.25" customHeight="1"/>
    <row r="268" ht="20.25" customHeight="1"/>
    <row r="269" ht="19.5" customHeight="1"/>
    <row r="270" ht="25.5" customHeight="1"/>
    <row r="271" ht="26.25" customHeight="1"/>
    <row r="272" ht="19.5" customHeight="1"/>
    <row r="273" ht="18.75" customHeight="1"/>
    <row r="274" ht="18" customHeight="1"/>
    <row r="275" ht="19.5" customHeight="1"/>
    <row r="276" ht="19.5" customHeight="1"/>
    <row r="277" ht="20.25" customHeight="1"/>
    <row r="278" ht="19.5" customHeight="1"/>
    <row r="279" ht="19.5" customHeight="1"/>
    <row r="280" ht="20.25" customHeight="1"/>
    <row r="281" ht="18" customHeight="1"/>
    <row r="282" ht="19.5" customHeight="1"/>
    <row r="283" ht="19.5" customHeight="1"/>
  </sheetData>
  <printOptions horizontalCentered="1"/>
  <pageMargins left="0.3937007874015748" right="0.3937007874015748" top="0.61" bottom="0.47" header="0.5118110236220472" footer="0.31496062992125984"/>
  <pageSetup firstPageNumber="15" useFirstPageNumber="1" horizontalDpi="300" verticalDpi="300" orientation="landscape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/>
  <dimension ref="A1:J343"/>
  <sheetViews>
    <sheetView zoomScaleSheetLayoutView="75" workbookViewId="0" topLeftCell="A1">
      <selection activeCell="G10" sqref="G10:H11"/>
    </sheetView>
  </sheetViews>
  <sheetFormatPr defaultColWidth="9.00390625" defaultRowHeight="12.75"/>
  <cols>
    <col min="1" max="1" width="8.75390625" style="105" customWidth="1"/>
    <col min="2" max="3" width="8.75390625" style="0" customWidth="1"/>
    <col min="4" max="4" width="75.625" style="0" customWidth="1"/>
    <col min="5" max="6" width="22.75390625" style="0" customWidth="1"/>
    <col min="7" max="7" width="11.125" style="0" customWidth="1"/>
    <col min="8" max="8" width="12.125" style="0" customWidth="1"/>
    <col min="9" max="9" width="13.00390625" style="0" customWidth="1"/>
  </cols>
  <sheetData>
    <row r="1" spans="1:6" ht="18.75" customHeight="1">
      <c r="A1" s="49"/>
      <c r="F1" s="50" t="s">
        <v>332</v>
      </c>
    </row>
    <row r="2" spans="1:6" ht="18.75" customHeight="1">
      <c r="A2" s="51"/>
      <c r="F2" s="22" t="s">
        <v>464</v>
      </c>
    </row>
    <row r="3" spans="1:6" ht="19.5" customHeight="1">
      <c r="A3" s="51"/>
      <c r="C3" s="1"/>
      <c r="D3" s="4" t="s">
        <v>108</v>
      </c>
      <c r="F3" s="22" t="s">
        <v>72</v>
      </c>
    </row>
    <row r="4" spans="1:6" ht="19.5" customHeight="1">
      <c r="A4" s="49"/>
      <c r="C4" s="1"/>
      <c r="D4" s="4" t="s">
        <v>109</v>
      </c>
      <c r="F4" s="22" t="s">
        <v>398</v>
      </c>
    </row>
    <row r="5" ht="11.25" customHeight="1">
      <c r="A5" s="49"/>
    </row>
    <row r="6" spans="1:6" ht="15" customHeight="1" thickBot="1">
      <c r="A6" s="53"/>
      <c r="F6" s="54" t="s">
        <v>73</v>
      </c>
    </row>
    <row r="7" spans="1:8" ht="21" customHeight="1" thickTop="1">
      <c r="A7" s="902" t="s">
        <v>77</v>
      </c>
      <c r="B7" s="904" t="s">
        <v>110</v>
      </c>
      <c r="C7" s="904" t="s">
        <v>111</v>
      </c>
      <c r="D7" s="900" t="s">
        <v>112</v>
      </c>
      <c r="E7" s="898" t="s">
        <v>113</v>
      </c>
      <c r="F7" s="899"/>
      <c r="H7" s="52"/>
    </row>
    <row r="8" spans="1:6" ht="21" customHeight="1" thickBot="1">
      <c r="A8" s="903"/>
      <c r="B8" s="905"/>
      <c r="C8" s="905"/>
      <c r="D8" s="901"/>
      <c r="E8" s="55" t="s">
        <v>114</v>
      </c>
      <c r="F8" s="56" t="s">
        <v>115</v>
      </c>
    </row>
    <row r="9" spans="1:6" ht="15.75" customHeight="1" thickBot="1" thickTop="1">
      <c r="A9" s="57">
        <v>1</v>
      </c>
      <c r="B9" s="58">
        <v>2</v>
      </c>
      <c r="C9" s="58">
        <v>3</v>
      </c>
      <c r="D9" s="58">
        <v>4</v>
      </c>
      <c r="E9" s="59">
        <v>5</v>
      </c>
      <c r="F9" s="59">
        <v>6</v>
      </c>
    </row>
    <row r="10" spans="1:10" ht="19.5" customHeight="1" thickBot="1" thickTop="1">
      <c r="A10" s="60"/>
      <c r="B10" s="60"/>
      <c r="C10" s="60"/>
      <c r="D10" s="61" t="s">
        <v>116</v>
      </c>
      <c r="E10" s="62">
        <f>E11+E216+E225+E233+E242</f>
        <v>1960894</v>
      </c>
      <c r="F10" s="62">
        <f>F11+F216+F225+F233+F242</f>
        <v>1960894</v>
      </c>
      <c r="G10" s="52"/>
      <c r="H10" s="52"/>
      <c r="I10" s="52"/>
      <c r="J10" s="52"/>
    </row>
    <row r="11" spans="1:9" ht="22.5" customHeight="1">
      <c r="A11" s="63"/>
      <c r="B11" s="63"/>
      <c r="C11" s="63"/>
      <c r="D11" s="64" t="s">
        <v>95</v>
      </c>
      <c r="E11" s="65">
        <f>E12+E23+E33+E40+E67+E130+E139+E200+E207</f>
        <v>1819580</v>
      </c>
      <c r="F11" s="65">
        <f>F12+F23+F33+F40+F67+F130+F139+F200+F207</f>
        <v>892322</v>
      </c>
      <c r="G11" s="52"/>
      <c r="I11" s="52"/>
    </row>
    <row r="12" spans="1:7" ht="19.5" customHeight="1">
      <c r="A12" s="67"/>
      <c r="B12" s="67"/>
      <c r="C12" s="68"/>
      <c r="D12" s="64" t="s">
        <v>437</v>
      </c>
      <c r="E12" s="65">
        <f>E13</f>
        <v>396870</v>
      </c>
      <c r="F12" s="65"/>
      <c r="G12" s="137"/>
    </row>
    <row r="13" spans="1:7" s="121" customFormat="1" ht="19.5" customHeight="1" thickBot="1">
      <c r="A13" s="139"/>
      <c r="B13" s="139"/>
      <c r="C13" s="139"/>
      <c r="D13" s="140" t="s">
        <v>96</v>
      </c>
      <c r="E13" s="141">
        <f>E14</f>
        <v>396870</v>
      </c>
      <c r="F13" s="141"/>
      <c r="G13" s="128"/>
    </row>
    <row r="14" spans="1:7" ht="19.5" customHeight="1" thickTop="1">
      <c r="A14" s="72">
        <v>758</v>
      </c>
      <c r="B14" s="89"/>
      <c r="C14" s="73"/>
      <c r="D14" s="73" t="s">
        <v>98</v>
      </c>
      <c r="E14" s="87">
        <f>E15</f>
        <v>396870</v>
      </c>
      <c r="F14" s="87"/>
      <c r="G14" s="52"/>
    </row>
    <row r="15" spans="1:7" s="138" customFormat="1" ht="19.5" customHeight="1">
      <c r="A15" s="131"/>
      <c r="B15" s="132">
        <v>75818</v>
      </c>
      <c r="C15" s="132"/>
      <c r="D15" s="132" t="s">
        <v>99</v>
      </c>
      <c r="E15" s="136">
        <f>E18+E21+E16</f>
        <v>396870</v>
      </c>
      <c r="F15" s="136"/>
      <c r="G15" s="137"/>
    </row>
    <row r="16" spans="1:7" s="146" customFormat="1" ht="19.5" customHeight="1">
      <c r="A16" s="193"/>
      <c r="B16" s="158"/>
      <c r="C16" s="66"/>
      <c r="D16" s="581" t="s">
        <v>470</v>
      </c>
      <c r="E16" s="133">
        <f>E17</f>
        <v>60000</v>
      </c>
      <c r="F16" s="133"/>
      <c r="G16" s="145"/>
    </row>
    <row r="17" spans="1:7" s="146" customFormat="1" ht="19.5" customHeight="1">
      <c r="A17" s="193"/>
      <c r="B17" s="158"/>
      <c r="C17" s="82">
        <v>4810</v>
      </c>
      <c r="D17" s="82" t="s">
        <v>447</v>
      </c>
      <c r="E17" s="542">
        <v>60000</v>
      </c>
      <c r="F17" s="542"/>
      <c r="G17" s="145"/>
    </row>
    <row r="18" spans="1:7" s="211" customFormat="1" ht="27.75" customHeight="1">
      <c r="A18" s="312"/>
      <c r="B18" s="313"/>
      <c r="C18" s="106"/>
      <c r="D18" s="100" t="s">
        <v>310</v>
      </c>
      <c r="E18" s="687">
        <f>E20</f>
        <v>59170</v>
      </c>
      <c r="F18" s="687"/>
      <c r="G18" s="198"/>
    </row>
    <row r="19" spans="1:7" s="211" customFormat="1" ht="27.75" customHeight="1">
      <c r="A19" s="312"/>
      <c r="B19" s="313"/>
      <c r="C19" s="106"/>
      <c r="D19" s="751" t="s">
        <v>435</v>
      </c>
      <c r="E19" s="752">
        <v>59170</v>
      </c>
      <c r="F19" s="752"/>
      <c r="G19" s="198"/>
    </row>
    <row r="20" spans="1:7" s="146" customFormat="1" ht="19.5" customHeight="1">
      <c r="A20" s="314"/>
      <c r="B20" s="143"/>
      <c r="C20" s="82">
        <v>6800</v>
      </c>
      <c r="D20" s="83" t="s">
        <v>416</v>
      </c>
      <c r="E20" s="315">
        <f>E19</f>
        <v>59170</v>
      </c>
      <c r="F20" s="315"/>
      <c r="G20" s="145"/>
    </row>
    <row r="21" spans="1:7" s="146" customFormat="1" ht="19.5" customHeight="1">
      <c r="A21" s="193"/>
      <c r="B21" s="158"/>
      <c r="C21" s="66"/>
      <c r="D21" s="581" t="s">
        <v>446</v>
      </c>
      <c r="E21" s="133">
        <f>E22</f>
        <v>277700</v>
      </c>
      <c r="F21" s="133"/>
      <c r="G21" s="145"/>
    </row>
    <row r="22" spans="1:7" s="146" customFormat="1" ht="19.5" customHeight="1">
      <c r="A22" s="193"/>
      <c r="B22" s="158"/>
      <c r="C22" s="82">
        <v>4810</v>
      </c>
      <c r="D22" s="82" t="s">
        <v>447</v>
      </c>
      <c r="E22" s="542">
        <v>277700</v>
      </c>
      <c r="F22" s="542"/>
      <c r="G22" s="145"/>
    </row>
    <row r="23" spans="1:7" s="157" customFormat="1" ht="19.5" customHeight="1">
      <c r="A23" s="153"/>
      <c r="B23" s="129"/>
      <c r="C23" s="154"/>
      <c r="D23" s="155" t="s">
        <v>438</v>
      </c>
      <c r="E23" s="156">
        <f aca="true" t="shared" si="0" ref="E23:F25">E24</f>
        <v>33911</v>
      </c>
      <c r="F23" s="156">
        <f t="shared" si="0"/>
        <v>33911</v>
      </c>
      <c r="G23" s="226"/>
    </row>
    <row r="24" spans="1:7" s="146" customFormat="1" ht="19.5" customHeight="1" thickBot="1">
      <c r="A24" s="228"/>
      <c r="B24" s="228"/>
      <c r="C24" s="228"/>
      <c r="D24" s="152" t="s">
        <v>96</v>
      </c>
      <c r="E24" s="181">
        <f t="shared" si="0"/>
        <v>33911</v>
      </c>
      <c r="F24" s="181">
        <f t="shared" si="0"/>
        <v>33911</v>
      </c>
      <c r="G24" s="145"/>
    </row>
    <row r="25" spans="1:7" s="22" customFormat="1" ht="19.5" customHeight="1" thickTop="1">
      <c r="A25" s="89">
        <v>600</v>
      </c>
      <c r="B25" s="89"/>
      <c r="C25" s="89"/>
      <c r="D25" s="89" t="s">
        <v>100</v>
      </c>
      <c r="E25" s="75">
        <f t="shared" si="0"/>
        <v>33911</v>
      </c>
      <c r="F25" s="75">
        <f t="shared" si="0"/>
        <v>33911</v>
      </c>
      <c r="G25" s="47"/>
    </row>
    <row r="26" spans="1:7" s="95" customFormat="1" ht="19.5" customHeight="1">
      <c r="A26" s="81"/>
      <c r="B26" s="78">
        <v>60015</v>
      </c>
      <c r="C26" s="78"/>
      <c r="D26" s="547" t="s">
        <v>271</v>
      </c>
      <c r="E26" s="127">
        <f>E27+E30</f>
        <v>33911</v>
      </c>
      <c r="F26" s="127">
        <f>F27+F30</f>
        <v>33911</v>
      </c>
      <c r="G26" s="94"/>
    </row>
    <row r="27" spans="1:7" s="121" customFormat="1" ht="19.5" customHeight="1">
      <c r="A27" s="81"/>
      <c r="B27" s="344"/>
      <c r="C27" s="353"/>
      <c r="D27" s="199" t="s">
        <v>408</v>
      </c>
      <c r="E27" s="133"/>
      <c r="F27" s="133">
        <f>F28</f>
        <v>33911</v>
      </c>
      <c r="G27" s="128"/>
    </row>
    <row r="28" spans="1:7" s="121" customFormat="1" ht="19.5" customHeight="1">
      <c r="A28" s="81"/>
      <c r="B28" s="344"/>
      <c r="C28" s="81">
        <v>4300</v>
      </c>
      <c r="D28" s="702" t="s">
        <v>119</v>
      </c>
      <c r="E28" s="799"/>
      <c r="F28" s="799">
        <v>33911</v>
      </c>
      <c r="G28" s="128"/>
    </row>
    <row r="29" spans="1:7" s="121" customFormat="1" ht="19.5" customHeight="1">
      <c r="A29" s="796"/>
      <c r="B29" s="800"/>
      <c r="C29" s="796"/>
      <c r="D29" s="801"/>
      <c r="E29" s="802"/>
      <c r="F29" s="802"/>
      <c r="G29" s="128"/>
    </row>
    <row r="30" spans="1:7" s="121" customFormat="1" ht="19.5" customHeight="1">
      <c r="A30" s="81"/>
      <c r="B30" s="344"/>
      <c r="C30" s="66"/>
      <c r="D30" s="450" t="s">
        <v>409</v>
      </c>
      <c r="E30" s="685">
        <f>E32</f>
        <v>33911</v>
      </c>
      <c r="F30" s="685"/>
      <c r="G30" s="128"/>
    </row>
    <row r="31" spans="1:7" s="121" customFormat="1" ht="19.5" customHeight="1">
      <c r="A31" s="81"/>
      <c r="B31" s="344"/>
      <c r="C31" s="66"/>
      <c r="D31" s="431" t="s">
        <v>411</v>
      </c>
      <c r="E31" s="351">
        <v>33911</v>
      </c>
      <c r="F31" s="220"/>
      <c r="G31" s="128"/>
    </row>
    <row r="32" spans="1:7" s="148" customFormat="1" ht="19.5" customHeight="1">
      <c r="A32" s="81"/>
      <c r="B32" s="344"/>
      <c r="C32" s="82">
        <v>4270</v>
      </c>
      <c r="D32" s="82" t="s">
        <v>410</v>
      </c>
      <c r="E32" s="704">
        <f>E31</f>
        <v>33911</v>
      </c>
      <c r="F32" s="542"/>
      <c r="G32" s="147"/>
    </row>
    <row r="33" spans="1:7" s="148" customFormat="1" ht="19.5" customHeight="1">
      <c r="A33" s="153"/>
      <c r="B33" s="129"/>
      <c r="C33" s="154"/>
      <c r="D33" s="797" t="s">
        <v>439</v>
      </c>
      <c r="E33" s="798"/>
      <c r="F33" s="798">
        <f>F34</f>
        <v>59170</v>
      </c>
      <c r="G33" s="147"/>
    </row>
    <row r="34" spans="1:7" s="148" customFormat="1" ht="19.5" customHeight="1" thickBot="1">
      <c r="A34" s="228"/>
      <c r="B34" s="228"/>
      <c r="C34" s="228"/>
      <c r="D34" s="152" t="s">
        <v>96</v>
      </c>
      <c r="E34" s="181"/>
      <c r="F34" s="181">
        <f>F35</f>
        <v>59170</v>
      </c>
      <c r="G34" s="147"/>
    </row>
    <row r="35" spans="1:7" s="148" customFormat="1" ht="19.5" customHeight="1" thickTop="1">
      <c r="A35" s="89">
        <v>750</v>
      </c>
      <c r="B35" s="89"/>
      <c r="C35" s="89"/>
      <c r="D35" s="89" t="s">
        <v>107</v>
      </c>
      <c r="E35" s="75"/>
      <c r="F35" s="75">
        <f>F36</f>
        <v>59170</v>
      </c>
      <c r="G35" s="147"/>
    </row>
    <row r="36" spans="1:7" s="148" customFormat="1" ht="19.5" customHeight="1">
      <c r="A36" s="410"/>
      <c r="B36" s="77">
        <v>75023</v>
      </c>
      <c r="C36" s="77"/>
      <c r="D36" s="77" t="s">
        <v>120</v>
      </c>
      <c r="E36" s="127"/>
      <c r="F36" s="127">
        <f>F37</f>
        <v>59170</v>
      </c>
      <c r="G36" s="147"/>
    </row>
    <row r="37" spans="1:7" s="148" customFormat="1" ht="27" customHeight="1">
      <c r="A37" s="81"/>
      <c r="B37" s="344"/>
      <c r="C37" s="66"/>
      <c r="D37" s="581" t="s">
        <v>469</v>
      </c>
      <c r="E37" s="407"/>
      <c r="F37" s="407">
        <f>SUM(F38:F39)</f>
        <v>59170</v>
      </c>
      <c r="G37" s="147"/>
    </row>
    <row r="38" spans="1:7" s="148" customFormat="1" ht="19.5" customHeight="1">
      <c r="A38" s="81"/>
      <c r="B38" s="344"/>
      <c r="C38" s="225">
        <v>6058</v>
      </c>
      <c r="D38" s="227" t="s">
        <v>205</v>
      </c>
      <c r="E38" s="150"/>
      <c r="F38" s="150">
        <v>44378</v>
      </c>
      <c r="G38" s="147"/>
    </row>
    <row r="39" spans="1:7" s="148" customFormat="1" ht="19.5" customHeight="1">
      <c r="A39" s="705"/>
      <c r="B39" s="344"/>
      <c r="C39" s="706">
        <v>6059</v>
      </c>
      <c r="D39" s="227" t="s">
        <v>205</v>
      </c>
      <c r="E39" s="150"/>
      <c r="F39" s="150">
        <v>14792</v>
      </c>
      <c r="G39" s="147"/>
    </row>
    <row r="40" spans="1:7" s="157" customFormat="1" ht="19.5" customHeight="1">
      <c r="A40" s="153"/>
      <c r="B40" s="129"/>
      <c r="C40" s="154"/>
      <c r="D40" s="155" t="s">
        <v>379</v>
      </c>
      <c r="E40" s="156">
        <f>E41</f>
        <v>571414</v>
      </c>
      <c r="F40" s="156">
        <f>F41</f>
        <v>123900</v>
      </c>
      <c r="G40" s="226">
        <f>F40-E40</f>
        <v>-447514</v>
      </c>
    </row>
    <row r="41" spans="1:7" s="146" customFormat="1" ht="19.5" customHeight="1" thickBot="1">
      <c r="A41" s="228"/>
      <c r="B41" s="228"/>
      <c r="C41" s="228"/>
      <c r="D41" s="152" t="s">
        <v>96</v>
      </c>
      <c r="E41" s="181">
        <f>E42+E57+E62</f>
        <v>571414</v>
      </c>
      <c r="F41" s="181">
        <f>F42+F57+F62</f>
        <v>123900</v>
      </c>
      <c r="G41" s="145"/>
    </row>
    <row r="42" spans="1:7" s="22" customFormat="1" ht="19.5" customHeight="1" thickTop="1">
      <c r="A42" s="89">
        <v>750</v>
      </c>
      <c r="B42" s="89"/>
      <c r="C42" s="89"/>
      <c r="D42" s="89" t="s">
        <v>107</v>
      </c>
      <c r="E42" s="75">
        <f>E43+E50</f>
        <v>63900</v>
      </c>
      <c r="F42" s="75">
        <f>F43+F50</f>
        <v>123900</v>
      </c>
      <c r="G42" s="47"/>
    </row>
    <row r="43" spans="1:7" s="95" customFormat="1" ht="19.5" customHeight="1">
      <c r="A43" s="81"/>
      <c r="B43" s="77">
        <v>75022</v>
      </c>
      <c r="C43" s="77"/>
      <c r="D43" s="77" t="s">
        <v>65</v>
      </c>
      <c r="E43" s="127">
        <f>E44</f>
        <v>43900</v>
      </c>
      <c r="F43" s="127">
        <f>F44</f>
        <v>43900</v>
      </c>
      <c r="G43" s="94"/>
    </row>
    <row r="44" spans="1:7" s="95" customFormat="1" ht="19.5" customHeight="1">
      <c r="A44" s="194"/>
      <c r="B44" s="93"/>
      <c r="C44" s="66"/>
      <c r="D44" s="581" t="s">
        <v>404</v>
      </c>
      <c r="E44" s="407">
        <f>SUM(E45:E49)</f>
        <v>43900</v>
      </c>
      <c r="F44" s="407">
        <f>SUM(F45:F49)</f>
        <v>43900</v>
      </c>
      <c r="G44" s="94"/>
    </row>
    <row r="45" spans="1:7" s="95" customFormat="1" ht="19.5" customHeight="1">
      <c r="A45" s="193"/>
      <c r="B45" s="158"/>
      <c r="C45" s="225">
        <v>4110</v>
      </c>
      <c r="D45" s="227" t="s">
        <v>174</v>
      </c>
      <c r="E45" s="150"/>
      <c r="F45" s="150">
        <v>6000</v>
      </c>
      <c r="G45" s="94"/>
    </row>
    <row r="46" spans="1:7" s="22" customFormat="1" ht="19.5" customHeight="1">
      <c r="A46" s="193"/>
      <c r="B46" s="158"/>
      <c r="C46" s="225">
        <v>4120</v>
      </c>
      <c r="D46" s="227" t="s">
        <v>175</v>
      </c>
      <c r="E46" s="150"/>
      <c r="F46" s="150">
        <v>900</v>
      </c>
      <c r="G46" s="47"/>
    </row>
    <row r="47" spans="1:7" s="22" customFormat="1" ht="19.5" customHeight="1">
      <c r="A47" s="193"/>
      <c r="B47" s="158"/>
      <c r="C47" s="225">
        <v>4170</v>
      </c>
      <c r="D47" s="227" t="s">
        <v>128</v>
      </c>
      <c r="E47" s="150"/>
      <c r="F47" s="150">
        <v>35000</v>
      </c>
      <c r="G47" s="47"/>
    </row>
    <row r="48" spans="1:7" s="22" customFormat="1" ht="19.5" customHeight="1">
      <c r="A48" s="193"/>
      <c r="B48" s="158"/>
      <c r="C48" s="225">
        <v>4300</v>
      </c>
      <c r="D48" s="227" t="s">
        <v>119</v>
      </c>
      <c r="E48" s="150">
        <v>43900</v>
      </c>
      <c r="F48" s="150"/>
      <c r="G48" s="47"/>
    </row>
    <row r="49" spans="1:7" s="95" customFormat="1" ht="19.5" customHeight="1">
      <c r="A49" s="193"/>
      <c r="B49" s="228"/>
      <c r="C49" s="225">
        <v>4410</v>
      </c>
      <c r="D49" s="227" t="s">
        <v>178</v>
      </c>
      <c r="E49" s="150"/>
      <c r="F49" s="150">
        <v>2000</v>
      </c>
      <c r="G49" s="94"/>
    </row>
    <row r="50" spans="1:7" s="146" customFormat="1" ht="19.5" customHeight="1">
      <c r="A50" s="81"/>
      <c r="B50" s="78">
        <v>75023</v>
      </c>
      <c r="C50" s="78"/>
      <c r="D50" s="78" t="s">
        <v>120</v>
      </c>
      <c r="E50" s="127">
        <f>E51+E54</f>
        <v>20000</v>
      </c>
      <c r="F50" s="127">
        <f>F51+F54</f>
        <v>80000</v>
      </c>
      <c r="G50" s="145"/>
    </row>
    <row r="51" spans="1:7" s="22" customFormat="1" ht="19.5" customHeight="1">
      <c r="A51" s="194"/>
      <c r="B51" s="202"/>
      <c r="C51" s="106"/>
      <c r="D51" s="100" t="s">
        <v>121</v>
      </c>
      <c r="E51" s="134"/>
      <c r="F51" s="134">
        <f>SUM(F52:F53)</f>
        <v>80000</v>
      </c>
      <c r="G51" s="47"/>
    </row>
    <row r="52" spans="1:7" s="95" customFormat="1" ht="19.5" customHeight="1">
      <c r="A52" s="193"/>
      <c r="B52" s="158"/>
      <c r="C52" s="82">
        <v>3020</v>
      </c>
      <c r="D52" s="409" t="s">
        <v>281</v>
      </c>
      <c r="E52" s="135"/>
      <c r="F52" s="135">
        <v>20000</v>
      </c>
      <c r="G52" s="94"/>
    </row>
    <row r="53" spans="1:7" s="95" customFormat="1" ht="19.5" customHeight="1">
      <c r="A53" s="193"/>
      <c r="B53" s="158"/>
      <c r="C53" s="361">
        <v>4430</v>
      </c>
      <c r="D53" s="739" t="s">
        <v>6</v>
      </c>
      <c r="E53" s="435"/>
      <c r="F53" s="435">
        <v>60000</v>
      </c>
      <c r="G53" s="94"/>
    </row>
    <row r="54" spans="1:7" s="95" customFormat="1" ht="19.5" customHeight="1">
      <c r="A54" s="194"/>
      <c r="B54" s="202"/>
      <c r="C54" s="106"/>
      <c r="D54" s="100" t="s">
        <v>146</v>
      </c>
      <c r="E54" s="134">
        <f>E55</f>
        <v>20000</v>
      </c>
      <c r="F54" s="134"/>
      <c r="G54" s="94"/>
    </row>
    <row r="55" spans="1:7" s="95" customFormat="1" ht="19.5" customHeight="1">
      <c r="A55" s="210"/>
      <c r="B55" s="228"/>
      <c r="C55" s="225">
        <v>4110</v>
      </c>
      <c r="D55" s="227" t="s">
        <v>174</v>
      </c>
      <c r="E55" s="135">
        <v>20000</v>
      </c>
      <c r="F55" s="135"/>
      <c r="G55" s="94"/>
    </row>
    <row r="56" spans="1:7" s="95" customFormat="1" ht="28.5" customHeight="1">
      <c r="A56" s="803"/>
      <c r="B56" s="804"/>
      <c r="C56" s="805"/>
      <c r="D56" s="806"/>
      <c r="E56" s="807"/>
      <c r="F56" s="807"/>
      <c r="G56" s="94"/>
    </row>
    <row r="57" spans="1:10" s="22" customFormat="1" ht="19.5" customHeight="1">
      <c r="A57" s="328">
        <v>801</v>
      </c>
      <c r="B57" s="73"/>
      <c r="C57" s="73"/>
      <c r="D57" s="92" t="s">
        <v>103</v>
      </c>
      <c r="E57" s="75">
        <f>E58</f>
        <v>448514</v>
      </c>
      <c r="F57" s="75"/>
      <c r="G57" s="47"/>
      <c r="H57" s="47"/>
      <c r="J57" s="47"/>
    </row>
    <row r="58" spans="1:10" s="95" customFormat="1" ht="19.5" customHeight="1">
      <c r="A58" s="76"/>
      <c r="B58" s="77">
        <v>80130</v>
      </c>
      <c r="C58" s="77"/>
      <c r="D58" s="77" t="s">
        <v>148</v>
      </c>
      <c r="E58" s="79">
        <f>E59</f>
        <v>448514</v>
      </c>
      <c r="F58" s="79"/>
      <c r="G58" s="128"/>
      <c r="H58" s="128"/>
      <c r="J58" s="94"/>
    </row>
    <row r="59" spans="1:7" s="121" customFormat="1" ht="19.5" customHeight="1">
      <c r="A59" s="80"/>
      <c r="B59" s="66"/>
      <c r="C59" s="66"/>
      <c r="D59" s="66" t="s">
        <v>384</v>
      </c>
      <c r="E59" s="528">
        <f>E61</f>
        <v>448514</v>
      </c>
      <c r="F59" s="528"/>
      <c r="G59" s="128"/>
    </row>
    <row r="60" spans="1:7" s="121" customFormat="1" ht="19.5" customHeight="1">
      <c r="A60" s="192"/>
      <c r="B60" s="81"/>
      <c r="C60" s="81"/>
      <c r="D60" s="357" t="s">
        <v>341</v>
      </c>
      <c r="E60" s="359">
        <v>448514</v>
      </c>
      <c r="F60" s="359"/>
      <c r="G60" s="128"/>
    </row>
    <row r="61" spans="1:7" s="148" customFormat="1" ht="19.5" customHeight="1">
      <c r="A61" s="417"/>
      <c r="B61" s="82"/>
      <c r="C61" s="82">
        <v>6050</v>
      </c>
      <c r="D61" s="83" t="s">
        <v>205</v>
      </c>
      <c r="E61" s="343">
        <f>E60</f>
        <v>448514</v>
      </c>
      <c r="F61" s="343"/>
      <c r="G61" s="147"/>
    </row>
    <row r="62" spans="1:7" s="121" customFormat="1" ht="19.5" customHeight="1">
      <c r="A62" s="328">
        <v>854</v>
      </c>
      <c r="B62" s="73"/>
      <c r="C62" s="73"/>
      <c r="D62" s="92" t="s">
        <v>105</v>
      </c>
      <c r="E62" s="96">
        <f>E63</f>
        <v>59000</v>
      </c>
      <c r="F62" s="96"/>
      <c r="G62" s="128"/>
    </row>
    <row r="63" spans="1:7" s="121" customFormat="1" ht="19.5" customHeight="1">
      <c r="A63" s="76"/>
      <c r="B63" s="77">
        <v>85403</v>
      </c>
      <c r="C63" s="77"/>
      <c r="D63" s="231" t="s">
        <v>324</v>
      </c>
      <c r="E63" s="136">
        <f>E64</f>
        <v>59000</v>
      </c>
      <c r="F63" s="136"/>
      <c r="G63" s="128"/>
    </row>
    <row r="64" spans="1:7" s="121" customFormat="1" ht="19.5" customHeight="1">
      <c r="A64" s="80"/>
      <c r="B64" s="353"/>
      <c r="C64" s="66"/>
      <c r="D64" s="66" t="s">
        <v>384</v>
      </c>
      <c r="E64" s="358">
        <f>E66</f>
        <v>59000</v>
      </c>
      <c r="F64" s="358"/>
      <c r="G64" s="128"/>
    </row>
    <row r="65" spans="1:7" s="121" customFormat="1" ht="19.5" customHeight="1">
      <c r="A65" s="192"/>
      <c r="B65" s="81"/>
      <c r="C65" s="81"/>
      <c r="D65" s="357" t="s">
        <v>486</v>
      </c>
      <c r="E65" s="359">
        <v>59000</v>
      </c>
      <c r="F65" s="359"/>
      <c r="G65" s="128"/>
    </row>
    <row r="66" spans="1:7" s="148" customFormat="1" ht="19.5" customHeight="1">
      <c r="A66" s="192"/>
      <c r="B66" s="81"/>
      <c r="C66" s="82">
        <v>6050</v>
      </c>
      <c r="D66" s="83" t="s">
        <v>205</v>
      </c>
      <c r="E66" s="343">
        <f>E65</f>
        <v>59000</v>
      </c>
      <c r="F66" s="343"/>
      <c r="G66" s="147"/>
    </row>
    <row r="67" spans="1:7" ht="19.5" customHeight="1">
      <c r="A67" s="66"/>
      <c r="B67" s="67"/>
      <c r="C67" s="68"/>
      <c r="D67" s="64" t="s">
        <v>380</v>
      </c>
      <c r="E67" s="65">
        <f>E68+E105</f>
        <v>196187</v>
      </c>
      <c r="F67" s="65">
        <f>F68+F105</f>
        <v>54143</v>
      </c>
      <c r="G67" s="47">
        <f>F67-E67</f>
        <v>-142044</v>
      </c>
    </row>
    <row r="68" spans="1:7" ht="19.5" customHeight="1" thickBot="1">
      <c r="A68" s="69"/>
      <c r="B68" s="69"/>
      <c r="C68" s="69"/>
      <c r="D68" s="70" t="s">
        <v>117</v>
      </c>
      <c r="E68" s="71">
        <f>E86+E69</f>
        <v>165257</v>
      </c>
      <c r="F68" s="71">
        <f>F86+F69</f>
        <v>23000</v>
      </c>
      <c r="G68" s="47">
        <f>F68-E68</f>
        <v>-142257</v>
      </c>
    </row>
    <row r="69" spans="1:7" s="22" customFormat="1" ht="18.75" customHeight="1" thickTop="1">
      <c r="A69" s="72">
        <v>801</v>
      </c>
      <c r="B69" s="89"/>
      <c r="C69" s="73"/>
      <c r="D69" s="92" t="s">
        <v>103</v>
      </c>
      <c r="E69" s="87">
        <f>E70+E73+E77+E80+E83</f>
        <v>138700</v>
      </c>
      <c r="F69" s="87"/>
      <c r="G69" s="47">
        <f>F69-E69</f>
        <v>-138700</v>
      </c>
    </row>
    <row r="70" spans="1:7" s="22" customFormat="1" ht="18.75" customHeight="1">
      <c r="A70" s="76"/>
      <c r="B70" s="77">
        <v>80101</v>
      </c>
      <c r="C70" s="485"/>
      <c r="D70" s="77" t="s">
        <v>265</v>
      </c>
      <c r="E70" s="79">
        <f>E71</f>
        <v>80000</v>
      </c>
      <c r="F70" s="79"/>
      <c r="G70" s="47"/>
    </row>
    <row r="71" spans="1:7" s="22" customFormat="1" ht="18.75" customHeight="1">
      <c r="A71" s="80"/>
      <c r="B71" s="66"/>
      <c r="C71" s="66"/>
      <c r="D71" s="414" t="s">
        <v>121</v>
      </c>
      <c r="E71" s="432">
        <f>E72</f>
        <v>80000</v>
      </c>
      <c r="F71" s="432"/>
      <c r="G71" s="47"/>
    </row>
    <row r="72" spans="1:7" s="22" customFormat="1" ht="18.75" customHeight="1">
      <c r="A72" s="192"/>
      <c r="B72" s="82"/>
      <c r="C72" s="130">
        <v>4260</v>
      </c>
      <c r="D72" s="83" t="s">
        <v>176</v>
      </c>
      <c r="E72" s="84">
        <v>80000</v>
      </c>
      <c r="F72" s="84"/>
      <c r="G72" s="47"/>
    </row>
    <row r="73" spans="1:7" s="22" customFormat="1" ht="18.75" customHeight="1">
      <c r="A73" s="76"/>
      <c r="B73" s="77">
        <v>80104</v>
      </c>
      <c r="C73" s="77"/>
      <c r="D73" s="77" t="s">
        <v>149</v>
      </c>
      <c r="E73" s="79">
        <f>E74</f>
        <v>3800</v>
      </c>
      <c r="F73" s="79"/>
      <c r="G73" s="47"/>
    </row>
    <row r="74" spans="1:7" s="22" customFormat="1" ht="18.75" customHeight="1">
      <c r="A74" s="80"/>
      <c r="B74" s="66"/>
      <c r="C74" s="66"/>
      <c r="D74" s="414" t="s">
        <v>121</v>
      </c>
      <c r="E74" s="432">
        <f>SUM(E75:E76)</f>
        <v>3800</v>
      </c>
      <c r="F74" s="432"/>
      <c r="G74" s="47"/>
    </row>
    <row r="75" spans="1:7" s="22" customFormat="1" ht="18.75" customHeight="1">
      <c r="A75" s="192"/>
      <c r="B75" s="81"/>
      <c r="C75" s="130">
        <v>4260</v>
      </c>
      <c r="D75" s="83" t="s">
        <v>176</v>
      </c>
      <c r="E75" s="84">
        <v>3500</v>
      </c>
      <c r="F75" s="84"/>
      <c r="G75" s="47"/>
    </row>
    <row r="76" spans="1:7" s="22" customFormat="1" ht="18.75" customHeight="1">
      <c r="A76" s="192"/>
      <c r="B76" s="82"/>
      <c r="C76" s="130">
        <v>4300</v>
      </c>
      <c r="D76" s="83" t="s">
        <v>119</v>
      </c>
      <c r="E76" s="84">
        <v>300</v>
      </c>
      <c r="F76" s="84"/>
      <c r="G76" s="47"/>
    </row>
    <row r="77" spans="1:10" s="95" customFormat="1" ht="18.75" customHeight="1">
      <c r="A77" s="76"/>
      <c r="B77" s="78">
        <v>80110</v>
      </c>
      <c r="C77" s="78"/>
      <c r="D77" s="78" t="s">
        <v>266</v>
      </c>
      <c r="E77" s="406">
        <f>E78</f>
        <v>28000</v>
      </c>
      <c r="F77" s="406"/>
      <c r="G77" s="128"/>
      <c r="H77" s="128"/>
      <c r="J77" s="94"/>
    </row>
    <row r="78" spans="1:10" s="95" customFormat="1" ht="18.75" customHeight="1">
      <c r="A78" s="80"/>
      <c r="B78" s="353"/>
      <c r="C78" s="353"/>
      <c r="D78" s="416" t="s">
        <v>121</v>
      </c>
      <c r="E78" s="442">
        <f>E79</f>
        <v>28000</v>
      </c>
      <c r="F78" s="442"/>
      <c r="G78" s="128"/>
      <c r="H78" s="128"/>
      <c r="J78" s="94"/>
    </row>
    <row r="79" spans="1:10" s="443" customFormat="1" ht="18.75" customHeight="1">
      <c r="A79" s="192"/>
      <c r="B79" s="81"/>
      <c r="C79" s="82">
        <v>4260</v>
      </c>
      <c r="D79" s="413" t="s">
        <v>176</v>
      </c>
      <c r="E79" s="449">
        <v>28000</v>
      </c>
      <c r="F79" s="449"/>
      <c r="G79" s="147"/>
      <c r="H79" s="147"/>
      <c r="J79" s="444"/>
    </row>
    <row r="80" spans="1:10" s="95" customFormat="1" ht="18.75" customHeight="1">
      <c r="A80" s="76"/>
      <c r="B80" s="77">
        <v>80120</v>
      </c>
      <c r="C80" s="77"/>
      <c r="D80" s="77" t="s">
        <v>267</v>
      </c>
      <c r="E80" s="79">
        <f>E81</f>
        <v>16420</v>
      </c>
      <c r="F80" s="79"/>
      <c r="G80" s="128"/>
      <c r="H80" s="128"/>
      <c r="J80" s="94"/>
    </row>
    <row r="81" spans="1:10" s="95" customFormat="1" ht="18.75" customHeight="1">
      <c r="A81" s="80"/>
      <c r="B81" s="353"/>
      <c r="C81" s="353"/>
      <c r="D81" s="416" t="s">
        <v>121</v>
      </c>
      <c r="E81" s="442">
        <f>E82</f>
        <v>16420</v>
      </c>
      <c r="F81" s="442"/>
      <c r="G81" s="128"/>
      <c r="H81" s="128"/>
      <c r="J81" s="94"/>
    </row>
    <row r="82" spans="1:10" s="148" customFormat="1" ht="18.75" customHeight="1">
      <c r="A82" s="192"/>
      <c r="B82" s="81"/>
      <c r="C82" s="107">
        <v>4260</v>
      </c>
      <c r="D82" s="589" t="s">
        <v>176</v>
      </c>
      <c r="E82" s="135">
        <v>16420</v>
      </c>
      <c r="F82" s="135"/>
      <c r="G82" s="147"/>
      <c r="H82" s="147"/>
      <c r="J82" s="147"/>
    </row>
    <row r="83" spans="1:10" s="95" customFormat="1" ht="18.75" customHeight="1">
      <c r="A83" s="76"/>
      <c r="B83" s="77">
        <v>80130</v>
      </c>
      <c r="C83" s="77"/>
      <c r="D83" s="77" t="s">
        <v>148</v>
      </c>
      <c r="E83" s="79">
        <f>E84</f>
        <v>10480</v>
      </c>
      <c r="F83" s="79"/>
      <c r="G83" s="128"/>
      <c r="H83" s="128"/>
      <c r="J83" s="94"/>
    </row>
    <row r="84" spans="1:10" s="95" customFormat="1" ht="18.75" customHeight="1">
      <c r="A84" s="80"/>
      <c r="B84" s="66"/>
      <c r="C84" s="353"/>
      <c r="D84" s="416" t="s">
        <v>121</v>
      </c>
      <c r="E84" s="442">
        <f>E85</f>
        <v>10480</v>
      </c>
      <c r="F84" s="442"/>
      <c r="G84" s="128"/>
      <c r="H84" s="128"/>
      <c r="J84" s="94"/>
    </row>
    <row r="85" spans="1:10" s="443" customFormat="1" ht="18.75" customHeight="1">
      <c r="A85" s="417"/>
      <c r="B85" s="82"/>
      <c r="C85" s="82">
        <v>4260</v>
      </c>
      <c r="D85" s="413" t="s">
        <v>176</v>
      </c>
      <c r="E85" s="429">
        <v>10480</v>
      </c>
      <c r="F85" s="429"/>
      <c r="G85" s="147"/>
      <c r="H85" s="147"/>
      <c r="J85" s="444"/>
    </row>
    <row r="86" spans="1:7" s="22" customFormat="1" ht="19.5" customHeight="1">
      <c r="A86" s="89">
        <v>854</v>
      </c>
      <c r="B86" s="73"/>
      <c r="C86" s="73"/>
      <c r="D86" s="89" t="s">
        <v>105</v>
      </c>
      <c r="E86" s="96">
        <f>E87+E90+E101</f>
        <v>26557</v>
      </c>
      <c r="F86" s="96">
        <f>F87+F90+F101</f>
        <v>23000</v>
      </c>
      <c r="G86" s="47">
        <f>F86-E86</f>
        <v>-3557</v>
      </c>
    </row>
    <row r="87" spans="1:10" s="95" customFormat="1" ht="19.5" customHeight="1">
      <c r="A87" s="76"/>
      <c r="B87" s="78">
        <v>85410</v>
      </c>
      <c r="C87" s="78"/>
      <c r="D87" s="78" t="s">
        <v>274</v>
      </c>
      <c r="E87" s="406"/>
      <c r="F87" s="406">
        <f>F88</f>
        <v>20000</v>
      </c>
      <c r="G87" s="128"/>
      <c r="H87" s="128"/>
      <c r="J87" s="94"/>
    </row>
    <row r="88" spans="1:10" s="95" customFormat="1" ht="19.5" customHeight="1">
      <c r="A88" s="80"/>
      <c r="B88" s="353"/>
      <c r="C88" s="353"/>
      <c r="D88" s="416" t="s">
        <v>121</v>
      </c>
      <c r="E88" s="442"/>
      <c r="F88" s="442">
        <f>F89</f>
        <v>20000</v>
      </c>
      <c r="G88" s="128"/>
      <c r="H88" s="128"/>
      <c r="J88" s="94"/>
    </row>
    <row r="89" spans="1:10" s="443" customFormat="1" ht="19.5" customHeight="1">
      <c r="A89" s="192"/>
      <c r="B89" s="82"/>
      <c r="C89" s="82">
        <v>4260</v>
      </c>
      <c r="D89" s="413" t="s">
        <v>176</v>
      </c>
      <c r="E89" s="429"/>
      <c r="F89" s="429">
        <v>20000</v>
      </c>
      <c r="G89" s="147"/>
      <c r="H89" s="147"/>
      <c r="J89" s="444"/>
    </row>
    <row r="90" spans="1:7" s="95" customFormat="1" ht="19.5" customHeight="1">
      <c r="A90" s="172"/>
      <c r="B90" s="200">
        <v>85415</v>
      </c>
      <c r="C90" s="200"/>
      <c r="D90" s="200" t="s">
        <v>264</v>
      </c>
      <c r="E90" s="406">
        <f>E91+E93+E95</f>
        <v>24557</v>
      </c>
      <c r="F90" s="406">
        <f>F91+F93+F95</f>
        <v>3000</v>
      </c>
      <c r="G90" s="94">
        <f>F90-E90</f>
        <v>-21557</v>
      </c>
    </row>
    <row r="91" spans="1:7" s="95" customFormat="1" ht="19.5" customHeight="1">
      <c r="A91" s="172"/>
      <c r="B91" s="172"/>
      <c r="C91" s="580"/>
      <c r="D91" s="199" t="s">
        <v>372</v>
      </c>
      <c r="E91" s="442">
        <f>E92</f>
        <v>213</v>
      </c>
      <c r="F91" s="442"/>
      <c r="G91" s="94"/>
    </row>
    <row r="92" spans="1:7" s="95" customFormat="1" ht="19.5" customHeight="1">
      <c r="A92" s="172"/>
      <c r="B92" s="172"/>
      <c r="C92" s="82">
        <v>3240</v>
      </c>
      <c r="D92" s="590" t="s">
        <v>213</v>
      </c>
      <c r="E92" s="429">
        <v>213</v>
      </c>
      <c r="F92" s="429"/>
      <c r="G92" s="94"/>
    </row>
    <row r="93" spans="1:7" s="22" customFormat="1" ht="19.5" customHeight="1">
      <c r="A93" s="80"/>
      <c r="B93" s="66"/>
      <c r="C93" s="66"/>
      <c r="D93" s="199" t="s">
        <v>212</v>
      </c>
      <c r="E93" s="442">
        <f>E94</f>
        <v>1344</v>
      </c>
      <c r="F93" s="349"/>
      <c r="G93" s="47"/>
    </row>
    <row r="94" spans="1:7" s="22" customFormat="1" ht="19.5" customHeight="1">
      <c r="A94" s="192"/>
      <c r="B94" s="81"/>
      <c r="C94" s="82">
        <v>3240</v>
      </c>
      <c r="D94" s="82" t="s">
        <v>213</v>
      </c>
      <c r="E94" s="429">
        <v>1344</v>
      </c>
      <c r="F94" s="350"/>
      <c r="G94" s="47"/>
    </row>
    <row r="95" spans="1:7" s="22" customFormat="1" ht="19.5" customHeight="1">
      <c r="A95" s="80"/>
      <c r="B95" s="66"/>
      <c r="C95" s="66"/>
      <c r="D95" s="199" t="s">
        <v>382</v>
      </c>
      <c r="E95" s="349">
        <f>SUM(E96:E100)</f>
        <v>23000</v>
      </c>
      <c r="F95" s="349">
        <f>SUM(F96:F100)</f>
        <v>3000</v>
      </c>
      <c r="G95" s="47"/>
    </row>
    <row r="96" spans="1:7" s="22" customFormat="1" ht="19.5" customHeight="1">
      <c r="A96" s="192"/>
      <c r="B96" s="81"/>
      <c r="C96" s="82">
        <v>4110</v>
      </c>
      <c r="D96" s="413" t="s">
        <v>174</v>
      </c>
      <c r="E96" s="429">
        <v>2996</v>
      </c>
      <c r="F96" s="350"/>
      <c r="G96" s="47"/>
    </row>
    <row r="97" spans="1:10" s="148" customFormat="1" ht="19.5" customHeight="1">
      <c r="A97" s="192"/>
      <c r="B97" s="81"/>
      <c r="C97" s="82">
        <v>4120</v>
      </c>
      <c r="D97" s="413" t="s">
        <v>175</v>
      </c>
      <c r="E97" s="142">
        <v>374</v>
      </c>
      <c r="F97" s="142"/>
      <c r="G97" s="147"/>
      <c r="H97" s="147"/>
      <c r="J97" s="147"/>
    </row>
    <row r="98" spans="1:10" s="148" customFormat="1" ht="19.5" customHeight="1">
      <c r="A98" s="192"/>
      <c r="B98" s="81"/>
      <c r="C98" s="82">
        <v>4170</v>
      </c>
      <c r="D98" s="413" t="s">
        <v>128</v>
      </c>
      <c r="E98" s="142">
        <v>15500</v>
      </c>
      <c r="F98" s="142"/>
      <c r="G98" s="147"/>
      <c r="H98" s="147"/>
      <c r="J98" s="147"/>
    </row>
    <row r="99" spans="1:10" s="148" customFormat="1" ht="19.5" customHeight="1">
      <c r="A99" s="192"/>
      <c r="B99" s="81"/>
      <c r="C99" s="361">
        <v>4210</v>
      </c>
      <c r="D99" s="362" t="s">
        <v>118</v>
      </c>
      <c r="E99" s="463">
        <v>4130</v>
      </c>
      <c r="F99" s="463"/>
      <c r="G99" s="147"/>
      <c r="H99" s="147"/>
      <c r="J99" s="147"/>
    </row>
    <row r="100" spans="1:10" s="148" customFormat="1" ht="19.5" customHeight="1">
      <c r="A100" s="192"/>
      <c r="B100" s="81"/>
      <c r="C100" s="81">
        <v>4300</v>
      </c>
      <c r="D100" s="362" t="s">
        <v>119</v>
      </c>
      <c r="E100" s="435"/>
      <c r="F100" s="435">
        <v>3000</v>
      </c>
      <c r="G100" s="147"/>
      <c r="H100" s="147"/>
      <c r="J100" s="147"/>
    </row>
    <row r="101" spans="1:10" s="95" customFormat="1" ht="19.5" customHeight="1">
      <c r="A101" s="76"/>
      <c r="B101" s="77">
        <v>85495</v>
      </c>
      <c r="C101" s="77"/>
      <c r="D101" s="77" t="s">
        <v>102</v>
      </c>
      <c r="E101" s="79">
        <f>E102</f>
        <v>2000</v>
      </c>
      <c r="F101" s="79"/>
      <c r="G101" s="128"/>
      <c r="H101" s="128"/>
      <c r="J101" s="94"/>
    </row>
    <row r="102" spans="1:10" s="95" customFormat="1" ht="19.5" customHeight="1">
      <c r="A102" s="80"/>
      <c r="B102" s="353"/>
      <c r="C102" s="353"/>
      <c r="D102" s="353" t="s">
        <v>354</v>
      </c>
      <c r="E102" s="447">
        <f>E103</f>
        <v>2000</v>
      </c>
      <c r="F102" s="447"/>
      <c r="G102" s="128"/>
      <c r="H102" s="128"/>
      <c r="J102" s="94"/>
    </row>
    <row r="103" spans="1:10" s="95" customFormat="1" ht="19.5" customHeight="1">
      <c r="A103" s="80"/>
      <c r="B103" s="66"/>
      <c r="C103" s="66"/>
      <c r="D103" s="456" t="s">
        <v>121</v>
      </c>
      <c r="E103" s="458">
        <f>E104</f>
        <v>2000</v>
      </c>
      <c r="F103" s="458"/>
      <c r="G103" s="128"/>
      <c r="H103" s="128"/>
      <c r="J103" s="94"/>
    </row>
    <row r="104" spans="1:10" s="95" customFormat="1" ht="19.5" customHeight="1">
      <c r="A104" s="80"/>
      <c r="B104" s="66"/>
      <c r="C104" s="82">
        <v>4220</v>
      </c>
      <c r="D104" s="413" t="s">
        <v>181</v>
      </c>
      <c r="E104" s="142">
        <v>2000</v>
      </c>
      <c r="F104" s="142"/>
      <c r="G104" s="128"/>
      <c r="H104" s="128"/>
      <c r="J104" s="94"/>
    </row>
    <row r="105" spans="1:7" ht="19.5" customHeight="1" thickBot="1">
      <c r="A105" s="69"/>
      <c r="B105" s="69"/>
      <c r="C105" s="69"/>
      <c r="D105" s="70" t="s">
        <v>129</v>
      </c>
      <c r="E105" s="71">
        <f>E106+E126</f>
        <v>30930</v>
      </c>
      <c r="F105" s="71">
        <f>F106+F126</f>
        <v>31143</v>
      </c>
      <c r="G105" s="47"/>
    </row>
    <row r="106" spans="1:7" s="22" customFormat="1" ht="19.5" customHeight="1" thickTop="1">
      <c r="A106" s="72">
        <v>801</v>
      </c>
      <c r="B106" s="89"/>
      <c r="C106" s="73"/>
      <c r="D106" s="92" t="s">
        <v>103</v>
      </c>
      <c r="E106" s="87">
        <f>E107</f>
        <v>30930</v>
      </c>
      <c r="F106" s="87">
        <f>F107</f>
        <v>30930</v>
      </c>
      <c r="G106" s="47"/>
    </row>
    <row r="107" spans="1:7" s="22" customFormat="1" ht="19.5" customHeight="1">
      <c r="A107" s="76"/>
      <c r="B107" s="77">
        <v>80104</v>
      </c>
      <c r="C107" s="485"/>
      <c r="D107" s="77" t="s">
        <v>263</v>
      </c>
      <c r="E107" s="79">
        <f>E108</f>
        <v>30930</v>
      </c>
      <c r="F107" s="79">
        <f>F108</f>
        <v>30930</v>
      </c>
      <c r="G107" s="47"/>
    </row>
    <row r="108" spans="1:7" s="22" customFormat="1" ht="19.5" customHeight="1">
      <c r="A108" s="93"/>
      <c r="B108" s="66"/>
      <c r="C108" s="81"/>
      <c r="D108" s="581" t="s">
        <v>426</v>
      </c>
      <c r="E108" s="738">
        <f>E121+E125</f>
        <v>30930</v>
      </c>
      <c r="F108" s="738">
        <f>F121+F125</f>
        <v>30930</v>
      </c>
      <c r="G108" s="47"/>
    </row>
    <row r="109" spans="1:7" s="22" customFormat="1" ht="27.75" customHeight="1">
      <c r="A109" s="202"/>
      <c r="B109" s="344"/>
      <c r="C109" s="344"/>
      <c r="D109" s="731" t="s">
        <v>471</v>
      </c>
      <c r="E109" s="735"/>
      <c r="F109" s="735">
        <v>1002</v>
      </c>
      <c r="G109" s="47"/>
    </row>
    <row r="110" spans="1:7" s="22" customFormat="1" ht="27" customHeight="1">
      <c r="A110" s="202"/>
      <c r="B110" s="344"/>
      <c r="C110" s="66"/>
      <c r="D110" s="430" t="s">
        <v>467</v>
      </c>
      <c r="E110" s="736"/>
      <c r="F110" s="736">
        <v>1002</v>
      </c>
      <c r="G110" s="47"/>
    </row>
    <row r="111" spans="1:7" s="22" customFormat="1" ht="27.75" customHeight="1">
      <c r="A111" s="202"/>
      <c r="B111" s="344"/>
      <c r="C111" s="66"/>
      <c r="D111" s="732" t="s">
        <v>468</v>
      </c>
      <c r="E111" s="736">
        <v>2004</v>
      </c>
      <c r="F111" s="736"/>
      <c r="G111" s="47"/>
    </row>
    <row r="112" spans="1:7" s="22" customFormat="1" ht="26.25" customHeight="1">
      <c r="A112" s="809"/>
      <c r="B112" s="78"/>
      <c r="C112" s="69"/>
      <c r="D112" s="810" t="s">
        <v>472</v>
      </c>
      <c r="E112" s="737">
        <v>2021</v>
      </c>
      <c r="F112" s="737"/>
      <c r="G112" s="47"/>
    </row>
    <row r="113" spans="1:7" s="22" customFormat="1" ht="18" customHeight="1">
      <c r="A113" s="202"/>
      <c r="B113" s="344"/>
      <c r="C113" s="66"/>
      <c r="D113" s="731" t="s">
        <v>427</v>
      </c>
      <c r="E113" s="808"/>
      <c r="F113" s="808">
        <v>1046</v>
      </c>
      <c r="G113" s="47"/>
    </row>
    <row r="114" spans="1:7" s="22" customFormat="1" ht="25.5" customHeight="1">
      <c r="A114" s="202"/>
      <c r="B114" s="344"/>
      <c r="C114" s="66"/>
      <c r="D114" s="430" t="s">
        <v>473</v>
      </c>
      <c r="E114" s="736">
        <v>455</v>
      </c>
      <c r="F114" s="736"/>
      <c r="G114" s="47"/>
    </row>
    <row r="115" spans="1:7" s="22" customFormat="1" ht="27.75" customHeight="1">
      <c r="A115" s="202"/>
      <c r="B115" s="344"/>
      <c r="C115" s="66"/>
      <c r="D115" s="430" t="s">
        <v>428</v>
      </c>
      <c r="E115" s="736">
        <v>3000</v>
      </c>
      <c r="F115" s="736"/>
      <c r="G115" s="47"/>
    </row>
    <row r="116" spans="1:7" s="22" customFormat="1" ht="30" customHeight="1">
      <c r="A116" s="202"/>
      <c r="B116" s="344"/>
      <c r="C116" s="66"/>
      <c r="D116" s="430" t="s">
        <v>429</v>
      </c>
      <c r="E116" s="736"/>
      <c r="F116" s="736">
        <v>5344</v>
      </c>
      <c r="G116" s="47"/>
    </row>
    <row r="117" spans="1:7" s="22" customFormat="1" ht="27" customHeight="1">
      <c r="A117" s="202"/>
      <c r="B117" s="344"/>
      <c r="C117" s="66"/>
      <c r="D117" s="430" t="s">
        <v>474</v>
      </c>
      <c r="E117" s="736">
        <v>1582</v>
      </c>
      <c r="F117" s="736"/>
      <c r="G117" s="47"/>
    </row>
    <row r="118" spans="1:7" s="22" customFormat="1" ht="28.5" customHeight="1">
      <c r="A118" s="202"/>
      <c r="B118" s="344"/>
      <c r="C118" s="66"/>
      <c r="D118" s="733" t="s">
        <v>430</v>
      </c>
      <c r="E118" s="736">
        <v>4000</v>
      </c>
      <c r="F118" s="736"/>
      <c r="G118" s="47"/>
    </row>
    <row r="119" spans="1:7" s="22" customFormat="1" ht="27.75" customHeight="1">
      <c r="A119" s="202"/>
      <c r="B119" s="344"/>
      <c r="C119" s="66"/>
      <c r="D119" s="430" t="s">
        <v>0</v>
      </c>
      <c r="E119" s="736"/>
      <c r="F119" s="736">
        <v>4000</v>
      </c>
      <c r="G119" s="47"/>
    </row>
    <row r="120" spans="1:7" s="22" customFormat="1" ht="40.5" customHeight="1">
      <c r="A120" s="202"/>
      <c r="B120" s="344"/>
      <c r="C120" s="66"/>
      <c r="D120" s="733" t="s">
        <v>1</v>
      </c>
      <c r="E120" s="736"/>
      <c r="F120" s="736">
        <v>668</v>
      </c>
      <c r="G120" s="47"/>
    </row>
    <row r="121" spans="1:7" s="22" customFormat="1" ht="19.5" customHeight="1">
      <c r="A121" s="66"/>
      <c r="B121" s="66"/>
      <c r="C121" s="82">
        <v>2540</v>
      </c>
      <c r="D121" s="409" t="s">
        <v>2</v>
      </c>
      <c r="E121" s="737">
        <f>SUM(E109:E120)</f>
        <v>13062</v>
      </c>
      <c r="F121" s="737">
        <f>SUM(F109:F120)</f>
        <v>13062</v>
      </c>
      <c r="G121" s="47"/>
    </row>
    <row r="122" spans="1:7" s="22" customFormat="1" ht="28.5" customHeight="1">
      <c r="A122" s="202"/>
      <c r="B122" s="344"/>
      <c r="C122" s="344"/>
      <c r="D122" s="734" t="s">
        <v>3</v>
      </c>
      <c r="E122" s="736"/>
      <c r="F122" s="736">
        <v>14308</v>
      </c>
      <c r="G122" s="47"/>
    </row>
    <row r="123" spans="1:7" s="22" customFormat="1" ht="28.5" customHeight="1">
      <c r="A123" s="202"/>
      <c r="B123" s="344"/>
      <c r="C123" s="66"/>
      <c r="D123" s="430" t="s">
        <v>475</v>
      </c>
      <c r="E123" s="736">
        <v>17868</v>
      </c>
      <c r="F123" s="736"/>
      <c r="G123" s="47"/>
    </row>
    <row r="124" spans="1:7" s="22" customFormat="1" ht="27" customHeight="1">
      <c r="A124" s="202"/>
      <c r="B124" s="344"/>
      <c r="C124" s="66"/>
      <c r="D124" s="731" t="s">
        <v>4</v>
      </c>
      <c r="E124" s="736"/>
      <c r="F124" s="736">
        <v>3560</v>
      </c>
      <c r="G124" s="47"/>
    </row>
    <row r="125" spans="1:7" s="22" customFormat="1" ht="38.25" customHeight="1">
      <c r="A125" s="202"/>
      <c r="B125" s="344"/>
      <c r="C125" s="82">
        <v>2590</v>
      </c>
      <c r="D125" s="712" t="s">
        <v>5</v>
      </c>
      <c r="E125" s="737">
        <f>SUM(E122:E124)</f>
        <v>17868</v>
      </c>
      <c r="F125" s="737">
        <f>SUM(F122:F124)</f>
        <v>17868</v>
      </c>
      <c r="G125" s="47"/>
    </row>
    <row r="126" spans="1:7" s="22" customFormat="1" ht="19.5" customHeight="1">
      <c r="A126" s="89">
        <v>854</v>
      </c>
      <c r="B126" s="89"/>
      <c r="C126" s="743"/>
      <c r="D126" s="607" t="s">
        <v>105</v>
      </c>
      <c r="E126" s="745"/>
      <c r="F126" s="749">
        <f>F127</f>
        <v>213</v>
      </c>
      <c r="G126" s="47"/>
    </row>
    <row r="127" spans="1:7" s="22" customFormat="1" ht="19.5" customHeight="1">
      <c r="A127" s="202"/>
      <c r="B127" s="77">
        <v>85415</v>
      </c>
      <c r="C127" s="361"/>
      <c r="D127" s="231" t="s">
        <v>264</v>
      </c>
      <c r="E127" s="746"/>
      <c r="F127" s="750">
        <f>F128</f>
        <v>213</v>
      </c>
      <c r="G127" s="47"/>
    </row>
    <row r="128" spans="1:7" s="22" customFormat="1" ht="25.5" customHeight="1">
      <c r="A128" s="202"/>
      <c r="B128" s="344"/>
      <c r="C128" s="81"/>
      <c r="D128" s="415" t="s">
        <v>466</v>
      </c>
      <c r="E128" s="747"/>
      <c r="F128" s="197">
        <f>F129</f>
        <v>213</v>
      </c>
      <c r="G128" s="47"/>
    </row>
    <row r="129" spans="1:7" s="22" customFormat="1" ht="28.5" customHeight="1">
      <c r="A129" s="202"/>
      <c r="B129" s="344"/>
      <c r="C129" s="82">
        <v>2910</v>
      </c>
      <c r="D129" s="702" t="s">
        <v>432</v>
      </c>
      <c r="E129" s="744"/>
      <c r="F129" s="748">
        <v>213</v>
      </c>
      <c r="G129" s="47"/>
    </row>
    <row r="130" spans="1:7" s="157" customFormat="1" ht="19.5" customHeight="1">
      <c r="A130" s="153"/>
      <c r="B130" s="129"/>
      <c r="C130" s="154"/>
      <c r="D130" s="155" t="s">
        <v>440</v>
      </c>
      <c r="E130" s="156">
        <f aca="true" t="shared" si="1" ref="E130:F134">E131</f>
        <v>8000</v>
      </c>
      <c r="F130" s="156">
        <f t="shared" si="1"/>
        <v>8000</v>
      </c>
      <c r="G130" s="226"/>
    </row>
    <row r="131" spans="1:7" s="146" customFormat="1" ht="19.5" customHeight="1" thickBot="1">
      <c r="A131" s="158"/>
      <c r="B131" s="158"/>
      <c r="C131" s="228"/>
      <c r="D131" s="152" t="s">
        <v>96</v>
      </c>
      <c r="E131" s="181">
        <f t="shared" si="1"/>
        <v>8000</v>
      </c>
      <c r="F131" s="181">
        <f t="shared" si="1"/>
        <v>8000</v>
      </c>
      <c r="G131" s="145"/>
    </row>
    <row r="132" spans="1:7" s="146" customFormat="1" ht="19.5" customHeight="1" thickTop="1">
      <c r="A132" s="72">
        <v>851</v>
      </c>
      <c r="B132" s="89"/>
      <c r="C132" s="73"/>
      <c r="D132" s="92" t="s">
        <v>106</v>
      </c>
      <c r="E132" s="75">
        <f t="shared" si="1"/>
        <v>8000</v>
      </c>
      <c r="F132" s="75">
        <f t="shared" si="1"/>
        <v>8000</v>
      </c>
      <c r="G132" s="145"/>
    </row>
    <row r="133" spans="1:7" s="138" customFormat="1" ht="19.5" customHeight="1">
      <c r="A133" s="76"/>
      <c r="B133" s="78">
        <v>85154</v>
      </c>
      <c r="C133" s="78"/>
      <c r="D133" s="78" t="s">
        <v>127</v>
      </c>
      <c r="E133" s="127">
        <f t="shared" si="1"/>
        <v>8000</v>
      </c>
      <c r="F133" s="127">
        <f t="shared" si="1"/>
        <v>8000</v>
      </c>
      <c r="G133" s="137"/>
    </row>
    <row r="134" spans="1:7" s="22" customFormat="1" ht="28.5" customHeight="1">
      <c r="A134" s="811"/>
      <c r="B134" s="485"/>
      <c r="C134" s="485"/>
      <c r="D134" s="812" t="s">
        <v>386</v>
      </c>
      <c r="E134" s="813">
        <f t="shared" si="1"/>
        <v>8000</v>
      </c>
      <c r="F134" s="813">
        <f t="shared" si="1"/>
        <v>8000</v>
      </c>
      <c r="G134" s="47"/>
    </row>
    <row r="135" spans="1:7" s="22" customFormat="1" ht="19.5" customHeight="1">
      <c r="A135" s="193"/>
      <c r="B135" s="158"/>
      <c r="C135" s="66"/>
      <c r="D135" s="581" t="s">
        <v>399</v>
      </c>
      <c r="E135" s="698">
        <f>E136+E138</f>
        <v>8000</v>
      </c>
      <c r="F135" s="698">
        <f>F136+F138</f>
        <v>8000</v>
      </c>
      <c r="G135" s="47"/>
    </row>
    <row r="136" spans="1:7" s="146" customFormat="1" ht="19.5" customHeight="1">
      <c r="A136" s="193"/>
      <c r="B136" s="158"/>
      <c r="C136" s="413">
        <v>4210</v>
      </c>
      <c r="D136" s="413" t="s">
        <v>118</v>
      </c>
      <c r="E136" s="316"/>
      <c r="F136" s="316">
        <v>8000</v>
      </c>
      <c r="G136" s="145"/>
    </row>
    <row r="137" spans="1:7" s="157" customFormat="1" ht="19.5" customHeight="1">
      <c r="A137" s="193"/>
      <c r="B137" s="158"/>
      <c r="C137" s="696"/>
      <c r="D137" s="681" t="s">
        <v>292</v>
      </c>
      <c r="E137" s="697">
        <v>8000</v>
      </c>
      <c r="F137" s="697"/>
      <c r="G137" s="226"/>
    </row>
    <row r="138" spans="1:7" s="157" customFormat="1" ht="19.5" customHeight="1">
      <c r="A138" s="193"/>
      <c r="B138" s="158"/>
      <c r="C138" s="82">
        <v>6060</v>
      </c>
      <c r="D138" s="83" t="s">
        <v>155</v>
      </c>
      <c r="E138" s="316">
        <f>E137</f>
        <v>8000</v>
      </c>
      <c r="F138" s="316"/>
      <c r="G138" s="226"/>
    </row>
    <row r="139" spans="1:7" s="157" customFormat="1" ht="19.5" customHeight="1">
      <c r="A139" s="153"/>
      <c r="B139" s="129"/>
      <c r="C139" s="154"/>
      <c r="D139" s="155" t="s">
        <v>441</v>
      </c>
      <c r="E139" s="156">
        <f>E140+E189</f>
        <v>528498</v>
      </c>
      <c r="F139" s="156">
        <f>F140+F189</f>
        <v>528498</v>
      </c>
      <c r="G139" s="226"/>
    </row>
    <row r="140" spans="1:7" s="146" customFormat="1" ht="19.5" customHeight="1" thickBot="1">
      <c r="A140" s="228"/>
      <c r="B140" s="228"/>
      <c r="C140" s="228"/>
      <c r="D140" s="152" t="s">
        <v>96</v>
      </c>
      <c r="E140" s="181">
        <f>E141+E148+E155</f>
        <v>502500</v>
      </c>
      <c r="F140" s="181">
        <f>F141+F148+F155</f>
        <v>502500</v>
      </c>
      <c r="G140" s="145"/>
    </row>
    <row r="141" spans="1:7" s="138" customFormat="1" ht="19.5" customHeight="1" thickTop="1">
      <c r="A141" s="328">
        <v>851</v>
      </c>
      <c r="B141" s="73"/>
      <c r="C141" s="73"/>
      <c r="D141" s="92" t="s">
        <v>106</v>
      </c>
      <c r="E141" s="96">
        <f aca="true" t="shared" si="2" ref="E141:F143">E142</f>
        <v>3500</v>
      </c>
      <c r="F141" s="96">
        <f t="shared" si="2"/>
        <v>3500</v>
      </c>
      <c r="G141" s="137"/>
    </row>
    <row r="142" spans="1:7" s="138" customFormat="1" ht="19.5" customHeight="1">
      <c r="A142" s="76"/>
      <c r="B142" s="78">
        <v>85154</v>
      </c>
      <c r="C142" s="78"/>
      <c r="D142" s="78" t="s">
        <v>127</v>
      </c>
      <c r="E142" s="127">
        <f t="shared" si="2"/>
        <v>3500</v>
      </c>
      <c r="F142" s="127">
        <f t="shared" si="2"/>
        <v>3500</v>
      </c>
      <c r="G142" s="137"/>
    </row>
    <row r="143" spans="1:7" s="22" customFormat="1" ht="28.5" customHeight="1">
      <c r="A143" s="80"/>
      <c r="B143" s="353"/>
      <c r="C143" s="353"/>
      <c r="D143" s="411" t="s">
        <v>182</v>
      </c>
      <c r="E143" s="412">
        <f t="shared" si="2"/>
        <v>3500</v>
      </c>
      <c r="F143" s="412">
        <f t="shared" si="2"/>
        <v>3500</v>
      </c>
      <c r="G143" s="47"/>
    </row>
    <row r="144" spans="1:7" s="146" customFormat="1" ht="19.5" customHeight="1">
      <c r="A144" s="193"/>
      <c r="B144" s="158"/>
      <c r="C144" s="66"/>
      <c r="D144" s="581" t="s">
        <v>399</v>
      </c>
      <c r="E144" s="698">
        <f>E145+E147</f>
        <v>3500</v>
      </c>
      <c r="F144" s="698">
        <f>F145+F147</f>
        <v>3500</v>
      </c>
      <c r="G144" s="145"/>
    </row>
    <row r="145" spans="1:7" s="146" customFormat="1" ht="19.5" customHeight="1">
      <c r="A145" s="193"/>
      <c r="B145" s="158"/>
      <c r="C145" s="413">
        <v>4210</v>
      </c>
      <c r="D145" s="413" t="s">
        <v>118</v>
      </c>
      <c r="E145" s="316">
        <v>3500</v>
      </c>
      <c r="F145" s="316"/>
      <c r="G145" s="145"/>
    </row>
    <row r="146" spans="1:7" s="146" customFormat="1" ht="19.5" customHeight="1">
      <c r="A146" s="193"/>
      <c r="B146" s="158"/>
      <c r="C146" s="696"/>
      <c r="D146" s="681" t="s">
        <v>292</v>
      </c>
      <c r="E146" s="697"/>
      <c r="F146" s="697">
        <v>3500</v>
      </c>
      <c r="G146" s="145"/>
    </row>
    <row r="147" spans="1:7" s="146" customFormat="1" ht="19.5" customHeight="1">
      <c r="A147" s="210"/>
      <c r="B147" s="228"/>
      <c r="C147" s="82">
        <v>6060</v>
      </c>
      <c r="D147" s="83" t="s">
        <v>155</v>
      </c>
      <c r="E147" s="316"/>
      <c r="F147" s="316">
        <f>F146</f>
        <v>3500</v>
      </c>
      <c r="G147" s="145"/>
    </row>
    <row r="148" spans="1:7" s="138" customFormat="1" ht="19.5" customHeight="1">
      <c r="A148" s="328">
        <v>854</v>
      </c>
      <c r="B148" s="73"/>
      <c r="C148" s="73"/>
      <c r="D148" s="92" t="s">
        <v>105</v>
      </c>
      <c r="E148" s="96">
        <f aca="true" t="shared" si="3" ref="E148:F150">E149</f>
        <v>1500</v>
      </c>
      <c r="F148" s="96">
        <f t="shared" si="3"/>
        <v>1500</v>
      </c>
      <c r="G148" s="137"/>
    </row>
    <row r="149" spans="1:7" s="138" customFormat="1" ht="26.25" customHeight="1">
      <c r="A149" s="76"/>
      <c r="B149" s="714">
        <v>85412</v>
      </c>
      <c r="C149" s="715"/>
      <c r="D149" s="231" t="s">
        <v>30</v>
      </c>
      <c r="E149" s="136">
        <f t="shared" si="3"/>
        <v>1500</v>
      </c>
      <c r="F149" s="136">
        <f t="shared" si="3"/>
        <v>1500</v>
      </c>
      <c r="G149" s="137"/>
    </row>
    <row r="150" spans="1:7" s="22" customFormat="1" ht="30" customHeight="1">
      <c r="A150" s="80"/>
      <c r="B150" s="703"/>
      <c r="C150" s="353"/>
      <c r="D150" s="411" t="s">
        <v>31</v>
      </c>
      <c r="E150" s="716">
        <f t="shared" si="3"/>
        <v>1500</v>
      </c>
      <c r="F150" s="716">
        <f t="shared" si="3"/>
        <v>1500</v>
      </c>
      <c r="G150" s="47"/>
    </row>
    <row r="151" spans="1:7" s="22" customFormat="1" ht="19.5" customHeight="1">
      <c r="A151" s="192"/>
      <c r="B151" s="81"/>
      <c r="C151" s="66"/>
      <c r="D151" s="717" t="s">
        <v>32</v>
      </c>
      <c r="E151" s="617">
        <f>E154</f>
        <v>1500</v>
      </c>
      <c r="F151" s="617">
        <f>F154</f>
        <v>1500</v>
      </c>
      <c r="G151" s="47"/>
    </row>
    <row r="152" spans="1:7" s="146" customFormat="1" ht="19.5" customHeight="1">
      <c r="A152" s="193"/>
      <c r="B152" s="158"/>
      <c r="C152" s="66"/>
      <c r="D152" s="718" t="s">
        <v>33</v>
      </c>
      <c r="E152" s="614"/>
      <c r="F152" s="614">
        <v>1500</v>
      </c>
      <c r="G152" s="145"/>
    </row>
    <row r="153" spans="1:7" s="146" customFormat="1" ht="19.5" customHeight="1">
      <c r="A153" s="193"/>
      <c r="B153" s="158"/>
      <c r="C153" s="66"/>
      <c r="D153" s="430" t="s">
        <v>184</v>
      </c>
      <c r="E153" s="615">
        <v>1500</v>
      </c>
      <c r="F153" s="615"/>
      <c r="G153" s="145"/>
    </row>
    <row r="154" spans="1:7" s="146" customFormat="1" ht="27" customHeight="1">
      <c r="A154" s="210"/>
      <c r="B154" s="228"/>
      <c r="C154" s="82">
        <v>2820</v>
      </c>
      <c r="D154" s="409" t="s">
        <v>421</v>
      </c>
      <c r="E154" s="616">
        <f>SUM(E152:E153)</f>
        <v>1500</v>
      </c>
      <c r="F154" s="616">
        <f>SUM(F152:F153)</f>
        <v>1500</v>
      </c>
      <c r="G154" s="145"/>
    </row>
    <row r="155" spans="1:7" s="138" customFormat="1" ht="19.5" customHeight="1">
      <c r="A155" s="328">
        <v>926</v>
      </c>
      <c r="B155" s="73"/>
      <c r="C155" s="73"/>
      <c r="D155" s="92" t="s">
        <v>307</v>
      </c>
      <c r="E155" s="96">
        <f>E156</f>
        <v>497500</v>
      </c>
      <c r="F155" s="96">
        <f>F156</f>
        <v>497500</v>
      </c>
      <c r="G155" s="137"/>
    </row>
    <row r="156" spans="1:7" s="146" customFormat="1" ht="19.5" customHeight="1">
      <c r="A156" s="93"/>
      <c r="B156" s="78">
        <v>92605</v>
      </c>
      <c r="C156" s="78"/>
      <c r="D156" s="78" t="s">
        <v>322</v>
      </c>
      <c r="E156" s="723">
        <f>E157+E173</f>
        <v>497500</v>
      </c>
      <c r="F156" s="723">
        <f>F157+F173</f>
        <v>497500</v>
      </c>
      <c r="G156" s="145"/>
    </row>
    <row r="157" spans="1:7" s="146" customFormat="1" ht="19.5" customHeight="1">
      <c r="A157" s="93"/>
      <c r="B157" s="66"/>
      <c r="C157" s="66"/>
      <c r="D157" s="199" t="s">
        <v>34</v>
      </c>
      <c r="E157" s="722">
        <f>E172</f>
        <v>43000</v>
      </c>
      <c r="F157" s="722">
        <f>F172</f>
        <v>43000</v>
      </c>
      <c r="G157" s="145"/>
    </row>
    <row r="158" spans="1:7" s="146" customFormat="1" ht="19.5" customHeight="1">
      <c r="A158" s="81"/>
      <c r="B158" s="81"/>
      <c r="C158" s="81"/>
      <c r="D158" s="719" t="s">
        <v>35</v>
      </c>
      <c r="E158" s="614"/>
      <c r="F158" s="614">
        <v>3000</v>
      </c>
      <c r="G158" s="145"/>
    </row>
    <row r="159" spans="1:7" s="146" customFormat="1" ht="19.5" customHeight="1">
      <c r="A159" s="81"/>
      <c r="B159" s="81"/>
      <c r="C159" s="81"/>
      <c r="D159" s="721" t="s">
        <v>36</v>
      </c>
      <c r="E159" s="615"/>
      <c r="F159" s="615">
        <v>3000</v>
      </c>
      <c r="G159" s="145"/>
    </row>
    <row r="160" spans="1:7" s="146" customFormat="1" ht="27.75" customHeight="1">
      <c r="A160" s="82"/>
      <c r="B160" s="82"/>
      <c r="C160" s="82"/>
      <c r="D160" s="815" t="s">
        <v>38</v>
      </c>
      <c r="E160" s="616"/>
      <c r="F160" s="616">
        <v>3000</v>
      </c>
      <c r="G160" s="145"/>
    </row>
    <row r="161" spans="1:7" s="146" customFormat="1" ht="19.5" customHeight="1">
      <c r="A161" s="81"/>
      <c r="B161" s="81"/>
      <c r="C161" s="81"/>
      <c r="D161" s="721" t="s">
        <v>39</v>
      </c>
      <c r="E161" s="814"/>
      <c r="F161" s="814">
        <v>6000</v>
      </c>
      <c r="G161" s="145"/>
    </row>
    <row r="162" spans="1:7" s="146" customFormat="1" ht="19.5" customHeight="1">
      <c r="A162" s="81"/>
      <c r="B162" s="81"/>
      <c r="C162" s="81"/>
      <c r="D162" s="720" t="s">
        <v>40</v>
      </c>
      <c r="E162" s="615"/>
      <c r="F162" s="615">
        <v>3000</v>
      </c>
      <c r="G162" s="145"/>
    </row>
    <row r="163" spans="1:7" s="146" customFormat="1" ht="19.5" customHeight="1">
      <c r="A163" s="81"/>
      <c r="B163" s="81"/>
      <c r="C163" s="81"/>
      <c r="D163" s="721" t="s">
        <v>41</v>
      </c>
      <c r="E163" s="615"/>
      <c r="F163" s="615">
        <v>3000</v>
      </c>
      <c r="G163" s="145"/>
    </row>
    <row r="164" spans="1:7" s="146" customFormat="1" ht="19.5" customHeight="1">
      <c r="A164" s="81"/>
      <c r="B164" s="81"/>
      <c r="C164" s="81"/>
      <c r="D164" s="721" t="s">
        <v>43</v>
      </c>
      <c r="E164" s="615"/>
      <c r="F164" s="615">
        <v>3000</v>
      </c>
      <c r="G164" s="145"/>
    </row>
    <row r="165" spans="1:7" s="146" customFormat="1" ht="19.5" customHeight="1">
      <c r="A165" s="81"/>
      <c r="B165" s="81"/>
      <c r="C165" s="81"/>
      <c r="D165" s="721" t="s">
        <v>47</v>
      </c>
      <c r="E165" s="615"/>
      <c r="F165" s="615">
        <v>3000</v>
      </c>
      <c r="G165" s="145"/>
    </row>
    <row r="166" spans="1:7" s="146" customFormat="1" ht="19.5" customHeight="1">
      <c r="A166" s="81"/>
      <c r="B166" s="81"/>
      <c r="C166" s="81"/>
      <c r="D166" s="721" t="s">
        <v>48</v>
      </c>
      <c r="E166" s="615"/>
      <c r="F166" s="615">
        <v>3000</v>
      </c>
      <c r="G166" s="145"/>
    </row>
    <row r="167" spans="1:7" s="146" customFormat="1" ht="25.5" customHeight="1">
      <c r="A167" s="81"/>
      <c r="B167" s="81"/>
      <c r="C167" s="81"/>
      <c r="D167" s="721" t="s">
        <v>49</v>
      </c>
      <c r="E167" s="615"/>
      <c r="F167" s="615">
        <v>3000</v>
      </c>
      <c r="G167" s="145"/>
    </row>
    <row r="168" spans="1:7" s="146" customFormat="1" ht="19.5" customHeight="1">
      <c r="A168" s="81"/>
      <c r="B168" s="81"/>
      <c r="C168" s="81"/>
      <c r="D168" s="720" t="s">
        <v>51</v>
      </c>
      <c r="E168" s="615"/>
      <c r="F168" s="615">
        <v>3000</v>
      </c>
      <c r="G168" s="145"/>
    </row>
    <row r="169" spans="1:7" s="146" customFormat="1" ht="19.5" customHeight="1">
      <c r="A169" s="81"/>
      <c r="B169" s="81"/>
      <c r="C169" s="81"/>
      <c r="D169" s="720" t="s">
        <v>52</v>
      </c>
      <c r="E169" s="615"/>
      <c r="F169" s="615">
        <v>4000</v>
      </c>
      <c r="G169" s="145"/>
    </row>
    <row r="170" spans="1:7" s="146" customFormat="1" ht="19.5" customHeight="1">
      <c r="A170" s="81"/>
      <c r="B170" s="81"/>
      <c r="C170" s="81"/>
      <c r="D170" s="720" t="s">
        <v>53</v>
      </c>
      <c r="E170" s="615"/>
      <c r="F170" s="615">
        <v>3000</v>
      </c>
      <c r="G170" s="145"/>
    </row>
    <row r="171" spans="1:7" s="146" customFormat="1" ht="19.5" customHeight="1">
      <c r="A171" s="93"/>
      <c r="B171" s="66"/>
      <c r="C171" s="66"/>
      <c r="D171" s="430" t="s">
        <v>184</v>
      </c>
      <c r="E171" s="615">
        <v>43000</v>
      </c>
      <c r="F171" s="615"/>
      <c r="G171" s="145"/>
    </row>
    <row r="172" spans="1:7" s="146" customFormat="1" ht="25.5" customHeight="1">
      <c r="A172" s="93"/>
      <c r="B172" s="66"/>
      <c r="C172" s="413">
        <v>2820</v>
      </c>
      <c r="D172" s="409" t="s">
        <v>421</v>
      </c>
      <c r="E172" s="316">
        <f>SUM(E158:E171)</f>
        <v>43000</v>
      </c>
      <c r="F172" s="316">
        <f>SUM(F158:F171)</f>
        <v>43000</v>
      </c>
      <c r="G172" s="145"/>
    </row>
    <row r="173" spans="1:7" s="146" customFormat="1" ht="19.5" customHeight="1">
      <c r="A173" s="93"/>
      <c r="B173" s="66"/>
      <c r="C173" s="445"/>
      <c r="D173" s="724" t="s">
        <v>54</v>
      </c>
      <c r="E173" s="722">
        <f>E188</f>
        <v>454500</v>
      </c>
      <c r="F173" s="722">
        <f>F188</f>
        <v>454500</v>
      </c>
      <c r="G173" s="145"/>
    </row>
    <row r="174" spans="1:7" s="146" customFormat="1" ht="18.75" customHeight="1">
      <c r="A174" s="93"/>
      <c r="B174" s="66"/>
      <c r="C174" s="445"/>
      <c r="D174" s="719" t="s">
        <v>37</v>
      </c>
      <c r="E174" s="614"/>
      <c r="F174" s="614">
        <v>25000</v>
      </c>
      <c r="G174" s="145"/>
    </row>
    <row r="175" spans="1:7" s="146" customFormat="1" ht="18.75" customHeight="1">
      <c r="A175" s="93"/>
      <c r="B175" s="66"/>
      <c r="C175" s="445"/>
      <c r="D175" s="588" t="s">
        <v>55</v>
      </c>
      <c r="E175" s="615"/>
      <c r="F175" s="615">
        <v>4000</v>
      </c>
      <c r="G175" s="145"/>
    </row>
    <row r="176" spans="1:7" s="146" customFormat="1" ht="18.75" customHeight="1">
      <c r="A176" s="93"/>
      <c r="B176" s="66"/>
      <c r="C176" s="445"/>
      <c r="D176" s="720" t="s">
        <v>40</v>
      </c>
      <c r="E176" s="615"/>
      <c r="F176" s="615">
        <v>33000</v>
      </c>
      <c r="G176" s="145"/>
    </row>
    <row r="177" spans="1:7" s="146" customFormat="1" ht="18.75" customHeight="1">
      <c r="A177" s="93"/>
      <c r="B177" s="66"/>
      <c r="C177" s="445"/>
      <c r="D177" s="720" t="s">
        <v>41</v>
      </c>
      <c r="E177" s="615"/>
      <c r="F177" s="615">
        <v>25000</v>
      </c>
      <c r="G177" s="145"/>
    </row>
    <row r="178" spans="1:7" s="146" customFormat="1" ht="18.75" customHeight="1">
      <c r="A178" s="93"/>
      <c r="B178" s="66"/>
      <c r="C178" s="445"/>
      <c r="D178" s="720" t="s">
        <v>42</v>
      </c>
      <c r="E178" s="615"/>
      <c r="F178" s="615">
        <v>20000</v>
      </c>
      <c r="G178" s="145"/>
    </row>
    <row r="179" spans="1:7" s="146" customFormat="1" ht="18.75" customHeight="1">
      <c r="A179" s="93"/>
      <c r="B179" s="66"/>
      <c r="C179" s="445"/>
      <c r="D179" s="720" t="s">
        <v>43</v>
      </c>
      <c r="E179" s="615"/>
      <c r="F179" s="615">
        <v>25000</v>
      </c>
      <c r="G179" s="145"/>
    </row>
    <row r="180" spans="1:7" s="146" customFormat="1" ht="18.75" customHeight="1">
      <c r="A180" s="93"/>
      <c r="B180" s="66"/>
      <c r="C180" s="445"/>
      <c r="D180" s="720" t="s">
        <v>44</v>
      </c>
      <c r="E180" s="615"/>
      <c r="F180" s="615">
        <v>10000</v>
      </c>
      <c r="G180" s="145"/>
    </row>
    <row r="181" spans="1:7" s="146" customFormat="1" ht="18.75" customHeight="1">
      <c r="A181" s="93"/>
      <c r="B181" s="66"/>
      <c r="C181" s="445"/>
      <c r="D181" s="720" t="s">
        <v>46</v>
      </c>
      <c r="E181" s="615"/>
      <c r="F181" s="615">
        <v>2500</v>
      </c>
      <c r="G181" s="145"/>
    </row>
    <row r="182" spans="1:7" s="146" customFormat="1" ht="18.75" customHeight="1">
      <c r="A182" s="93"/>
      <c r="B182" s="66"/>
      <c r="C182" s="445"/>
      <c r="D182" s="720" t="s">
        <v>45</v>
      </c>
      <c r="E182" s="615"/>
      <c r="F182" s="615">
        <v>5000</v>
      </c>
      <c r="G182" s="145"/>
    </row>
    <row r="183" spans="1:7" s="146" customFormat="1" ht="18.75" customHeight="1">
      <c r="A183" s="93"/>
      <c r="B183" s="66"/>
      <c r="C183" s="445"/>
      <c r="D183" s="720" t="s">
        <v>47</v>
      </c>
      <c r="E183" s="615"/>
      <c r="F183" s="615">
        <v>85000</v>
      </c>
      <c r="G183" s="145"/>
    </row>
    <row r="184" spans="1:7" s="146" customFormat="1" ht="18.75" customHeight="1">
      <c r="A184" s="93"/>
      <c r="B184" s="66"/>
      <c r="C184" s="445"/>
      <c r="D184" s="588" t="s">
        <v>56</v>
      </c>
      <c r="E184" s="615"/>
      <c r="F184" s="615">
        <v>10000</v>
      </c>
      <c r="G184" s="145"/>
    </row>
    <row r="185" spans="1:7" s="146" customFormat="1" ht="18.75" customHeight="1">
      <c r="A185" s="93"/>
      <c r="B185" s="66"/>
      <c r="C185" s="445"/>
      <c r="D185" s="720" t="s">
        <v>57</v>
      </c>
      <c r="E185" s="615"/>
      <c r="F185" s="615">
        <v>175000</v>
      </c>
      <c r="G185" s="145"/>
    </row>
    <row r="186" spans="1:7" s="146" customFormat="1" ht="18.75" customHeight="1">
      <c r="A186" s="93"/>
      <c r="B186" s="66"/>
      <c r="C186" s="445"/>
      <c r="D186" s="720" t="s">
        <v>50</v>
      </c>
      <c r="E186" s="615"/>
      <c r="F186" s="615">
        <v>35000</v>
      </c>
      <c r="G186" s="145"/>
    </row>
    <row r="187" spans="1:7" s="146" customFormat="1" ht="18.75" customHeight="1">
      <c r="A187" s="93"/>
      <c r="B187" s="66"/>
      <c r="C187" s="66"/>
      <c r="D187" s="430" t="s">
        <v>184</v>
      </c>
      <c r="E187" s="615">
        <v>454500</v>
      </c>
      <c r="F187" s="615"/>
      <c r="G187" s="145"/>
    </row>
    <row r="188" spans="1:7" s="146" customFormat="1" ht="25.5" customHeight="1">
      <c r="A188" s="816"/>
      <c r="B188" s="69"/>
      <c r="C188" s="413">
        <v>2820</v>
      </c>
      <c r="D188" s="712" t="s">
        <v>421</v>
      </c>
      <c r="E188" s="616">
        <f>SUM(E174:E187)</f>
        <v>454500</v>
      </c>
      <c r="F188" s="616">
        <f>SUM(F174:F187)</f>
        <v>454500</v>
      </c>
      <c r="G188" s="145"/>
    </row>
    <row r="189" spans="1:7" s="146" customFormat="1" ht="19.5" customHeight="1" thickBot="1">
      <c r="A189" s="158"/>
      <c r="B189" s="228"/>
      <c r="C189" s="228"/>
      <c r="D189" s="152" t="s">
        <v>132</v>
      </c>
      <c r="E189" s="181">
        <f>E190</f>
        <v>25998</v>
      </c>
      <c r="F189" s="181">
        <f>F190</f>
        <v>25998</v>
      </c>
      <c r="G189" s="145"/>
    </row>
    <row r="190" spans="1:7" s="146" customFormat="1" ht="19.5" customHeight="1" thickTop="1">
      <c r="A190" s="72">
        <v>853</v>
      </c>
      <c r="B190" s="89"/>
      <c r="C190" s="89"/>
      <c r="D190" s="92" t="s">
        <v>145</v>
      </c>
      <c r="E190" s="478">
        <f>E191</f>
        <v>25998</v>
      </c>
      <c r="F190" s="478">
        <f>F191</f>
        <v>25998</v>
      </c>
      <c r="G190" s="145"/>
    </row>
    <row r="191" spans="1:7" s="146" customFormat="1" ht="19.5" customHeight="1">
      <c r="A191" s="66"/>
      <c r="B191" s="78">
        <v>85321</v>
      </c>
      <c r="C191" s="78"/>
      <c r="D191" s="78" t="s">
        <v>412</v>
      </c>
      <c r="E191" s="224">
        <f>E192+E195</f>
        <v>25998</v>
      </c>
      <c r="F191" s="224">
        <f>F192+F195</f>
        <v>25998</v>
      </c>
      <c r="G191" s="145"/>
    </row>
    <row r="192" spans="1:7" s="146" customFormat="1" ht="19.5" customHeight="1">
      <c r="A192" s="66"/>
      <c r="B192" s="353"/>
      <c r="C192" s="353"/>
      <c r="D192" s="415" t="s">
        <v>208</v>
      </c>
      <c r="E192" s="405">
        <f>SUM(E193:E194)</f>
        <v>295</v>
      </c>
      <c r="F192" s="405">
        <f>SUM(F193:F194)</f>
        <v>25998</v>
      </c>
      <c r="G192" s="145"/>
    </row>
    <row r="193" spans="1:7" s="146" customFormat="1" ht="19.5" customHeight="1">
      <c r="A193" s="81"/>
      <c r="B193" s="81"/>
      <c r="C193" s="82">
        <v>4040</v>
      </c>
      <c r="D193" s="83" t="s">
        <v>151</v>
      </c>
      <c r="E193" s="680">
        <v>295</v>
      </c>
      <c r="F193" s="680"/>
      <c r="G193" s="145"/>
    </row>
    <row r="194" spans="1:7" s="146" customFormat="1" ht="19.5" customHeight="1">
      <c r="A194" s="81"/>
      <c r="B194" s="81"/>
      <c r="C194" s="82">
        <v>4170</v>
      </c>
      <c r="D194" s="83" t="s">
        <v>128</v>
      </c>
      <c r="E194" s="316"/>
      <c r="F194" s="316">
        <f>295+21478+1000+1400+1825</f>
        <v>25998</v>
      </c>
      <c r="G194" s="145"/>
    </row>
    <row r="195" spans="1:7" s="146" customFormat="1" ht="19.5" customHeight="1">
      <c r="A195" s="66"/>
      <c r="B195" s="66"/>
      <c r="C195" s="353"/>
      <c r="D195" s="415" t="s">
        <v>121</v>
      </c>
      <c r="E195" s="405">
        <f>SUM(E196:E199)</f>
        <v>25703</v>
      </c>
      <c r="F195" s="405"/>
      <c r="G195" s="145"/>
    </row>
    <row r="196" spans="1:7" s="146" customFormat="1" ht="19.5" customHeight="1">
      <c r="A196" s="81"/>
      <c r="B196" s="81"/>
      <c r="C196" s="82">
        <v>4300</v>
      </c>
      <c r="D196" s="83" t="s">
        <v>119</v>
      </c>
      <c r="E196" s="680">
        <v>21478</v>
      </c>
      <c r="F196" s="680"/>
      <c r="G196" s="145"/>
    </row>
    <row r="197" spans="1:7" s="146" customFormat="1" ht="19.5" customHeight="1">
      <c r="A197" s="81"/>
      <c r="B197" s="81"/>
      <c r="C197" s="82">
        <v>4410</v>
      </c>
      <c r="D197" s="83" t="s">
        <v>178</v>
      </c>
      <c r="E197" s="680">
        <v>1000</v>
      </c>
      <c r="F197" s="680"/>
      <c r="G197" s="145"/>
    </row>
    <row r="198" spans="1:7" s="146" customFormat="1" ht="19.5" customHeight="1">
      <c r="A198" s="81"/>
      <c r="B198" s="81"/>
      <c r="C198" s="82">
        <v>4420</v>
      </c>
      <c r="D198" s="83" t="s">
        <v>159</v>
      </c>
      <c r="E198" s="316">
        <v>1400</v>
      </c>
      <c r="F198" s="316"/>
      <c r="G198" s="145"/>
    </row>
    <row r="199" spans="1:7" s="146" customFormat="1" ht="19.5" customHeight="1">
      <c r="A199" s="81"/>
      <c r="B199" s="81"/>
      <c r="C199" s="82">
        <v>4440</v>
      </c>
      <c r="D199" s="83" t="s">
        <v>368</v>
      </c>
      <c r="E199" s="680">
        <v>1825</v>
      </c>
      <c r="F199" s="680"/>
      <c r="G199" s="145"/>
    </row>
    <row r="200" spans="1:7" s="157" customFormat="1" ht="19.5" customHeight="1">
      <c r="A200" s="153"/>
      <c r="B200" s="129"/>
      <c r="C200" s="154"/>
      <c r="D200" s="594" t="s">
        <v>442</v>
      </c>
      <c r="E200" s="156">
        <f aca="true" t="shared" si="4" ref="E200:F203">E201</f>
        <v>1000</v>
      </c>
      <c r="F200" s="156">
        <f t="shared" si="4"/>
        <v>1000</v>
      </c>
      <c r="G200" s="226"/>
    </row>
    <row r="201" spans="1:7" s="146" customFormat="1" ht="19.5" customHeight="1" thickBot="1">
      <c r="A201" s="228"/>
      <c r="B201" s="228"/>
      <c r="C201" s="228"/>
      <c r="D201" s="152" t="s">
        <v>96</v>
      </c>
      <c r="E201" s="181">
        <f t="shared" si="4"/>
        <v>1000</v>
      </c>
      <c r="F201" s="181">
        <f t="shared" si="4"/>
        <v>1000</v>
      </c>
      <c r="G201" s="145"/>
    </row>
    <row r="202" spans="1:7" s="95" customFormat="1" ht="19.5" customHeight="1" thickTop="1">
      <c r="A202" s="89">
        <v>750</v>
      </c>
      <c r="B202" s="89"/>
      <c r="C202" s="89"/>
      <c r="D202" s="89" t="s">
        <v>107</v>
      </c>
      <c r="E202" s="75">
        <f t="shared" si="4"/>
        <v>1000</v>
      </c>
      <c r="F202" s="75">
        <f t="shared" si="4"/>
        <v>1000</v>
      </c>
      <c r="G202" s="94"/>
    </row>
    <row r="203" spans="1:7" s="121" customFormat="1" ht="19.5" customHeight="1">
      <c r="A203" s="81"/>
      <c r="B203" s="78">
        <v>75075</v>
      </c>
      <c r="C203" s="78"/>
      <c r="D203" s="78" t="s">
        <v>406</v>
      </c>
      <c r="E203" s="127">
        <f t="shared" si="4"/>
        <v>1000</v>
      </c>
      <c r="F203" s="127">
        <f t="shared" si="4"/>
        <v>1000</v>
      </c>
      <c r="G203" s="128"/>
    </row>
    <row r="204" spans="1:10" s="121" customFormat="1" ht="19.5" customHeight="1">
      <c r="A204" s="194"/>
      <c r="B204" s="66"/>
      <c r="C204" s="66"/>
      <c r="D204" s="581" t="s">
        <v>407</v>
      </c>
      <c r="E204" s="407">
        <f>SUM(E205:E206)</f>
        <v>1000</v>
      </c>
      <c r="F204" s="407">
        <f>SUM(F205:F206)</f>
        <v>1000</v>
      </c>
      <c r="G204" s="128"/>
      <c r="H204" s="128"/>
      <c r="J204" s="128"/>
    </row>
    <row r="205" spans="1:10" s="121" customFormat="1" ht="19.5" customHeight="1">
      <c r="A205" s="193"/>
      <c r="B205" s="81"/>
      <c r="C205" s="130">
        <v>4110</v>
      </c>
      <c r="D205" s="83" t="s">
        <v>174</v>
      </c>
      <c r="E205" s="150"/>
      <c r="F205" s="150">
        <v>1000</v>
      </c>
      <c r="G205" s="128"/>
      <c r="H205" s="128"/>
      <c r="J205" s="128"/>
    </row>
    <row r="206" spans="1:7" s="146" customFormat="1" ht="19.5" customHeight="1">
      <c r="A206" s="193"/>
      <c r="B206" s="81"/>
      <c r="C206" s="82">
        <v>4210</v>
      </c>
      <c r="D206" s="83" t="s">
        <v>118</v>
      </c>
      <c r="E206" s="150">
        <v>1000</v>
      </c>
      <c r="F206" s="150"/>
      <c r="G206" s="145"/>
    </row>
    <row r="207" spans="1:7" s="157" customFormat="1" ht="19.5" customHeight="1">
      <c r="A207" s="153"/>
      <c r="B207" s="129"/>
      <c r="C207" s="154"/>
      <c r="D207" s="594" t="s">
        <v>485</v>
      </c>
      <c r="E207" s="156">
        <f aca="true" t="shared" si="5" ref="E207:F209">E208</f>
        <v>83700</v>
      </c>
      <c r="F207" s="156">
        <f t="shared" si="5"/>
        <v>83700</v>
      </c>
      <c r="G207" s="226"/>
    </row>
    <row r="208" spans="1:7" s="146" customFormat="1" ht="19.5" customHeight="1" thickBot="1">
      <c r="A208" s="228"/>
      <c r="B208" s="228"/>
      <c r="C208" s="228"/>
      <c r="D208" s="152" t="s">
        <v>96</v>
      </c>
      <c r="E208" s="181">
        <f t="shared" si="5"/>
        <v>83700</v>
      </c>
      <c r="F208" s="181">
        <f t="shared" si="5"/>
        <v>83700</v>
      </c>
      <c r="G208" s="145"/>
    </row>
    <row r="209" spans="1:7" s="95" customFormat="1" ht="19.5" customHeight="1" thickTop="1">
      <c r="A209" s="72">
        <v>900</v>
      </c>
      <c r="B209" s="89"/>
      <c r="C209" s="73"/>
      <c r="D209" s="490" t="s">
        <v>207</v>
      </c>
      <c r="E209" s="75">
        <f t="shared" si="5"/>
        <v>83700</v>
      </c>
      <c r="F209" s="75">
        <f t="shared" si="5"/>
        <v>83700</v>
      </c>
      <c r="G209" s="94"/>
    </row>
    <row r="210" spans="1:7" s="121" customFormat="1" ht="19.5" customHeight="1">
      <c r="A210" s="131"/>
      <c r="B210" s="78">
        <v>90002</v>
      </c>
      <c r="C210" s="78"/>
      <c r="D210" s="200" t="s">
        <v>304</v>
      </c>
      <c r="E210" s="441">
        <f>E211+E213</f>
        <v>83700</v>
      </c>
      <c r="F210" s="441">
        <f>F211+F213</f>
        <v>83700</v>
      </c>
      <c r="G210" s="128"/>
    </row>
    <row r="211" spans="1:10" s="121" customFormat="1" ht="19.5" customHeight="1">
      <c r="A211" s="158"/>
      <c r="B211" s="613"/>
      <c r="C211" s="459"/>
      <c r="D211" s="414" t="s">
        <v>482</v>
      </c>
      <c r="E211" s="220">
        <f>E212</f>
        <v>83700</v>
      </c>
      <c r="F211" s="220"/>
      <c r="G211" s="128"/>
      <c r="H211" s="128"/>
      <c r="J211" s="128"/>
    </row>
    <row r="212" spans="1:10" s="121" customFormat="1" ht="19.5" customHeight="1">
      <c r="A212" s="192"/>
      <c r="B212" s="81"/>
      <c r="C212" s="82">
        <v>4300</v>
      </c>
      <c r="D212" s="409" t="s">
        <v>119</v>
      </c>
      <c r="E212" s="135">
        <v>83700</v>
      </c>
      <c r="F212" s="135"/>
      <c r="G212" s="128"/>
      <c r="H212" s="128"/>
      <c r="J212" s="128"/>
    </row>
    <row r="213" spans="1:10" s="121" customFormat="1" ht="19.5" customHeight="1">
      <c r="A213" s="80"/>
      <c r="B213" s="66"/>
      <c r="C213" s="66"/>
      <c r="D213" s="414" t="s">
        <v>483</v>
      </c>
      <c r="E213" s="685"/>
      <c r="F213" s="685">
        <f>F214</f>
        <v>83700</v>
      </c>
      <c r="G213" s="128"/>
      <c r="H213" s="128"/>
      <c r="J213" s="128"/>
    </row>
    <row r="214" spans="1:10" s="121" customFormat="1" ht="19.5" customHeight="1">
      <c r="A214" s="192"/>
      <c r="B214" s="81"/>
      <c r="C214" s="81">
        <v>4520</v>
      </c>
      <c r="D214" s="702" t="s">
        <v>484</v>
      </c>
      <c r="E214" s="435"/>
      <c r="F214" s="435">
        <v>83700</v>
      </c>
      <c r="G214" s="128"/>
      <c r="H214" s="128"/>
      <c r="J214" s="128"/>
    </row>
    <row r="215" spans="1:10" s="121" customFormat="1" ht="37.5" customHeight="1">
      <c r="A215" s="828"/>
      <c r="B215" s="796"/>
      <c r="C215" s="796"/>
      <c r="D215" s="801"/>
      <c r="E215" s="807"/>
      <c r="F215" s="807"/>
      <c r="G215" s="128"/>
      <c r="H215" s="128"/>
      <c r="J215" s="128"/>
    </row>
    <row r="216" spans="1:7" s="157" customFormat="1" ht="19.5" customHeight="1">
      <c r="A216" s="153"/>
      <c r="B216" s="129"/>
      <c r="C216" s="154"/>
      <c r="D216" s="594" t="s">
        <v>405</v>
      </c>
      <c r="E216" s="798">
        <f aca="true" t="shared" si="6" ref="E216:F218">E217</f>
        <v>1914</v>
      </c>
      <c r="F216" s="798">
        <f t="shared" si="6"/>
        <v>1914</v>
      </c>
      <c r="G216" s="226"/>
    </row>
    <row r="217" spans="1:7" s="146" customFormat="1" ht="19.5" customHeight="1" thickBot="1">
      <c r="A217" s="228"/>
      <c r="B217" s="228"/>
      <c r="C217" s="228"/>
      <c r="D217" s="152" t="s">
        <v>96</v>
      </c>
      <c r="E217" s="181">
        <f t="shared" si="6"/>
        <v>1914</v>
      </c>
      <c r="F217" s="181">
        <f t="shared" si="6"/>
        <v>1914</v>
      </c>
      <c r="G217" s="145"/>
    </row>
    <row r="218" spans="1:7" s="95" customFormat="1" ht="19.5" customHeight="1" thickTop="1">
      <c r="A218" s="73">
        <v>754</v>
      </c>
      <c r="B218" s="73"/>
      <c r="C218" s="73"/>
      <c r="D218" s="73" t="s">
        <v>97</v>
      </c>
      <c r="E218" s="75">
        <f t="shared" si="6"/>
        <v>1914</v>
      </c>
      <c r="F218" s="75">
        <f t="shared" si="6"/>
        <v>1914</v>
      </c>
      <c r="G218" s="94"/>
    </row>
    <row r="219" spans="1:7" s="121" customFormat="1" ht="19.5" customHeight="1">
      <c r="A219" s="81"/>
      <c r="B219" s="78">
        <v>75416</v>
      </c>
      <c r="C219" s="78"/>
      <c r="D219" s="78" t="s">
        <v>210</v>
      </c>
      <c r="E219" s="127">
        <f>E220+E222</f>
        <v>1914</v>
      </c>
      <c r="F219" s="127">
        <f>F220+F222</f>
        <v>1914</v>
      </c>
      <c r="G219" s="128"/>
    </row>
    <row r="220" spans="1:10" s="121" customFormat="1" ht="19.5" customHeight="1">
      <c r="A220" s="80"/>
      <c r="B220" s="353"/>
      <c r="C220" s="106"/>
      <c r="D220" s="415" t="s">
        <v>121</v>
      </c>
      <c r="E220" s="407">
        <f>E221</f>
        <v>1914</v>
      </c>
      <c r="F220" s="407"/>
      <c r="G220" s="128"/>
      <c r="H220" s="128"/>
      <c r="J220" s="128"/>
    </row>
    <row r="221" spans="1:10" s="121" customFormat="1" ht="19.5" customHeight="1">
      <c r="A221" s="193"/>
      <c r="B221" s="158"/>
      <c r="C221" s="225">
        <v>4350</v>
      </c>
      <c r="D221" s="83" t="s">
        <v>371</v>
      </c>
      <c r="E221" s="150">
        <v>1914</v>
      </c>
      <c r="F221" s="150"/>
      <c r="G221" s="128"/>
      <c r="H221" s="128"/>
      <c r="J221" s="128"/>
    </row>
    <row r="222" spans="1:10" s="148" customFormat="1" ht="19.5" customHeight="1">
      <c r="A222" s="194"/>
      <c r="B222" s="202"/>
      <c r="C222" s="106"/>
      <c r="D222" s="100" t="s">
        <v>211</v>
      </c>
      <c r="E222" s="407"/>
      <c r="F222" s="407">
        <f>F224</f>
        <v>1914</v>
      </c>
      <c r="G222" s="147"/>
      <c r="H222" s="147"/>
      <c r="J222" s="147"/>
    </row>
    <row r="223" spans="1:10" s="148" customFormat="1" ht="19.5" customHeight="1">
      <c r="A223" s="85"/>
      <c r="B223" s="85"/>
      <c r="C223" s="85"/>
      <c r="D223" s="539" t="s">
        <v>292</v>
      </c>
      <c r="E223" s="545"/>
      <c r="F223" s="545">
        <v>1914</v>
      </c>
      <c r="G223" s="147"/>
      <c r="H223" s="147"/>
      <c r="J223" s="147"/>
    </row>
    <row r="224" spans="1:7" s="209" customFormat="1" ht="19.5" customHeight="1">
      <c r="A224" s="85"/>
      <c r="B224" s="85"/>
      <c r="C224" s="546">
        <v>6060</v>
      </c>
      <c r="D224" s="546" t="s">
        <v>155</v>
      </c>
      <c r="E224" s="542"/>
      <c r="F224" s="542">
        <f>F223</f>
        <v>1914</v>
      </c>
      <c r="G224" s="208"/>
    </row>
    <row r="225" spans="1:7" ht="19.5" customHeight="1">
      <c r="A225" s="93"/>
      <c r="B225" s="66"/>
      <c r="C225" s="98"/>
      <c r="D225" s="817" t="s">
        <v>443</v>
      </c>
      <c r="E225" s="99">
        <f>E226</f>
        <v>86400</v>
      </c>
      <c r="F225" s="99">
        <f>F226</f>
        <v>86400</v>
      </c>
      <c r="G225" s="52">
        <f>F225-E225</f>
        <v>0</v>
      </c>
    </row>
    <row r="226" spans="1:6" s="182" customFormat="1" ht="19.5" customHeight="1" thickBot="1">
      <c r="A226" s="228"/>
      <c r="B226" s="228"/>
      <c r="C226" s="347"/>
      <c r="D226" s="152" t="s">
        <v>132</v>
      </c>
      <c r="E226" s="348">
        <f aca="true" t="shared" si="7" ref="E226:F228">E227</f>
        <v>86400</v>
      </c>
      <c r="F226" s="348">
        <f t="shared" si="7"/>
        <v>86400</v>
      </c>
    </row>
    <row r="227" spans="1:7" s="95" customFormat="1" ht="19.5" customHeight="1" thickTop="1">
      <c r="A227" s="173">
        <v>852</v>
      </c>
      <c r="B227" s="72"/>
      <c r="C227" s="219"/>
      <c r="D227" s="212" t="s">
        <v>104</v>
      </c>
      <c r="E227" s="74">
        <f t="shared" si="7"/>
        <v>86400</v>
      </c>
      <c r="F227" s="74">
        <f t="shared" si="7"/>
        <v>86400</v>
      </c>
      <c r="G227" s="94"/>
    </row>
    <row r="228" spans="1:7" s="121" customFormat="1" ht="19.5" customHeight="1">
      <c r="A228" s="81"/>
      <c r="B228" s="78">
        <v>85203</v>
      </c>
      <c r="C228" s="78"/>
      <c r="D228" s="222" t="s">
        <v>419</v>
      </c>
      <c r="E228" s="90">
        <f t="shared" si="7"/>
        <v>86400</v>
      </c>
      <c r="F228" s="90">
        <f t="shared" si="7"/>
        <v>86400</v>
      </c>
      <c r="G228" s="128"/>
    </row>
    <row r="229" spans="1:10" s="148" customFormat="1" ht="24.75" customHeight="1">
      <c r="A229" s="192"/>
      <c r="B229" s="81"/>
      <c r="C229" s="195"/>
      <c r="D229" s="415" t="s">
        <v>420</v>
      </c>
      <c r="E229" s="134">
        <f>E232</f>
        <v>86400</v>
      </c>
      <c r="F229" s="134">
        <f>F232</f>
        <v>86400</v>
      </c>
      <c r="G229" s="147"/>
      <c r="H229" s="147"/>
      <c r="J229" s="147"/>
    </row>
    <row r="230" spans="1:10" s="148" customFormat="1" ht="28.5" customHeight="1">
      <c r="A230" s="192"/>
      <c r="B230" s="81"/>
      <c r="C230" s="158"/>
      <c r="D230" s="683" t="s">
        <v>465</v>
      </c>
      <c r="E230" s="684">
        <v>86400</v>
      </c>
      <c r="F230" s="684"/>
      <c r="G230" s="147"/>
      <c r="H230" s="147"/>
      <c r="J230" s="147"/>
    </row>
    <row r="231" spans="1:10" s="148" customFormat="1" ht="28.5" customHeight="1">
      <c r="A231" s="192"/>
      <c r="B231" s="81"/>
      <c r="C231" s="158"/>
      <c r="D231" s="711" t="s">
        <v>29</v>
      </c>
      <c r="E231" s="713"/>
      <c r="F231" s="713">
        <v>86400</v>
      </c>
      <c r="G231" s="147"/>
      <c r="H231" s="147"/>
      <c r="J231" s="147"/>
    </row>
    <row r="232" spans="1:10" s="148" customFormat="1" ht="27" customHeight="1">
      <c r="A232" s="192"/>
      <c r="B232" s="81"/>
      <c r="C232" s="228">
        <v>2820</v>
      </c>
      <c r="D232" s="712" t="s">
        <v>421</v>
      </c>
      <c r="E232" s="676">
        <f>SUM(E230:E231)</f>
        <v>86400</v>
      </c>
      <c r="F232" s="676">
        <f>SUM(F230:F231)</f>
        <v>86400</v>
      </c>
      <c r="G232" s="147"/>
      <c r="H232" s="147"/>
      <c r="J232" s="147"/>
    </row>
    <row r="233" spans="1:7" ht="19.5" customHeight="1">
      <c r="A233" s="68"/>
      <c r="B233" s="67"/>
      <c r="C233" s="68"/>
      <c r="D233" s="699" t="s">
        <v>444</v>
      </c>
      <c r="E233" s="102">
        <f aca="true" t="shared" si="8" ref="E233:F235">E234</f>
        <v>53000</v>
      </c>
      <c r="F233" s="102">
        <f t="shared" si="8"/>
        <v>53000</v>
      </c>
      <c r="G233" s="52"/>
    </row>
    <row r="234" spans="1:6" ht="19.5" customHeight="1" thickBot="1">
      <c r="A234" s="68"/>
      <c r="B234" s="67"/>
      <c r="C234" s="103"/>
      <c r="D234" s="152" t="s">
        <v>132</v>
      </c>
      <c r="E234" s="104">
        <f t="shared" si="8"/>
        <v>53000</v>
      </c>
      <c r="F234" s="104">
        <f t="shared" si="8"/>
        <v>53000</v>
      </c>
    </row>
    <row r="235" spans="1:6" ht="19.5" customHeight="1" thickTop="1">
      <c r="A235" s="72">
        <v>754</v>
      </c>
      <c r="B235" s="89"/>
      <c r="C235" s="89"/>
      <c r="D235" s="360" t="s">
        <v>97</v>
      </c>
      <c r="E235" s="478">
        <f t="shared" si="8"/>
        <v>53000</v>
      </c>
      <c r="F235" s="478">
        <f t="shared" si="8"/>
        <v>53000</v>
      </c>
    </row>
    <row r="236" spans="1:7" s="138" customFormat="1" ht="19.5" customHeight="1">
      <c r="A236" s="131"/>
      <c r="B236" s="78">
        <v>75411</v>
      </c>
      <c r="C236" s="78"/>
      <c r="D236" s="200" t="s">
        <v>400</v>
      </c>
      <c r="E236" s="224">
        <f>E237+E240</f>
        <v>53000</v>
      </c>
      <c r="F236" s="224">
        <f>F237+F240</f>
        <v>53000</v>
      </c>
      <c r="G236" s="137"/>
    </row>
    <row r="237" spans="1:10" s="148" customFormat="1" ht="19.5" customHeight="1">
      <c r="A237" s="81"/>
      <c r="B237" s="66"/>
      <c r="C237" s="66"/>
      <c r="D237" s="414" t="s">
        <v>208</v>
      </c>
      <c r="E237" s="405">
        <f>SUM(E238:E239)</f>
        <v>53000</v>
      </c>
      <c r="F237" s="405"/>
      <c r="G237" s="147"/>
      <c r="H237" s="147"/>
      <c r="J237" s="147"/>
    </row>
    <row r="238" spans="1:10" s="148" customFormat="1" ht="19.5" customHeight="1">
      <c r="A238" s="81"/>
      <c r="B238" s="66"/>
      <c r="C238" s="82">
        <v>4050</v>
      </c>
      <c r="D238" s="83" t="s">
        <v>402</v>
      </c>
      <c r="E238" s="680">
        <v>11000</v>
      </c>
      <c r="F238" s="680"/>
      <c r="G238" s="147"/>
      <c r="H238" s="147"/>
      <c r="J238" s="147"/>
    </row>
    <row r="239" spans="1:10" s="148" customFormat="1" ht="26.25" customHeight="1">
      <c r="A239" s="107"/>
      <c r="B239" s="107"/>
      <c r="C239" s="82">
        <v>4080</v>
      </c>
      <c r="D239" s="83" t="s">
        <v>401</v>
      </c>
      <c r="E239" s="315">
        <v>42000</v>
      </c>
      <c r="F239" s="315"/>
      <c r="G239" s="147"/>
      <c r="H239" s="147"/>
      <c r="J239" s="147"/>
    </row>
    <row r="240" spans="1:10" s="148" customFormat="1" ht="19.5" customHeight="1">
      <c r="A240" s="66"/>
      <c r="B240" s="459"/>
      <c r="C240" s="459"/>
      <c r="D240" s="700" t="s">
        <v>146</v>
      </c>
      <c r="E240" s="405"/>
      <c r="F240" s="405">
        <f>F241</f>
        <v>53000</v>
      </c>
      <c r="G240" s="147"/>
      <c r="H240" s="147"/>
      <c r="J240" s="147"/>
    </row>
    <row r="241" spans="1:10" s="148" customFormat="1" ht="19.5" customHeight="1">
      <c r="A241" s="69"/>
      <c r="B241" s="882"/>
      <c r="C241" s="82">
        <v>4110</v>
      </c>
      <c r="D241" s="83" t="s">
        <v>174</v>
      </c>
      <c r="E241" s="319"/>
      <c r="F241" s="319">
        <v>53000</v>
      </c>
      <c r="G241" s="147"/>
      <c r="H241" s="147"/>
      <c r="J241" s="147"/>
    </row>
    <row r="242" spans="1:7" ht="19.5" customHeight="1">
      <c r="A242" s="68"/>
      <c r="B242" s="67"/>
      <c r="C242" s="68"/>
      <c r="D242" s="101" t="s">
        <v>445</v>
      </c>
      <c r="E242" s="102"/>
      <c r="F242" s="102">
        <f>F243</f>
        <v>927258</v>
      </c>
      <c r="G242" s="52">
        <f>F242-E242</f>
        <v>927258</v>
      </c>
    </row>
    <row r="243" spans="1:6" ht="19.5" customHeight="1" thickBot="1">
      <c r="A243" s="68"/>
      <c r="B243" s="67"/>
      <c r="C243" s="103"/>
      <c r="D243" s="91" t="s">
        <v>96</v>
      </c>
      <c r="E243" s="104"/>
      <c r="F243" s="104">
        <f>F244+F245</f>
        <v>927258</v>
      </c>
    </row>
    <row r="244" spans="1:6" ht="19.5" customHeight="1" thickTop="1">
      <c r="A244" s="72">
        <v>801</v>
      </c>
      <c r="B244" s="89"/>
      <c r="C244" s="73"/>
      <c r="D244" s="92" t="s">
        <v>103</v>
      </c>
      <c r="E244" s="87"/>
      <c r="F244" s="87">
        <v>864914</v>
      </c>
    </row>
    <row r="245" spans="1:6" ht="19.5" customHeight="1">
      <c r="A245" s="72">
        <v>854</v>
      </c>
      <c r="B245" s="89"/>
      <c r="C245" s="73"/>
      <c r="D245" s="607" t="s">
        <v>105</v>
      </c>
      <c r="E245" s="298"/>
      <c r="F245" s="298">
        <v>62344</v>
      </c>
    </row>
    <row r="246" ht="12.75">
      <c r="A246" s="49"/>
    </row>
    <row r="247" ht="12.75">
      <c r="A247" s="49"/>
    </row>
    <row r="248" ht="12.75">
      <c r="A248" s="49"/>
    </row>
    <row r="249" ht="12.75">
      <c r="A249" s="49"/>
    </row>
    <row r="250" ht="12.75">
      <c r="A250" s="49"/>
    </row>
    <row r="251" ht="12.75">
      <c r="A251" s="49"/>
    </row>
    <row r="252" ht="12.75">
      <c r="A252" s="49"/>
    </row>
    <row r="253" ht="12.75">
      <c r="A253" s="49"/>
    </row>
    <row r="254" ht="12.75">
      <c r="A254" s="49"/>
    </row>
    <row r="255" ht="12.75">
      <c r="A255" s="49"/>
    </row>
    <row r="256" ht="12.75">
      <c r="A256" s="49"/>
    </row>
    <row r="257" ht="12.75">
      <c r="A257" s="49"/>
    </row>
    <row r="258" ht="12.75">
      <c r="A258" s="49"/>
    </row>
    <row r="259" ht="12.75">
      <c r="A259" s="49"/>
    </row>
    <row r="260" ht="12.75">
      <c r="A260" s="49"/>
    </row>
    <row r="261" ht="12.75">
      <c r="A261" s="49"/>
    </row>
    <row r="262" ht="12.75">
      <c r="A262" s="49"/>
    </row>
    <row r="263" ht="12.75">
      <c r="A263" s="49"/>
    </row>
    <row r="264" ht="12.75">
      <c r="A264" s="49"/>
    </row>
    <row r="265" ht="12.75">
      <c r="A265" s="49"/>
    </row>
    <row r="266" ht="12.75">
      <c r="A266" s="49"/>
    </row>
    <row r="267" ht="12.75">
      <c r="A267" s="49"/>
    </row>
    <row r="268" ht="12.75">
      <c r="A268" s="49"/>
    </row>
    <row r="269" ht="12.75">
      <c r="A269" s="49"/>
    </row>
    <row r="270" ht="12.75">
      <c r="A270" s="49"/>
    </row>
    <row r="271" ht="12.75">
      <c r="A271" s="49"/>
    </row>
    <row r="272" ht="12.75">
      <c r="A272" s="49"/>
    </row>
    <row r="273" ht="12.75">
      <c r="A273" s="49"/>
    </row>
    <row r="274" ht="12.75">
      <c r="A274" s="49"/>
    </row>
    <row r="275" ht="12.75">
      <c r="A275" s="49"/>
    </row>
    <row r="276" ht="12.75">
      <c r="A276" s="49"/>
    </row>
    <row r="277" ht="12.75">
      <c r="A277" s="49"/>
    </row>
    <row r="278" ht="12.75">
      <c r="A278" s="49"/>
    </row>
    <row r="279" ht="12.75">
      <c r="A279" s="49"/>
    </row>
    <row r="280" ht="12.75">
      <c r="A280" s="49"/>
    </row>
    <row r="281" ht="12.75">
      <c r="A281" s="49"/>
    </row>
    <row r="282" ht="12.75">
      <c r="A282" s="49"/>
    </row>
    <row r="283" ht="12.75">
      <c r="A283" s="49"/>
    </row>
    <row r="284" ht="12.75">
      <c r="A284" s="49"/>
    </row>
    <row r="285" ht="12.75">
      <c r="A285" s="49"/>
    </row>
    <row r="286" ht="12.75">
      <c r="A286" s="49"/>
    </row>
    <row r="287" ht="12.75">
      <c r="A287" s="49"/>
    </row>
    <row r="288" ht="12.75">
      <c r="A288" s="49"/>
    </row>
    <row r="289" ht="12.75">
      <c r="A289" s="49"/>
    </row>
    <row r="290" ht="12.75">
      <c r="A290" s="49"/>
    </row>
    <row r="291" ht="12.75">
      <c r="A291" s="49"/>
    </row>
    <row r="292" ht="12.75">
      <c r="A292" s="49"/>
    </row>
    <row r="293" ht="12.75">
      <c r="A293" s="49"/>
    </row>
    <row r="294" ht="12.75">
      <c r="A294" s="49"/>
    </row>
    <row r="295" ht="12.75">
      <c r="A295" s="49"/>
    </row>
    <row r="296" ht="12.75">
      <c r="A296" s="49"/>
    </row>
    <row r="297" ht="12.75">
      <c r="A297" s="49"/>
    </row>
    <row r="298" ht="12.75">
      <c r="A298" s="49"/>
    </row>
    <row r="299" ht="12.75">
      <c r="A299" s="49"/>
    </row>
    <row r="300" ht="12.75">
      <c r="A300" s="49"/>
    </row>
    <row r="301" ht="12.75">
      <c r="A301" s="49"/>
    </row>
    <row r="302" ht="12.75">
      <c r="A302" s="49"/>
    </row>
    <row r="303" ht="12.75">
      <c r="A303" s="49"/>
    </row>
    <row r="304" ht="12.75">
      <c r="A304" s="49"/>
    </row>
    <row r="305" ht="12.75">
      <c r="A305" s="49"/>
    </row>
    <row r="306" ht="12.75">
      <c r="A306" s="49"/>
    </row>
    <row r="307" ht="12.75">
      <c r="A307" s="49"/>
    </row>
    <row r="308" ht="12.75">
      <c r="A308" s="49"/>
    </row>
    <row r="309" ht="12.75">
      <c r="A309" s="49"/>
    </row>
    <row r="310" ht="12.75">
      <c r="A310" s="49"/>
    </row>
    <row r="311" ht="12.75">
      <c r="A311" s="49"/>
    </row>
    <row r="312" ht="12.75">
      <c r="A312" s="49"/>
    </row>
    <row r="313" ht="12.75">
      <c r="A313" s="49"/>
    </row>
    <row r="314" ht="12.75">
      <c r="A314" s="49"/>
    </row>
    <row r="315" ht="12.75">
      <c r="A315" s="49"/>
    </row>
    <row r="316" ht="12.75">
      <c r="A316" s="49"/>
    </row>
    <row r="317" ht="12.75">
      <c r="A317" s="49"/>
    </row>
    <row r="318" ht="12.75">
      <c r="A318" s="49"/>
    </row>
    <row r="319" ht="12.75">
      <c r="A319" s="49"/>
    </row>
    <row r="320" ht="12.75">
      <c r="A320" s="49"/>
    </row>
    <row r="321" ht="12.75">
      <c r="A321" s="49"/>
    </row>
    <row r="322" ht="12.75">
      <c r="A322" s="49"/>
    </row>
    <row r="323" ht="12.75">
      <c r="A323" s="49"/>
    </row>
    <row r="324" ht="12.75">
      <c r="A324" s="49"/>
    </row>
    <row r="325" ht="12.75">
      <c r="A325" s="49"/>
    </row>
    <row r="326" ht="12.75">
      <c r="A326" s="49"/>
    </row>
    <row r="327" ht="12.75">
      <c r="A327" s="49"/>
    </row>
    <row r="328" ht="12.75">
      <c r="A328" s="49"/>
    </row>
    <row r="329" ht="12.75">
      <c r="A329" s="49"/>
    </row>
    <row r="330" ht="12.75">
      <c r="A330" s="49"/>
    </row>
    <row r="331" ht="12.75">
      <c r="A331" s="49"/>
    </row>
    <row r="332" ht="12.75">
      <c r="A332" s="49"/>
    </row>
    <row r="333" ht="12.75">
      <c r="A333" s="49"/>
    </row>
    <row r="334" ht="12.75">
      <c r="A334" s="49"/>
    </row>
    <row r="335" ht="12.75">
      <c r="A335" s="49"/>
    </row>
    <row r="336" ht="12.75">
      <c r="A336" s="49"/>
    </row>
    <row r="337" ht="12.75">
      <c r="A337" s="49"/>
    </row>
    <row r="338" ht="12.75">
      <c r="A338" s="49"/>
    </row>
    <row r="339" ht="12.75">
      <c r="A339" s="49"/>
    </row>
    <row r="340" ht="12.75">
      <c r="A340" s="49"/>
    </row>
    <row r="341" ht="12.75">
      <c r="A341" s="49"/>
    </row>
    <row r="342" ht="12.75">
      <c r="A342" s="49"/>
    </row>
    <row r="343" ht="12.75">
      <c r="A343" s="49"/>
    </row>
  </sheetData>
  <mergeCells count="5">
    <mergeCell ref="E7:F7"/>
    <mergeCell ref="D7:D8"/>
    <mergeCell ref="A7:A8"/>
    <mergeCell ref="B7:B8"/>
    <mergeCell ref="C7:C8"/>
  </mergeCells>
  <printOptions horizontalCentered="1"/>
  <pageMargins left="0.5905511811023623" right="0.5905511811023623" top="0.5905511811023623" bottom="0.4724409448818898" header="0.5118110236220472" footer="0.31496062992125984"/>
  <pageSetup firstPageNumber="22" useFirstPageNumber="1" horizontalDpi="300" verticalDpi="3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7"/>
  <sheetViews>
    <sheetView zoomScale="75" zoomScaleNormal="75" workbookViewId="0" topLeftCell="A1">
      <selection activeCell="K103" sqref="K103:K106"/>
    </sheetView>
  </sheetViews>
  <sheetFormatPr defaultColWidth="9.00390625" defaultRowHeight="12.75"/>
  <cols>
    <col min="1" max="1" width="32.25390625" style="363" customWidth="1"/>
    <col min="2" max="2" width="12.375" style="363" customWidth="1"/>
    <col min="3" max="3" width="9.75390625" style="363" customWidth="1"/>
    <col min="4" max="4" width="11.875" style="363" customWidth="1"/>
    <col min="5" max="6" width="12.00390625" style="363" customWidth="1"/>
    <col min="7" max="7" width="9.00390625" style="365" customWidth="1"/>
    <col min="8" max="8" width="11.75390625" style="363" customWidth="1"/>
    <col min="9" max="9" width="12.125" style="363" customWidth="1"/>
    <col min="10" max="10" width="9.625" style="363" customWidth="1"/>
    <col min="11" max="11" width="10.875" style="363" customWidth="1"/>
    <col min="12" max="12" width="10.625" style="363" customWidth="1"/>
    <col min="13" max="13" width="13.375" style="363" customWidth="1"/>
    <col min="14" max="14" width="10.00390625" style="366" customWidth="1"/>
    <col min="15" max="15" width="11.75390625" style="367" customWidth="1"/>
    <col min="16" max="16384" width="9.125" style="367" customWidth="1"/>
  </cols>
  <sheetData>
    <row r="1" spans="1:14" ht="15.75" customHeight="1">
      <c r="A1" s="469" t="s">
        <v>161</v>
      </c>
      <c r="C1" s="364"/>
      <c r="D1" s="364"/>
      <c r="E1" s="364"/>
      <c r="F1" s="364"/>
      <c r="H1" s="364"/>
      <c r="N1" s="363"/>
    </row>
    <row r="2" ht="13.5" thickBot="1">
      <c r="N2" s="470" t="s">
        <v>73</v>
      </c>
    </row>
    <row r="3" spans="1:14" ht="14.25" customHeight="1" thickBot="1" thickTop="1">
      <c r="A3" s="368"/>
      <c r="B3" s="906" t="s">
        <v>215</v>
      </c>
      <c r="C3" s="907"/>
      <c r="D3" s="471" t="s">
        <v>163</v>
      </c>
      <c r="E3" s="472"/>
      <c r="F3" s="584"/>
      <c r="G3" s="369"/>
      <c r="H3" s="369"/>
      <c r="I3" s="369" t="s">
        <v>164</v>
      </c>
      <c r="J3" s="369"/>
      <c r="K3" s="369"/>
      <c r="L3" s="369"/>
      <c r="M3" s="740" t="s">
        <v>162</v>
      </c>
      <c r="N3" s="370"/>
    </row>
    <row r="4" spans="1:14" s="373" customFormat="1" ht="13.5" thickTop="1">
      <c r="A4" s="371" t="s">
        <v>216</v>
      </c>
      <c r="B4" s="372" t="s">
        <v>360</v>
      </c>
      <c r="C4" s="473" t="s">
        <v>217</v>
      </c>
      <c r="D4" s="373" t="s">
        <v>218</v>
      </c>
      <c r="E4" s="473" t="s">
        <v>219</v>
      </c>
      <c r="F4" s="585" t="s">
        <v>364</v>
      </c>
      <c r="G4" s="372" t="s">
        <v>220</v>
      </c>
      <c r="H4" s="372" t="s">
        <v>221</v>
      </c>
      <c r="I4" s="372" t="s">
        <v>222</v>
      </c>
      <c r="J4" s="372" t="s">
        <v>223</v>
      </c>
      <c r="K4" s="372" t="s">
        <v>224</v>
      </c>
      <c r="L4" s="372" t="s">
        <v>225</v>
      </c>
      <c r="M4" s="585" t="s">
        <v>156</v>
      </c>
      <c r="N4" s="466"/>
    </row>
    <row r="5" spans="1:14" s="373" customFormat="1" ht="12.75">
      <c r="A5" s="374" t="s">
        <v>226</v>
      </c>
      <c r="B5" s="375" t="s">
        <v>361</v>
      </c>
      <c r="C5" s="474" t="s">
        <v>227</v>
      </c>
      <c r="D5" s="433" t="s">
        <v>228</v>
      </c>
      <c r="E5" s="474" t="s">
        <v>229</v>
      </c>
      <c r="F5" s="586" t="s">
        <v>113</v>
      </c>
      <c r="G5" s="375" t="s">
        <v>230</v>
      </c>
      <c r="H5" s="372" t="s">
        <v>231</v>
      </c>
      <c r="I5" s="375" t="s">
        <v>231</v>
      </c>
      <c r="J5" s="372" t="s">
        <v>231</v>
      </c>
      <c r="K5" s="372" t="s">
        <v>231</v>
      </c>
      <c r="L5" s="372" t="s">
        <v>231</v>
      </c>
      <c r="M5" s="374" t="s">
        <v>113</v>
      </c>
      <c r="N5" s="467"/>
    </row>
    <row r="6" spans="1:14" s="373" customFormat="1" ht="12.75">
      <c r="A6" s="374"/>
      <c r="B6" s="375" t="s">
        <v>362</v>
      </c>
      <c r="C6" s="474" t="s">
        <v>232</v>
      </c>
      <c r="D6" s="433" t="s">
        <v>233</v>
      </c>
      <c r="E6" s="474" t="s">
        <v>234</v>
      </c>
      <c r="F6" s="586" t="s">
        <v>362</v>
      </c>
      <c r="G6" s="375" t="s">
        <v>235</v>
      </c>
      <c r="H6" s="372" t="s">
        <v>236</v>
      </c>
      <c r="I6" s="375" t="s">
        <v>235</v>
      </c>
      <c r="J6" s="372" t="s">
        <v>237</v>
      </c>
      <c r="K6" s="372" t="s">
        <v>238</v>
      </c>
      <c r="L6" s="372" t="s">
        <v>239</v>
      </c>
      <c r="M6" s="374" t="s">
        <v>157</v>
      </c>
      <c r="N6" s="467"/>
    </row>
    <row r="7" spans="1:14" s="373" customFormat="1" ht="12.75">
      <c r="A7" s="374"/>
      <c r="B7" s="375" t="s">
        <v>363</v>
      </c>
      <c r="C7" s="474" t="s">
        <v>240</v>
      </c>
      <c r="D7" s="433" t="s">
        <v>241</v>
      </c>
      <c r="E7" s="474" t="s">
        <v>242</v>
      </c>
      <c r="F7" s="586" t="s">
        <v>365</v>
      </c>
      <c r="G7" s="377" t="s">
        <v>244</v>
      </c>
      <c r="H7" s="372" t="s">
        <v>245</v>
      </c>
      <c r="I7" s="375" t="s">
        <v>246</v>
      </c>
      <c r="J7" s="372"/>
      <c r="K7" s="375" t="s">
        <v>247</v>
      </c>
      <c r="L7" s="372" t="s">
        <v>248</v>
      </c>
      <c r="M7" s="374" t="s">
        <v>152</v>
      </c>
      <c r="N7" s="466" t="s">
        <v>249</v>
      </c>
    </row>
    <row r="8" spans="1:14" s="373" customFormat="1" ht="12.75">
      <c r="A8" s="378" t="s">
        <v>216</v>
      </c>
      <c r="B8" s="372"/>
      <c r="C8" s="475"/>
      <c r="E8" s="474" t="s">
        <v>250</v>
      </c>
      <c r="F8" s="586" t="s">
        <v>366</v>
      </c>
      <c r="G8" s="377" t="s">
        <v>243</v>
      </c>
      <c r="H8" s="372" t="s">
        <v>251</v>
      </c>
      <c r="I8" s="375" t="s">
        <v>252</v>
      </c>
      <c r="J8" s="372"/>
      <c r="K8" s="372"/>
      <c r="L8" s="372"/>
      <c r="M8" s="374" t="s">
        <v>153</v>
      </c>
      <c r="N8" s="467"/>
    </row>
    <row r="9" spans="1:14" s="373" customFormat="1" ht="12.75">
      <c r="A9" s="378"/>
      <c r="B9" s="372"/>
      <c r="C9" s="475"/>
      <c r="E9" s="474"/>
      <c r="F9" s="586" t="s">
        <v>367</v>
      </c>
      <c r="G9" s="377"/>
      <c r="H9" s="372"/>
      <c r="I9" s="377" t="s">
        <v>253</v>
      </c>
      <c r="J9" s="372"/>
      <c r="K9" s="372"/>
      <c r="L9" s="372"/>
      <c r="M9" s="374" t="s">
        <v>154</v>
      </c>
      <c r="N9" s="467"/>
    </row>
    <row r="10" spans="1:14" s="373" customFormat="1" ht="12" customHeight="1">
      <c r="A10" s="378" t="s">
        <v>254</v>
      </c>
      <c r="B10" s="379"/>
      <c r="C10" s="476"/>
      <c r="D10" s="434"/>
      <c r="E10" s="477"/>
      <c r="F10" s="587"/>
      <c r="G10" s="380"/>
      <c r="H10" s="379"/>
      <c r="I10" s="381"/>
      <c r="J10" s="379"/>
      <c r="K10" s="379"/>
      <c r="L10" s="379"/>
      <c r="M10" s="741"/>
      <c r="N10" s="468"/>
    </row>
    <row r="11" spans="1:14" s="385" customFormat="1" ht="11.25">
      <c r="A11" s="382">
        <v>1</v>
      </c>
      <c r="B11" s="383">
        <v>2</v>
      </c>
      <c r="C11" s="383">
        <v>3</v>
      </c>
      <c r="D11" s="383">
        <v>4</v>
      </c>
      <c r="E11" s="383">
        <v>5</v>
      </c>
      <c r="F11" s="383">
        <v>6</v>
      </c>
      <c r="G11" s="383">
        <v>7</v>
      </c>
      <c r="H11" s="383">
        <v>8</v>
      </c>
      <c r="I11" s="383">
        <v>9</v>
      </c>
      <c r="J11" s="383">
        <v>10</v>
      </c>
      <c r="K11" s="383">
        <v>11</v>
      </c>
      <c r="L11" s="383">
        <v>12</v>
      </c>
      <c r="M11" s="383">
        <v>13</v>
      </c>
      <c r="N11" s="384">
        <v>14</v>
      </c>
    </row>
    <row r="12" spans="1:14" s="373" customFormat="1" ht="18" customHeight="1" thickBot="1">
      <c r="A12" s="386" t="s">
        <v>165</v>
      </c>
      <c r="B12" s="501">
        <f>B13</f>
        <v>190000</v>
      </c>
      <c r="C12" s="501">
        <f aca="true" t="shared" si="0" ref="C12:M12">C13</f>
        <v>-309</v>
      </c>
      <c r="D12" s="501">
        <f t="shared" si="0"/>
        <v>33456</v>
      </c>
      <c r="E12" s="501">
        <f t="shared" si="0"/>
        <v>4803</v>
      </c>
      <c r="F12" s="501">
        <f t="shared" si="0"/>
        <v>12586</v>
      </c>
      <c r="G12" s="501">
        <f t="shared" si="0"/>
        <v>1344</v>
      </c>
      <c r="H12" s="501">
        <f t="shared" si="0"/>
        <v>31500</v>
      </c>
      <c r="I12" s="501">
        <f t="shared" si="0"/>
        <v>5400</v>
      </c>
      <c r="J12" s="501">
        <f t="shared" si="0"/>
        <v>113500</v>
      </c>
      <c r="K12" s="501">
        <f t="shared" si="0"/>
        <v>504139</v>
      </c>
      <c r="L12" s="501">
        <f t="shared" si="0"/>
        <v>26839</v>
      </c>
      <c r="M12" s="501">
        <f t="shared" si="0"/>
        <v>4000</v>
      </c>
      <c r="N12" s="502">
        <f aca="true" t="shared" si="1" ref="N12:N28">SUM(B12:M12)</f>
        <v>927258</v>
      </c>
    </row>
    <row r="13" spans="1:16" s="388" customFormat="1" ht="18" customHeight="1">
      <c r="A13" s="387" t="s">
        <v>96</v>
      </c>
      <c r="B13" s="503">
        <f aca="true" t="shared" si="2" ref="B13:M13">B14+B72+B88+B65</f>
        <v>190000</v>
      </c>
      <c r="C13" s="503">
        <f t="shared" si="2"/>
        <v>-309</v>
      </c>
      <c r="D13" s="503">
        <f t="shared" si="2"/>
        <v>33456</v>
      </c>
      <c r="E13" s="503">
        <f t="shared" si="2"/>
        <v>4803</v>
      </c>
      <c r="F13" s="503">
        <f t="shared" si="2"/>
        <v>12586</v>
      </c>
      <c r="G13" s="503">
        <f t="shared" si="2"/>
        <v>1344</v>
      </c>
      <c r="H13" s="503">
        <f t="shared" si="2"/>
        <v>31500</v>
      </c>
      <c r="I13" s="503">
        <f t="shared" si="2"/>
        <v>5400</v>
      </c>
      <c r="J13" s="503">
        <f t="shared" si="2"/>
        <v>113500</v>
      </c>
      <c r="K13" s="503">
        <f t="shared" si="2"/>
        <v>504139</v>
      </c>
      <c r="L13" s="503">
        <f t="shared" si="2"/>
        <v>26839</v>
      </c>
      <c r="M13" s="503">
        <f t="shared" si="2"/>
        <v>4000</v>
      </c>
      <c r="N13" s="503">
        <f t="shared" si="1"/>
        <v>927258</v>
      </c>
      <c r="P13" s="388" t="s">
        <v>345</v>
      </c>
    </row>
    <row r="14" spans="1:14" s="373" customFormat="1" ht="24" customHeight="1" thickBot="1">
      <c r="A14" s="688" t="s">
        <v>255</v>
      </c>
      <c r="B14" s="689">
        <f>B15+B26+B28+B49+B57+B61+B47+B63</f>
        <v>190000</v>
      </c>
      <c r="C14" s="689"/>
      <c r="D14" s="689">
        <f>D15+D26+D28+D49+D57+D61+D47+D63</f>
        <v>33000</v>
      </c>
      <c r="E14" s="689">
        <f>E15+E26+E28+E49+E57+E61+E47+E63</f>
        <v>4700</v>
      </c>
      <c r="F14" s="689">
        <f>F15+F26+F28+F49+F57+F61+F47+F63</f>
        <v>12586</v>
      </c>
      <c r="G14" s="689"/>
      <c r="H14" s="689">
        <f aca="true" t="shared" si="3" ref="H14:M14">H15+H26+H28+H49+H57+H61+H47+H63</f>
        <v>31500</v>
      </c>
      <c r="I14" s="689">
        <f t="shared" si="3"/>
        <v>5400</v>
      </c>
      <c r="J14" s="689">
        <f t="shared" si="3"/>
        <v>111500</v>
      </c>
      <c r="K14" s="689">
        <f t="shared" si="3"/>
        <v>445139</v>
      </c>
      <c r="L14" s="689">
        <f t="shared" si="3"/>
        <v>27089</v>
      </c>
      <c r="M14" s="689">
        <f t="shared" si="3"/>
        <v>4000</v>
      </c>
      <c r="N14" s="690">
        <f t="shared" si="1"/>
        <v>864914</v>
      </c>
    </row>
    <row r="15" spans="1:14" ht="19.5" customHeight="1" thickBot="1" thickTop="1">
      <c r="A15" s="392" t="s">
        <v>342</v>
      </c>
      <c r="B15" s="504">
        <f>SUM(B16:B25)</f>
        <v>-44000</v>
      </c>
      <c r="C15" s="504"/>
      <c r="D15" s="504">
        <f aca="true" t="shared" si="4" ref="D15:L15">SUM(D16:D25)</f>
        <v>-7680</v>
      </c>
      <c r="E15" s="504">
        <f t="shared" si="4"/>
        <v>-1080</v>
      </c>
      <c r="F15" s="504"/>
      <c r="G15" s="504"/>
      <c r="H15" s="504"/>
      <c r="I15" s="504"/>
      <c r="J15" s="504">
        <f t="shared" si="4"/>
        <v>60000</v>
      </c>
      <c r="K15" s="504">
        <f t="shared" si="4"/>
        <v>120500</v>
      </c>
      <c r="L15" s="504">
        <f t="shared" si="4"/>
        <v>20000</v>
      </c>
      <c r="M15" s="504"/>
      <c r="N15" s="672">
        <f>SUM(B15:M15)</f>
        <v>147740</v>
      </c>
    </row>
    <row r="16" spans="1:14" ht="18" customHeight="1">
      <c r="A16" s="393" t="s">
        <v>171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>
        <v>11000</v>
      </c>
      <c r="L16" s="390"/>
      <c r="M16" s="506"/>
      <c r="N16" s="500">
        <f t="shared" si="1"/>
        <v>11000</v>
      </c>
    </row>
    <row r="17" spans="1:14" ht="18" customHeight="1">
      <c r="A17" s="393" t="s">
        <v>185</v>
      </c>
      <c r="B17" s="390"/>
      <c r="C17" s="390"/>
      <c r="D17" s="390"/>
      <c r="E17" s="390"/>
      <c r="F17" s="390"/>
      <c r="G17" s="390"/>
      <c r="H17" s="390"/>
      <c r="I17" s="390"/>
      <c r="J17" s="390">
        <v>30000</v>
      </c>
      <c r="K17" s="390"/>
      <c r="L17" s="390"/>
      <c r="M17" s="391"/>
      <c r="N17" s="500">
        <f t="shared" si="1"/>
        <v>30000</v>
      </c>
    </row>
    <row r="18" spans="1:14" ht="18" customHeight="1">
      <c r="A18" s="393" t="s">
        <v>186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>
        <v>30000</v>
      </c>
      <c r="L18" s="390"/>
      <c r="M18" s="391"/>
      <c r="N18" s="500">
        <f t="shared" si="1"/>
        <v>30000</v>
      </c>
    </row>
    <row r="19" spans="1:14" ht="18" customHeight="1">
      <c r="A19" s="393" t="s">
        <v>187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>
        <v>8000</v>
      </c>
      <c r="L19" s="390"/>
      <c r="M19" s="391"/>
      <c r="N19" s="500">
        <f t="shared" si="1"/>
        <v>8000</v>
      </c>
    </row>
    <row r="20" spans="1:14" ht="18" customHeight="1">
      <c r="A20" s="393" t="s">
        <v>188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>
        <v>35000</v>
      </c>
      <c r="L20" s="390"/>
      <c r="M20" s="391"/>
      <c r="N20" s="500">
        <f t="shared" si="1"/>
        <v>35000</v>
      </c>
    </row>
    <row r="21" spans="1:14" ht="18" customHeight="1">
      <c r="A21" s="393" t="s">
        <v>190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>
        <v>20000</v>
      </c>
      <c r="M21" s="391"/>
      <c r="N21" s="500">
        <f t="shared" si="1"/>
        <v>20000</v>
      </c>
    </row>
    <row r="22" spans="1:14" ht="18" customHeight="1">
      <c r="A22" s="393" t="s">
        <v>189</v>
      </c>
      <c r="B22" s="390">
        <v>-44000</v>
      </c>
      <c r="C22" s="390"/>
      <c r="D22" s="390">
        <v>-7680</v>
      </c>
      <c r="E22" s="390">
        <v>-1080</v>
      </c>
      <c r="F22" s="390"/>
      <c r="G22" s="390"/>
      <c r="H22" s="390"/>
      <c r="I22" s="390"/>
      <c r="J22" s="390"/>
      <c r="K22" s="390"/>
      <c r="L22" s="390"/>
      <c r="M22" s="391"/>
      <c r="N22" s="500">
        <f t="shared" si="1"/>
        <v>-52760</v>
      </c>
    </row>
    <row r="23" spans="1:14" ht="18" customHeight="1">
      <c r="A23" s="393" t="s">
        <v>191</v>
      </c>
      <c r="B23" s="390"/>
      <c r="C23" s="390"/>
      <c r="D23" s="390"/>
      <c r="E23" s="390"/>
      <c r="F23" s="390"/>
      <c r="G23" s="390"/>
      <c r="H23" s="390"/>
      <c r="I23" s="390"/>
      <c r="J23" s="390">
        <v>30000</v>
      </c>
      <c r="K23" s="390"/>
      <c r="L23" s="390"/>
      <c r="M23" s="391"/>
      <c r="N23" s="500">
        <f t="shared" si="1"/>
        <v>30000</v>
      </c>
    </row>
    <row r="24" spans="1:14" ht="26.25" customHeight="1">
      <c r="A24" s="393" t="s">
        <v>9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>
        <v>30000</v>
      </c>
      <c r="L24" s="390"/>
      <c r="M24" s="391"/>
      <c r="N24" s="500">
        <f t="shared" si="1"/>
        <v>30000</v>
      </c>
    </row>
    <row r="25" spans="1:14" ht="18" customHeight="1" thickBot="1">
      <c r="A25" s="393" t="s">
        <v>256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>
        <v>6500</v>
      </c>
      <c r="L25" s="390"/>
      <c r="M25" s="391"/>
      <c r="N25" s="500">
        <f t="shared" si="1"/>
        <v>6500</v>
      </c>
    </row>
    <row r="26" spans="1:14" ht="39" customHeight="1" thickBot="1">
      <c r="A26" s="397" t="s">
        <v>370</v>
      </c>
      <c r="B26" s="508">
        <f>SUM(B27:B27)</f>
        <v>44000</v>
      </c>
      <c r="C26" s="508"/>
      <c r="D26" s="508">
        <f>SUM(D27:D27)</f>
        <v>7680</v>
      </c>
      <c r="E26" s="508">
        <f>SUM(E27:E27)</f>
        <v>1080</v>
      </c>
      <c r="F26" s="508"/>
      <c r="G26" s="508"/>
      <c r="H26" s="508"/>
      <c r="I26" s="508"/>
      <c r="J26" s="508"/>
      <c r="K26" s="508"/>
      <c r="L26" s="508"/>
      <c r="M26" s="508"/>
      <c r="N26" s="671">
        <f t="shared" si="1"/>
        <v>52760</v>
      </c>
    </row>
    <row r="27" spans="1:14" ht="18" customHeight="1" thickBot="1">
      <c r="A27" s="393" t="s">
        <v>189</v>
      </c>
      <c r="B27" s="507">
        <v>44000</v>
      </c>
      <c r="C27" s="507"/>
      <c r="D27" s="507">
        <v>7680</v>
      </c>
      <c r="E27" s="507">
        <v>1080</v>
      </c>
      <c r="F27" s="507"/>
      <c r="G27" s="507"/>
      <c r="H27" s="507"/>
      <c r="I27" s="507"/>
      <c r="J27" s="507"/>
      <c r="K27" s="507"/>
      <c r="L27" s="507"/>
      <c r="M27" s="506"/>
      <c r="N27" s="500">
        <f t="shared" si="1"/>
        <v>52760</v>
      </c>
    </row>
    <row r="28" spans="1:14" s="376" customFormat="1" ht="18" customHeight="1" thickBot="1">
      <c r="A28" s="397" t="s">
        <v>257</v>
      </c>
      <c r="B28" s="508"/>
      <c r="C28" s="508"/>
      <c r="D28" s="508"/>
      <c r="E28" s="508"/>
      <c r="F28" s="508">
        <f>SUM(F29:F46)</f>
        <v>-314</v>
      </c>
      <c r="G28" s="508"/>
      <c r="H28" s="508"/>
      <c r="I28" s="508">
        <f>SUM(I29:I46)</f>
        <v>-4600</v>
      </c>
      <c r="J28" s="508">
        <f>SUM(J29:J46)</f>
        <v>3500</v>
      </c>
      <c r="K28" s="508">
        <f>SUM(K29:K46)</f>
        <v>187125</v>
      </c>
      <c r="L28" s="508">
        <f>SUM(L29:L46)</f>
        <v>-911</v>
      </c>
      <c r="M28" s="508">
        <f>SUM(M29:M46)</f>
        <v>4000</v>
      </c>
      <c r="N28" s="509">
        <f t="shared" si="1"/>
        <v>188800</v>
      </c>
    </row>
    <row r="29" spans="1:14" ht="18" customHeight="1">
      <c r="A29" s="393" t="s">
        <v>422</v>
      </c>
      <c r="B29" s="390"/>
      <c r="C29" s="390"/>
      <c r="D29" s="390"/>
      <c r="E29" s="390"/>
      <c r="F29" s="390"/>
      <c r="G29" s="390"/>
      <c r="H29" s="390"/>
      <c r="I29" s="390">
        <v>-600</v>
      </c>
      <c r="J29" s="390"/>
      <c r="K29" s="390">
        <v>600</v>
      </c>
      <c r="L29" s="390"/>
      <c r="M29" s="391"/>
      <c r="N29" s="500">
        <f aca="true" t="shared" si="5" ref="N29:N48">SUM(B29:M29)</f>
        <v>0</v>
      </c>
    </row>
    <row r="30" spans="1:14" ht="18" customHeight="1">
      <c r="A30" s="393" t="s">
        <v>425</v>
      </c>
      <c r="B30" s="390"/>
      <c r="C30" s="390"/>
      <c r="D30" s="390"/>
      <c r="E30" s="390"/>
      <c r="F30" s="390"/>
      <c r="G30" s="390"/>
      <c r="H30" s="390"/>
      <c r="I30" s="390"/>
      <c r="J30" s="390">
        <v>3500</v>
      </c>
      <c r="K30" s="390"/>
      <c r="L30" s="390">
        <v>300</v>
      </c>
      <c r="M30" s="391"/>
      <c r="N30" s="500">
        <f t="shared" si="5"/>
        <v>3800</v>
      </c>
    </row>
    <row r="31" spans="1:14" ht="18" customHeight="1">
      <c r="A31" s="393" t="s">
        <v>10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>
        <v>8000</v>
      </c>
      <c r="L31" s="390"/>
      <c r="M31" s="391"/>
      <c r="N31" s="500">
        <f t="shared" si="5"/>
        <v>8000</v>
      </c>
    </row>
    <row r="32" spans="1:14" ht="18" customHeight="1">
      <c r="A32" s="393" t="s">
        <v>11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>
        <v>5000</v>
      </c>
      <c r="L32" s="390"/>
      <c r="M32" s="391"/>
      <c r="N32" s="500">
        <f t="shared" si="5"/>
        <v>5000</v>
      </c>
    </row>
    <row r="33" spans="1:14" ht="18" customHeight="1">
      <c r="A33" s="393" t="s">
        <v>12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>
        <v>25000</v>
      </c>
      <c r="L33" s="390"/>
      <c r="M33" s="391"/>
      <c r="N33" s="500">
        <f t="shared" si="5"/>
        <v>25000</v>
      </c>
    </row>
    <row r="34" spans="1:14" ht="18" customHeight="1">
      <c r="A34" s="393" t="s">
        <v>277</v>
      </c>
      <c r="B34" s="390"/>
      <c r="C34" s="390"/>
      <c r="D34" s="390"/>
      <c r="E34" s="390"/>
      <c r="F34" s="390"/>
      <c r="G34" s="390"/>
      <c r="H34" s="390"/>
      <c r="I34" s="390"/>
      <c r="J34" s="390"/>
      <c r="K34" s="390">
        <v>30000</v>
      </c>
      <c r="L34" s="390"/>
      <c r="M34" s="391"/>
      <c r="N34" s="500">
        <f t="shared" si="5"/>
        <v>30000</v>
      </c>
    </row>
    <row r="35" spans="1:14" ht="18" customHeight="1">
      <c r="A35" s="393" t="s">
        <v>13</v>
      </c>
      <c r="B35" s="390"/>
      <c r="C35" s="390"/>
      <c r="D35" s="390"/>
      <c r="E35" s="390"/>
      <c r="F35" s="390"/>
      <c r="G35" s="390"/>
      <c r="H35" s="390"/>
      <c r="I35" s="390"/>
      <c r="J35" s="390"/>
      <c r="K35" s="390">
        <v>14000</v>
      </c>
      <c r="L35" s="390"/>
      <c r="M35" s="391"/>
      <c r="N35" s="500">
        <f t="shared" si="5"/>
        <v>14000</v>
      </c>
    </row>
    <row r="36" spans="1:14" ht="18" customHeight="1">
      <c r="A36" s="393" t="s">
        <v>14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>
        <v>4000</v>
      </c>
      <c r="L36" s="390"/>
      <c r="M36" s="391"/>
      <c r="N36" s="500">
        <f t="shared" si="5"/>
        <v>4000</v>
      </c>
    </row>
    <row r="37" spans="1:14" ht="18" customHeight="1">
      <c r="A37" s="393" t="s">
        <v>15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>
        <v>6000</v>
      </c>
      <c r="L37" s="390"/>
      <c r="M37" s="391"/>
      <c r="N37" s="500">
        <f t="shared" si="5"/>
        <v>6000</v>
      </c>
    </row>
    <row r="38" spans="1:14" ht="18" customHeight="1">
      <c r="A38" s="393" t="s">
        <v>16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>
        <v>15000</v>
      </c>
      <c r="L38" s="390"/>
      <c r="M38" s="391"/>
      <c r="N38" s="500">
        <f t="shared" si="5"/>
        <v>15000</v>
      </c>
    </row>
    <row r="39" spans="1:14" ht="18" customHeight="1">
      <c r="A39" s="393" t="s">
        <v>278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>
        <v>15000</v>
      </c>
      <c r="L39" s="390"/>
      <c r="M39" s="391"/>
      <c r="N39" s="500">
        <f t="shared" si="5"/>
        <v>15000</v>
      </c>
    </row>
    <row r="40" spans="1:14" ht="18" customHeight="1">
      <c r="A40" s="393" t="s">
        <v>17</v>
      </c>
      <c r="B40" s="390"/>
      <c r="C40" s="390"/>
      <c r="D40" s="390"/>
      <c r="E40" s="390"/>
      <c r="F40" s="390"/>
      <c r="G40" s="390"/>
      <c r="H40" s="390"/>
      <c r="I40" s="390"/>
      <c r="J40" s="390"/>
      <c r="K40" s="390">
        <v>6000</v>
      </c>
      <c r="L40" s="390"/>
      <c r="M40" s="391"/>
      <c r="N40" s="500">
        <f t="shared" si="5"/>
        <v>6000</v>
      </c>
    </row>
    <row r="41" spans="1:14" ht="18" customHeight="1">
      <c r="A41" s="393" t="s">
        <v>424</v>
      </c>
      <c r="B41" s="390"/>
      <c r="C41" s="390"/>
      <c r="D41" s="390"/>
      <c r="E41" s="390"/>
      <c r="F41" s="390"/>
      <c r="G41" s="390"/>
      <c r="H41" s="390"/>
      <c r="I41" s="390">
        <v>-4000</v>
      </c>
      <c r="J41" s="390"/>
      <c r="K41" s="390">
        <v>5000</v>
      </c>
      <c r="L41" s="390"/>
      <c r="M41" s="391">
        <v>4000</v>
      </c>
      <c r="N41" s="500">
        <f t="shared" si="5"/>
        <v>5000</v>
      </c>
    </row>
    <row r="42" spans="1:14" ht="18" customHeight="1">
      <c r="A42" s="393" t="s">
        <v>18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>
        <v>5000</v>
      </c>
      <c r="L42" s="390"/>
      <c r="M42" s="391"/>
      <c r="N42" s="500">
        <f t="shared" si="5"/>
        <v>5000</v>
      </c>
    </row>
    <row r="43" spans="1:14" ht="18" customHeight="1">
      <c r="A43" s="393" t="s">
        <v>279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>
        <v>10000</v>
      </c>
      <c r="L43" s="390"/>
      <c r="M43" s="391"/>
      <c r="N43" s="500">
        <f t="shared" si="5"/>
        <v>10000</v>
      </c>
    </row>
    <row r="44" spans="1:14" ht="18" customHeight="1">
      <c r="A44" s="393" t="s">
        <v>19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>
        <v>12000</v>
      </c>
      <c r="L44" s="390"/>
      <c r="M44" s="391"/>
      <c r="N44" s="500">
        <f t="shared" si="5"/>
        <v>12000</v>
      </c>
    </row>
    <row r="45" spans="1:14" ht="18" customHeight="1">
      <c r="A45" s="393" t="s">
        <v>423</v>
      </c>
      <c r="B45" s="390"/>
      <c r="C45" s="390"/>
      <c r="D45" s="390"/>
      <c r="E45" s="390"/>
      <c r="F45" s="390">
        <v>-314</v>
      </c>
      <c r="G45" s="390"/>
      <c r="H45" s="390"/>
      <c r="I45" s="390"/>
      <c r="J45" s="390"/>
      <c r="K45" s="390">
        <v>1525</v>
      </c>
      <c r="L45" s="390">
        <v>-1211</v>
      </c>
      <c r="M45" s="391"/>
      <c r="N45" s="500">
        <f t="shared" si="5"/>
        <v>0</v>
      </c>
    </row>
    <row r="46" spans="1:14" ht="18" customHeight="1" thickBot="1">
      <c r="A46" s="393" t="s">
        <v>280</v>
      </c>
      <c r="B46" s="390"/>
      <c r="C46" s="390"/>
      <c r="D46" s="390"/>
      <c r="E46" s="390"/>
      <c r="F46" s="390"/>
      <c r="G46" s="390"/>
      <c r="H46" s="390"/>
      <c r="I46" s="390"/>
      <c r="J46" s="390"/>
      <c r="K46" s="390">
        <v>25000</v>
      </c>
      <c r="L46" s="390"/>
      <c r="M46" s="391"/>
      <c r="N46" s="500">
        <f t="shared" si="5"/>
        <v>25000</v>
      </c>
    </row>
    <row r="47" spans="1:14" s="376" customFormat="1" ht="21.75" customHeight="1" thickBot="1">
      <c r="A47" s="397" t="s">
        <v>25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>
        <f>K48</f>
        <v>30000</v>
      </c>
      <c r="L47" s="508"/>
      <c r="M47" s="508"/>
      <c r="N47" s="509">
        <f t="shared" si="5"/>
        <v>30000</v>
      </c>
    </row>
    <row r="48" spans="1:14" ht="18" customHeight="1" thickBot="1">
      <c r="A48" s="393" t="s">
        <v>26</v>
      </c>
      <c r="B48" s="390"/>
      <c r="C48" s="390"/>
      <c r="D48" s="390"/>
      <c r="E48" s="390"/>
      <c r="F48" s="390"/>
      <c r="G48" s="390"/>
      <c r="H48" s="390"/>
      <c r="I48" s="390"/>
      <c r="J48" s="390"/>
      <c r="K48" s="390">
        <v>30000</v>
      </c>
      <c r="L48" s="390"/>
      <c r="M48" s="391"/>
      <c r="N48" s="500">
        <f t="shared" si="5"/>
        <v>30000</v>
      </c>
    </row>
    <row r="49" spans="1:14" s="376" customFormat="1" ht="21.75" customHeight="1" thickBot="1">
      <c r="A49" s="397" t="s">
        <v>166</v>
      </c>
      <c r="B49" s="508">
        <f>SUM(B50:B56)</f>
        <v>190000</v>
      </c>
      <c r="C49" s="508"/>
      <c r="D49" s="508">
        <f>SUM(D50:D56)</f>
        <v>33000</v>
      </c>
      <c r="E49" s="508">
        <f>SUM(E50:E56)</f>
        <v>4700</v>
      </c>
      <c r="F49" s="508"/>
      <c r="G49" s="508"/>
      <c r="H49" s="508">
        <f>SUM(H50:H56)</f>
        <v>31500</v>
      </c>
      <c r="I49" s="508">
        <f>SUM(I50:I56)</f>
        <v>10000</v>
      </c>
      <c r="J49" s="508">
        <f>SUM(J50:J56)</f>
        <v>34000</v>
      </c>
      <c r="K49" s="508">
        <f>SUM(K50:K56)</f>
        <v>82514</v>
      </c>
      <c r="L49" s="508">
        <f>SUM(L50:L56)</f>
        <v>8000</v>
      </c>
      <c r="M49" s="508"/>
      <c r="N49" s="509">
        <f aca="true" t="shared" si="6" ref="N49:N60">SUM(B49:M49)</f>
        <v>393714</v>
      </c>
    </row>
    <row r="50" spans="1:14" s="376" customFormat="1" ht="19.5" customHeight="1">
      <c r="A50" s="479" t="s">
        <v>193</v>
      </c>
      <c r="B50" s="608"/>
      <c r="C50" s="608"/>
      <c r="D50" s="608"/>
      <c r="E50" s="608"/>
      <c r="F50" s="608"/>
      <c r="G50" s="608"/>
      <c r="H50" s="608"/>
      <c r="I50" s="608"/>
      <c r="J50" s="608"/>
      <c r="K50" s="610">
        <v>30000</v>
      </c>
      <c r="L50" s="608"/>
      <c r="M50" s="609"/>
      <c r="N50" s="500">
        <f t="shared" si="6"/>
        <v>30000</v>
      </c>
    </row>
    <row r="51" spans="1:14" s="394" customFormat="1" ht="19.5" customHeight="1">
      <c r="A51" s="479" t="s">
        <v>194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>
        <v>14014</v>
      </c>
      <c r="L51" s="390"/>
      <c r="M51" s="391"/>
      <c r="N51" s="500">
        <f t="shared" si="6"/>
        <v>14014</v>
      </c>
    </row>
    <row r="52" spans="1:14" s="394" customFormat="1" ht="19.5" customHeight="1">
      <c r="A52" s="479" t="s">
        <v>195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>
        <v>14000</v>
      </c>
      <c r="L52" s="390"/>
      <c r="M52" s="391"/>
      <c r="N52" s="500">
        <f t="shared" si="6"/>
        <v>14000</v>
      </c>
    </row>
    <row r="53" spans="1:14" s="394" customFormat="1" ht="19.5" customHeight="1">
      <c r="A53" s="479" t="s">
        <v>196</v>
      </c>
      <c r="B53" s="390"/>
      <c r="C53" s="390"/>
      <c r="D53" s="390"/>
      <c r="E53" s="390"/>
      <c r="F53" s="390"/>
      <c r="G53" s="390"/>
      <c r="H53" s="390">
        <v>16000</v>
      </c>
      <c r="I53" s="390"/>
      <c r="J53" s="390">
        <v>4000</v>
      </c>
      <c r="K53" s="390"/>
      <c r="L53" s="390"/>
      <c r="M53" s="391"/>
      <c r="N53" s="500">
        <f t="shared" si="6"/>
        <v>20000</v>
      </c>
    </row>
    <row r="54" spans="1:14" s="394" customFormat="1" ht="19.5" customHeight="1">
      <c r="A54" s="479" t="s">
        <v>167</v>
      </c>
      <c r="B54" s="390"/>
      <c r="C54" s="390"/>
      <c r="D54" s="390"/>
      <c r="E54" s="390"/>
      <c r="F54" s="390"/>
      <c r="G54" s="390"/>
      <c r="H54" s="390">
        <v>5500</v>
      </c>
      <c r="I54" s="390"/>
      <c r="J54" s="390"/>
      <c r="K54" s="390">
        <f>-5500+30000</f>
        <v>24500</v>
      </c>
      <c r="L54" s="390"/>
      <c r="M54" s="391"/>
      <c r="N54" s="500">
        <f t="shared" si="6"/>
        <v>30000</v>
      </c>
    </row>
    <row r="55" spans="1:14" s="394" customFormat="1" ht="19.5" customHeight="1">
      <c r="A55" s="479" t="s">
        <v>168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>
        <v>8000</v>
      </c>
      <c r="M55" s="391"/>
      <c r="N55" s="500">
        <f t="shared" si="6"/>
        <v>8000</v>
      </c>
    </row>
    <row r="56" spans="1:14" s="394" customFormat="1" ht="19.5" customHeight="1" thickBot="1">
      <c r="A56" s="479" t="s">
        <v>62</v>
      </c>
      <c r="B56" s="390">
        <v>190000</v>
      </c>
      <c r="C56" s="390"/>
      <c r="D56" s="390">
        <v>33000</v>
      </c>
      <c r="E56" s="390">
        <v>4700</v>
      </c>
      <c r="F56" s="390"/>
      <c r="G56" s="390"/>
      <c r="H56" s="390">
        <v>10000</v>
      </c>
      <c r="I56" s="390">
        <v>10000</v>
      </c>
      <c r="J56" s="390">
        <v>30000</v>
      </c>
      <c r="K56" s="390"/>
      <c r="L56" s="390"/>
      <c r="M56" s="391"/>
      <c r="N56" s="500">
        <f t="shared" si="6"/>
        <v>277700</v>
      </c>
    </row>
    <row r="57" spans="1:14" s="394" customFormat="1" ht="30" customHeight="1" thickBot="1">
      <c r="A57" s="397" t="s">
        <v>169</v>
      </c>
      <c r="B57" s="509"/>
      <c r="C57" s="509"/>
      <c r="D57" s="509"/>
      <c r="E57" s="509"/>
      <c r="F57" s="509">
        <f>SUM(F58:F60)</f>
        <v>12900</v>
      </c>
      <c r="G57" s="509"/>
      <c r="H57" s="509"/>
      <c r="I57" s="509"/>
      <c r="J57" s="509">
        <f>SUM(J58:J60)</f>
        <v>10000</v>
      </c>
      <c r="K57" s="509">
        <f>SUM(K58:K60)</f>
        <v>15000</v>
      </c>
      <c r="L57" s="509"/>
      <c r="M57" s="509"/>
      <c r="N57" s="509">
        <f t="shared" si="6"/>
        <v>37900</v>
      </c>
    </row>
    <row r="58" spans="1:14" s="394" customFormat="1" ht="19.5" customHeight="1">
      <c r="A58" s="396" t="s">
        <v>199</v>
      </c>
      <c r="B58" s="510"/>
      <c r="C58" s="510"/>
      <c r="D58" s="510"/>
      <c r="E58" s="510"/>
      <c r="F58" s="510"/>
      <c r="G58" s="510"/>
      <c r="H58" s="510"/>
      <c r="I58" s="510"/>
      <c r="J58" s="510"/>
      <c r="K58" s="510">
        <v>15000</v>
      </c>
      <c r="L58" s="510"/>
      <c r="M58" s="511"/>
      <c r="N58" s="500">
        <f t="shared" si="6"/>
        <v>15000</v>
      </c>
    </row>
    <row r="59" spans="1:14" s="394" customFormat="1" ht="19.5" customHeight="1">
      <c r="A59" s="396" t="s">
        <v>170</v>
      </c>
      <c r="B59" s="510"/>
      <c r="C59" s="510"/>
      <c r="D59" s="510"/>
      <c r="E59" s="510"/>
      <c r="F59" s="510">
        <v>12900</v>
      </c>
      <c r="G59" s="510"/>
      <c r="H59" s="510"/>
      <c r="I59" s="510"/>
      <c r="J59" s="510"/>
      <c r="K59" s="510"/>
      <c r="L59" s="510"/>
      <c r="M59" s="511"/>
      <c r="N59" s="500">
        <f t="shared" si="6"/>
        <v>12900</v>
      </c>
    </row>
    <row r="60" spans="1:14" s="394" customFormat="1" ht="19.5" customHeight="1" thickBot="1">
      <c r="A60" s="393" t="s">
        <v>63</v>
      </c>
      <c r="B60" s="510"/>
      <c r="C60" s="510"/>
      <c r="D60" s="510"/>
      <c r="E60" s="510"/>
      <c r="F60" s="510"/>
      <c r="G60" s="510"/>
      <c r="H60" s="510"/>
      <c r="I60" s="510"/>
      <c r="J60" s="510">
        <v>10000</v>
      </c>
      <c r="K60" s="510"/>
      <c r="L60" s="510"/>
      <c r="M60" s="511"/>
      <c r="N60" s="500">
        <f t="shared" si="6"/>
        <v>10000</v>
      </c>
    </row>
    <row r="61" spans="1:14" s="394" customFormat="1" ht="19.5" customHeight="1" thickBot="1">
      <c r="A61" s="397" t="s">
        <v>64</v>
      </c>
      <c r="B61" s="509"/>
      <c r="C61" s="509"/>
      <c r="D61" s="509"/>
      <c r="E61" s="509"/>
      <c r="F61" s="509"/>
      <c r="G61" s="509"/>
      <c r="H61" s="509"/>
      <c r="I61" s="509"/>
      <c r="J61" s="509">
        <f>SUM(J62:J62)</f>
        <v>4000</v>
      </c>
      <c r="K61" s="509"/>
      <c r="L61" s="509"/>
      <c r="M61" s="509"/>
      <c r="N61" s="509">
        <f>SUM(C61:M61)</f>
        <v>4000</v>
      </c>
    </row>
    <row r="62" spans="1:14" s="373" customFormat="1" ht="30" customHeight="1" thickBot="1">
      <c r="A62" s="393" t="s">
        <v>476</v>
      </c>
      <c r="B62" s="390"/>
      <c r="C62" s="390"/>
      <c r="D62" s="390"/>
      <c r="E62" s="390"/>
      <c r="F62" s="390"/>
      <c r="G62" s="390"/>
      <c r="H62" s="390"/>
      <c r="I62" s="390"/>
      <c r="J62" s="390">
        <v>4000</v>
      </c>
      <c r="K62" s="390"/>
      <c r="L62" s="390"/>
      <c r="M62" s="391"/>
      <c r="N62" s="500">
        <f>SUM(C62:M62)</f>
        <v>4000</v>
      </c>
    </row>
    <row r="63" spans="1:14" s="394" customFormat="1" ht="19.5" customHeight="1" thickBot="1">
      <c r="A63" s="397" t="s">
        <v>28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>
        <f>K64</f>
        <v>10000</v>
      </c>
      <c r="L63" s="509"/>
      <c r="M63" s="509"/>
      <c r="N63" s="509">
        <f>SUM(C63:M63)</f>
        <v>10000</v>
      </c>
    </row>
    <row r="64" spans="1:14" s="373" customFormat="1" ht="30" customHeight="1" thickBot="1">
      <c r="A64" s="393" t="s">
        <v>203</v>
      </c>
      <c r="B64" s="390"/>
      <c r="C64" s="390"/>
      <c r="D64" s="390"/>
      <c r="E64" s="390"/>
      <c r="F64" s="390"/>
      <c r="G64" s="390"/>
      <c r="H64" s="390"/>
      <c r="I64" s="390"/>
      <c r="J64" s="390"/>
      <c r="K64" s="390">
        <v>10000</v>
      </c>
      <c r="L64" s="390"/>
      <c r="M64" s="391"/>
      <c r="N64" s="500">
        <f>SUM(C64:M64)</f>
        <v>10000</v>
      </c>
    </row>
    <row r="65" spans="1:14" s="428" customFormat="1" ht="22.5" customHeight="1" thickBot="1">
      <c r="A65" s="691" t="s">
        <v>262</v>
      </c>
      <c r="B65" s="692"/>
      <c r="C65" s="692">
        <f aca="true" t="shared" si="7" ref="C65:E67">C66</f>
        <v>-1272</v>
      </c>
      <c r="D65" s="692">
        <f t="shared" si="7"/>
        <v>1111</v>
      </c>
      <c r="E65" s="692">
        <f t="shared" si="7"/>
        <v>161</v>
      </c>
      <c r="F65" s="692"/>
      <c r="G65" s="692"/>
      <c r="H65" s="692"/>
      <c r="I65" s="692"/>
      <c r="J65" s="692"/>
      <c r="K65" s="692"/>
      <c r="L65" s="692"/>
      <c r="M65" s="692"/>
      <c r="N65" s="692">
        <f>SUM(C65:M65)</f>
        <v>0</v>
      </c>
    </row>
    <row r="66" spans="1:14" ht="28.5" customHeight="1" thickBot="1" thickTop="1">
      <c r="A66" s="397" t="s">
        <v>183</v>
      </c>
      <c r="B66" s="508"/>
      <c r="C66" s="508">
        <f t="shared" si="7"/>
        <v>-1272</v>
      </c>
      <c r="D66" s="508">
        <f t="shared" si="7"/>
        <v>1111</v>
      </c>
      <c r="E66" s="508">
        <f t="shared" si="7"/>
        <v>161</v>
      </c>
      <c r="F66" s="508"/>
      <c r="G66" s="508"/>
      <c r="H66" s="508"/>
      <c r="I66" s="508"/>
      <c r="J66" s="508"/>
      <c r="K66" s="508"/>
      <c r="L66" s="508"/>
      <c r="M66" s="508"/>
      <c r="N66" s="671">
        <f aca="true" t="shared" si="8" ref="N66:N71">SUM(B66:M66)</f>
        <v>0</v>
      </c>
    </row>
    <row r="67" spans="1:14" s="420" customFormat="1" ht="51" customHeight="1">
      <c r="A67" s="411" t="s">
        <v>179</v>
      </c>
      <c r="B67" s="418"/>
      <c r="C67" s="418">
        <f t="shared" si="7"/>
        <v>-1272</v>
      </c>
      <c r="D67" s="418">
        <f t="shared" si="7"/>
        <v>1111</v>
      </c>
      <c r="E67" s="418">
        <f t="shared" si="7"/>
        <v>161</v>
      </c>
      <c r="F67" s="418"/>
      <c r="G67" s="418"/>
      <c r="H67" s="418"/>
      <c r="I67" s="418"/>
      <c r="J67" s="418"/>
      <c r="K67" s="418"/>
      <c r="L67" s="418"/>
      <c r="M67" s="418"/>
      <c r="N67" s="419">
        <f t="shared" si="8"/>
        <v>0</v>
      </c>
    </row>
    <row r="68" spans="1:14" s="421" customFormat="1" ht="157.5" customHeight="1">
      <c r="A68" s="619" t="s">
        <v>180</v>
      </c>
      <c r="B68" s="694"/>
      <c r="C68" s="694">
        <f>SUM(C69:C71)</f>
        <v>-1272</v>
      </c>
      <c r="D68" s="694">
        <f>SUM(D69:D71)</f>
        <v>1111</v>
      </c>
      <c r="E68" s="694">
        <f>SUM(E69:E71)</f>
        <v>161</v>
      </c>
      <c r="F68" s="694"/>
      <c r="G68" s="694"/>
      <c r="H68" s="694"/>
      <c r="I68" s="694"/>
      <c r="J68" s="694"/>
      <c r="K68" s="694"/>
      <c r="L68" s="694"/>
      <c r="M68" s="694"/>
      <c r="N68" s="427">
        <f t="shared" si="8"/>
        <v>0</v>
      </c>
    </row>
    <row r="69" spans="1:14" s="422" customFormat="1" ht="19.5" customHeight="1">
      <c r="A69" s="727" t="s">
        <v>197</v>
      </c>
      <c r="B69" s="728"/>
      <c r="C69" s="728">
        <v>-1370</v>
      </c>
      <c r="D69" s="728">
        <v>1201</v>
      </c>
      <c r="E69" s="728">
        <v>169</v>
      </c>
      <c r="F69" s="728"/>
      <c r="G69" s="728"/>
      <c r="H69" s="728"/>
      <c r="I69" s="728"/>
      <c r="J69" s="729"/>
      <c r="K69" s="729"/>
      <c r="L69" s="730"/>
      <c r="M69" s="730"/>
      <c r="N69" s="695">
        <f t="shared" si="8"/>
        <v>0</v>
      </c>
    </row>
    <row r="70" spans="1:14" s="422" customFormat="1" ht="19.5" customHeight="1">
      <c r="A70" s="693" t="s">
        <v>200</v>
      </c>
      <c r="B70" s="677"/>
      <c r="C70" s="677">
        <v>17</v>
      </c>
      <c r="D70" s="677">
        <v>-17</v>
      </c>
      <c r="E70" s="677"/>
      <c r="F70" s="677"/>
      <c r="G70" s="677"/>
      <c r="H70" s="677"/>
      <c r="I70" s="677"/>
      <c r="J70" s="678"/>
      <c r="K70" s="678"/>
      <c r="L70" s="679"/>
      <c r="M70" s="679"/>
      <c r="N70" s="695">
        <f t="shared" si="8"/>
        <v>0</v>
      </c>
    </row>
    <row r="71" spans="1:14" s="422" customFormat="1" ht="19.5" customHeight="1">
      <c r="A71" s="423" t="s">
        <v>201</v>
      </c>
      <c r="B71" s="424"/>
      <c r="C71" s="424">
        <v>81</v>
      </c>
      <c r="D71" s="424">
        <v>-73</v>
      </c>
      <c r="E71" s="424">
        <v>-8</v>
      </c>
      <c r="F71" s="424"/>
      <c r="G71" s="424"/>
      <c r="H71" s="424"/>
      <c r="I71" s="424"/>
      <c r="J71" s="425"/>
      <c r="K71" s="425"/>
      <c r="L71" s="426"/>
      <c r="M71" s="426"/>
      <c r="N71" s="465">
        <f t="shared" si="8"/>
        <v>0</v>
      </c>
    </row>
    <row r="72" spans="1:14" s="376" customFormat="1" ht="32.25" customHeight="1" thickBot="1">
      <c r="A72" s="480" t="s">
        <v>204</v>
      </c>
      <c r="B72" s="514"/>
      <c r="C72" s="514">
        <f>C73+C76+C78+C84+C86</f>
        <v>250</v>
      </c>
      <c r="D72" s="514"/>
      <c r="E72" s="514"/>
      <c r="F72" s="514"/>
      <c r="G72" s="514">
        <f aca="true" t="shared" si="9" ref="G72:L72">G73+G76+G78+G84+G86</f>
        <v>1344</v>
      </c>
      <c r="H72" s="514"/>
      <c r="I72" s="514"/>
      <c r="J72" s="514">
        <f t="shared" si="9"/>
        <v>2000</v>
      </c>
      <c r="K72" s="514">
        <f t="shared" si="9"/>
        <v>59000</v>
      </c>
      <c r="L72" s="514">
        <f t="shared" si="9"/>
        <v>-250</v>
      </c>
      <c r="M72" s="514"/>
      <c r="N72" s="670">
        <f aca="true" t="shared" si="10" ref="N72:N77">SUM(B72:M72)</f>
        <v>62344</v>
      </c>
    </row>
    <row r="73" spans="1:14" ht="33.75" customHeight="1" thickBot="1" thickTop="1">
      <c r="A73" s="398" t="s">
        <v>20</v>
      </c>
      <c r="B73" s="509"/>
      <c r="C73" s="509"/>
      <c r="D73" s="509"/>
      <c r="E73" s="509"/>
      <c r="F73" s="509"/>
      <c r="G73" s="509"/>
      <c r="H73" s="509"/>
      <c r="I73" s="509"/>
      <c r="J73" s="509"/>
      <c r="K73" s="509">
        <f>SUM(K74:K75)</f>
        <v>44000</v>
      </c>
      <c r="L73" s="509"/>
      <c r="M73" s="509"/>
      <c r="N73" s="509">
        <f t="shared" si="10"/>
        <v>44000</v>
      </c>
    </row>
    <row r="74" spans="1:14" ht="44.25" customHeight="1">
      <c r="A74" s="481" t="s">
        <v>21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>
        <v>30000</v>
      </c>
      <c r="L74" s="512"/>
      <c r="M74" s="513"/>
      <c r="N74" s="500">
        <f t="shared" si="10"/>
        <v>30000</v>
      </c>
    </row>
    <row r="75" spans="1:14" ht="30" customHeight="1" thickBot="1">
      <c r="A75" s="481" t="s">
        <v>22</v>
      </c>
      <c r="B75" s="512"/>
      <c r="C75" s="512"/>
      <c r="D75" s="512"/>
      <c r="E75" s="512"/>
      <c r="F75" s="512"/>
      <c r="G75" s="512"/>
      <c r="H75" s="512"/>
      <c r="I75" s="512"/>
      <c r="J75" s="512"/>
      <c r="K75" s="512">
        <v>14000</v>
      </c>
      <c r="L75" s="512"/>
      <c r="M75" s="513"/>
      <c r="N75" s="500">
        <f t="shared" si="10"/>
        <v>14000</v>
      </c>
    </row>
    <row r="76" spans="1:14" s="394" customFormat="1" ht="30" customHeight="1" thickBot="1">
      <c r="A76" s="401" t="s">
        <v>23</v>
      </c>
      <c r="B76" s="516"/>
      <c r="C76" s="516"/>
      <c r="D76" s="516"/>
      <c r="E76" s="516"/>
      <c r="F76" s="516"/>
      <c r="G76" s="516"/>
      <c r="H76" s="516"/>
      <c r="I76" s="516"/>
      <c r="J76" s="516"/>
      <c r="K76" s="516">
        <f>K77</f>
        <v>15000</v>
      </c>
      <c r="L76" s="516"/>
      <c r="M76" s="516"/>
      <c r="N76" s="509">
        <f t="shared" si="10"/>
        <v>15000</v>
      </c>
    </row>
    <row r="77" spans="1:14" s="394" customFormat="1" ht="19.5" customHeight="1" thickBot="1">
      <c r="A77" s="479" t="s">
        <v>24</v>
      </c>
      <c r="B77" s="517"/>
      <c r="C77" s="517"/>
      <c r="D77" s="517"/>
      <c r="E77" s="517"/>
      <c r="F77" s="517"/>
      <c r="G77" s="390"/>
      <c r="H77" s="517"/>
      <c r="I77" s="517"/>
      <c r="J77" s="517"/>
      <c r="K77" s="390">
        <v>15000</v>
      </c>
      <c r="L77" s="517"/>
      <c r="M77" s="518"/>
      <c r="N77" s="500">
        <f t="shared" si="10"/>
        <v>15000</v>
      </c>
    </row>
    <row r="78" spans="1:14" s="394" customFormat="1" ht="30" customHeight="1" thickBot="1">
      <c r="A78" s="401" t="s">
        <v>260</v>
      </c>
      <c r="B78" s="516"/>
      <c r="C78" s="516"/>
      <c r="D78" s="516"/>
      <c r="E78" s="516"/>
      <c r="F78" s="516"/>
      <c r="G78" s="516">
        <f>G79</f>
        <v>1344</v>
      </c>
      <c r="H78" s="516"/>
      <c r="I78" s="516"/>
      <c r="J78" s="516"/>
      <c r="K78" s="516"/>
      <c r="L78" s="516"/>
      <c r="M78" s="516"/>
      <c r="N78" s="509">
        <f aca="true" t="shared" si="11" ref="N78:N84">SUM(B78:M78)</f>
        <v>1344</v>
      </c>
    </row>
    <row r="79" spans="1:14" s="394" customFormat="1" ht="39.75" customHeight="1">
      <c r="A79" s="403" t="s">
        <v>383</v>
      </c>
      <c r="B79" s="491"/>
      <c r="C79" s="491"/>
      <c r="D79" s="491"/>
      <c r="E79" s="491"/>
      <c r="F79" s="491"/>
      <c r="G79" s="491">
        <f>SUM(G80:G83)</f>
        <v>1344</v>
      </c>
      <c r="H79" s="491"/>
      <c r="I79" s="491"/>
      <c r="J79" s="491"/>
      <c r="K79" s="491"/>
      <c r="L79" s="491"/>
      <c r="M79" s="491"/>
      <c r="N79" s="612">
        <f t="shared" si="11"/>
        <v>1344</v>
      </c>
    </row>
    <row r="80" spans="1:14" s="394" customFormat="1" ht="19.5" customHeight="1">
      <c r="A80" s="479" t="s">
        <v>172</v>
      </c>
      <c r="B80" s="399"/>
      <c r="C80" s="399"/>
      <c r="D80" s="399"/>
      <c r="E80" s="399"/>
      <c r="F80" s="399"/>
      <c r="G80" s="390">
        <v>560</v>
      </c>
      <c r="H80" s="399"/>
      <c r="I80" s="399"/>
      <c r="J80" s="399"/>
      <c r="K80" s="399"/>
      <c r="L80" s="399"/>
      <c r="M80" s="400"/>
      <c r="N80" s="500">
        <f t="shared" si="11"/>
        <v>560</v>
      </c>
    </row>
    <row r="81" spans="1:14" s="394" customFormat="1" ht="19.5" customHeight="1">
      <c r="A81" s="479" t="s">
        <v>173</v>
      </c>
      <c r="B81" s="399"/>
      <c r="C81" s="399"/>
      <c r="D81" s="399"/>
      <c r="E81" s="399"/>
      <c r="F81" s="399"/>
      <c r="G81" s="390">
        <v>224</v>
      </c>
      <c r="H81" s="399"/>
      <c r="I81" s="399"/>
      <c r="J81" s="399"/>
      <c r="K81" s="399"/>
      <c r="L81" s="399"/>
      <c r="M81" s="400"/>
      <c r="N81" s="500">
        <f t="shared" si="11"/>
        <v>224</v>
      </c>
    </row>
    <row r="82" spans="1:14" s="394" customFormat="1" ht="19.5" customHeight="1">
      <c r="A82" s="479" t="s">
        <v>197</v>
      </c>
      <c r="B82" s="399"/>
      <c r="C82" s="399"/>
      <c r="D82" s="399"/>
      <c r="E82" s="399"/>
      <c r="F82" s="399"/>
      <c r="G82" s="390">
        <v>224</v>
      </c>
      <c r="H82" s="399"/>
      <c r="I82" s="399"/>
      <c r="J82" s="399"/>
      <c r="K82" s="399"/>
      <c r="L82" s="399"/>
      <c r="M82" s="400"/>
      <c r="N82" s="500">
        <f t="shared" si="11"/>
        <v>224</v>
      </c>
    </row>
    <row r="83" spans="1:14" s="394" customFormat="1" ht="19.5" customHeight="1" thickBot="1">
      <c r="A83" s="479" t="s">
        <v>198</v>
      </c>
      <c r="B83" s="399"/>
      <c r="C83" s="399"/>
      <c r="D83" s="399"/>
      <c r="E83" s="399"/>
      <c r="F83" s="399"/>
      <c r="G83" s="390">
        <v>336</v>
      </c>
      <c r="H83" s="399"/>
      <c r="I83" s="399"/>
      <c r="J83" s="399"/>
      <c r="K83" s="399"/>
      <c r="L83" s="399"/>
      <c r="M83" s="400"/>
      <c r="N83" s="500">
        <f t="shared" si="11"/>
        <v>336</v>
      </c>
    </row>
    <row r="84" spans="1:14" s="394" customFormat="1" ht="30" customHeight="1" thickBot="1">
      <c r="A84" s="401" t="s">
        <v>60</v>
      </c>
      <c r="B84" s="516"/>
      <c r="C84" s="516">
        <f>C85</f>
        <v>250</v>
      </c>
      <c r="D84" s="516"/>
      <c r="E84" s="516"/>
      <c r="F84" s="516"/>
      <c r="G84" s="516"/>
      <c r="H84" s="516"/>
      <c r="I84" s="516"/>
      <c r="J84" s="516"/>
      <c r="K84" s="516"/>
      <c r="L84" s="516">
        <f>L85</f>
        <v>-250</v>
      </c>
      <c r="M84" s="516"/>
      <c r="N84" s="509">
        <f t="shared" si="11"/>
        <v>0</v>
      </c>
    </row>
    <row r="85" spans="1:14" s="394" customFormat="1" ht="19.5" customHeight="1" thickBot="1">
      <c r="A85" s="479" t="s">
        <v>61</v>
      </c>
      <c r="B85" s="517"/>
      <c r="C85" s="517">
        <v>250</v>
      </c>
      <c r="D85" s="517"/>
      <c r="E85" s="517"/>
      <c r="F85" s="517"/>
      <c r="G85" s="390"/>
      <c r="H85" s="517"/>
      <c r="I85" s="517"/>
      <c r="J85" s="517"/>
      <c r="K85" s="517"/>
      <c r="L85" s="517">
        <v>-250</v>
      </c>
      <c r="M85" s="518"/>
      <c r="N85" s="500">
        <f>SUM(C85:M85)</f>
        <v>0</v>
      </c>
    </row>
    <row r="86" spans="1:14" s="394" customFormat="1" ht="30" customHeight="1" thickBot="1">
      <c r="A86" s="398" t="s">
        <v>261</v>
      </c>
      <c r="B86" s="509"/>
      <c r="C86" s="509"/>
      <c r="D86" s="509"/>
      <c r="E86" s="509"/>
      <c r="F86" s="509"/>
      <c r="G86" s="509"/>
      <c r="H86" s="509"/>
      <c r="I86" s="509"/>
      <c r="J86" s="509">
        <f>SUM(J87:J87)</f>
        <v>2000</v>
      </c>
      <c r="K86" s="509"/>
      <c r="L86" s="509"/>
      <c r="M86" s="509"/>
      <c r="N86" s="509">
        <f aca="true" t="shared" si="12" ref="N86:N98">SUM(B86:M86)</f>
        <v>2000</v>
      </c>
    </row>
    <row r="87" spans="1:14" s="376" customFormat="1" ht="19.5" customHeight="1">
      <c r="A87" s="389" t="s">
        <v>258</v>
      </c>
      <c r="B87" s="512"/>
      <c r="C87" s="512"/>
      <c r="D87" s="512"/>
      <c r="E87" s="512"/>
      <c r="F87" s="512"/>
      <c r="G87" s="512"/>
      <c r="H87" s="512"/>
      <c r="I87" s="512"/>
      <c r="J87" s="512">
        <v>2000</v>
      </c>
      <c r="K87" s="512"/>
      <c r="L87" s="512"/>
      <c r="M87" s="513"/>
      <c r="N87" s="500">
        <f t="shared" si="12"/>
        <v>2000</v>
      </c>
    </row>
    <row r="88" spans="1:14" s="376" customFormat="1" ht="31.5" customHeight="1" thickBot="1">
      <c r="A88" s="480" t="s">
        <v>477</v>
      </c>
      <c r="B88" s="670"/>
      <c r="C88" s="670">
        <f aca="true" t="shared" si="13" ref="C88:E89">C89</f>
        <v>713</v>
      </c>
      <c r="D88" s="670">
        <f t="shared" si="13"/>
        <v>-655</v>
      </c>
      <c r="E88" s="670">
        <f t="shared" si="13"/>
        <v>-58</v>
      </c>
      <c r="F88" s="670"/>
      <c r="G88" s="670"/>
      <c r="H88" s="670"/>
      <c r="I88" s="670"/>
      <c r="J88" s="670"/>
      <c r="K88" s="670"/>
      <c r="L88" s="670"/>
      <c r="M88" s="670"/>
      <c r="N88" s="515">
        <f t="shared" si="12"/>
        <v>0</v>
      </c>
    </row>
    <row r="89" spans="1:14" ht="27" thickBot="1" thickTop="1">
      <c r="A89" s="401" t="s">
        <v>381</v>
      </c>
      <c r="B89" s="516"/>
      <c r="C89" s="516">
        <f t="shared" si="13"/>
        <v>713</v>
      </c>
      <c r="D89" s="516">
        <f t="shared" si="13"/>
        <v>-655</v>
      </c>
      <c r="E89" s="516">
        <f t="shared" si="13"/>
        <v>-58</v>
      </c>
      <c r="F89" s="516"/>
      <c r="G89" s="516"/>
      <c r="H89" s="516"/>
      <c r="I89" s="516"/>
      <c r="J89" s="516"/>
      <c r="K89" s="516"/>
      <c r="L89" s="516"/>
      <c r="M89" s="516"/>
      <c r="N89" s="505">
        <f t="shared" si="12"/>
        <v>0</v>
      </c>
    </row>
    <row r="90" spans="1:14" ht="33" customHeight="1">
      <c r="A90" s="402" t="s">
        <v>478</v>
      </c>
      <c r="B90" s="519"/>
      <c r="C90" s="519">
        <f>SUM(C91:C98)</f>
        <v>713</v>
      </c>
      <c r="D90" s="519">
        <f>SUM(D91:D98)</f>
        <v>-655</v>
      </c>
      <c r="E90" s="519">
        <f>SUM(E91:E98)</f>
        <v>-58</v>
      </c>
      <c r="F90" s="519"/>
      <c r="G90" s="519"/>
      <c r="H90" s="519"/>
      <c r="I90" s="519"/>
      <c r="J90" s="519"/>
      <c r="K90" s="519"/>
      <c r="L90" s="519"/>
      <c r="M90" s="519"/>
      <c r="N90" s="520">
        <f t="shared" si="12"/>
        <v>0</v>
      </c>
    </row>
    <row r="91" spans="1:14" ht="19.5" customHeight="1">
      <c r="A91" s="395" t="s">
        <v>190</v>
      </c>
      <c r="B91" s="521"/>
      <c r="C91" s="521">
        <v>14</v>
      </c>
      <c r="D91" s="521">
        <v>-14</v>
      </c>
      <c r="E91" s="521"/>
      <c r="F91" s="521"/>
      <c r="G91" s="521"/>
      <c r="H91" s="521"/>
      <c r="I91" s="521"/>
      <c r="J91" s="521"/>
      <c r="K91" s="521"/>
      <c r="L91" s="521"/>
      <c r="M91" s="522"/>
      <c r="N91" s="500">
        <f t="shared" si="12"/>
        <v>0</v>
      </c>
    </row>
    <row r="92" spans="1:14" ht="19.5" customHeight="1">
      <c r="A92" s="479" t="s">
        <v>192</v>
      </c>
      <c r="B92" s="592"/>
      <c r="C92" s="592">
        <v>335</v>
      </c>
      <c r="D92" s="592">
        <v>-300</v>
      </c>
      <c r="E92" s="592">
        <v>-35</v>
      </c>
      <c r="F92" s="592"/>
      <c r="G92" s="592"/>
      <c r="H92" s="592"/>
      <c r="I92" s="592"/>
      <c r="J92" s="592"/>
      <c r="K92" s="592"/>
      <c r="L92" s="592"/>
      <c r="M92" s="593"/>
      <c r="N92" s="500">
        <f t="shared" si="12"/>
        <v>0</v>
      </c>
    </row>
    <row r="93" spans="1:14" ht="19.5" customHeight="1">
      <c r="A93" s="479" t="s">
        <v>197</v>
      </c>
      <c r="B93" s="592"/>
      <c r="C93" s="592">
        <v>28</v>
      </c>
      <c r="D93" s="592">
        <v>-29</v>
      </c>
      <c r="E93" s="592">
        <v>1</v>
      </c>
      <c r="F93" s="592"/>
      <c r="G93" s="592"/>
      <c r="H93" s="592"/>
      <c r="I93" s="592"/>
      <c r="J93" s="592"/>
      <c r="K93" s="592"/>
      <c r="L93" s="592"/>
      <c r="M93" s="593"/>
      <c r="N93" s="500">
        <f t="shared" si="12"/>
        <v>0</v>
      </c>
    </row>
    <row r="94" spans="1:14" ht="19.5" customHeight="1">
      <c r="A94" s="479" t="s">
        <v>198</v>
      </c>
      <c r="B94" s="592"/>
      <c r="C94" s="592">
        <v>11</v>
      </c>
      <c r="D94" s="592">
        <v>-11</v>
      </c>
      <c r="E94" s="592"/>
      <c r="F94" s="592"/>
      <c r="G94" s="592"/>
      <c r="H94" s="592"/>
      <c r="I94" s="592"/>
      <c r="J94" s="592"/>
      <c r="K94" s="592"/>
      <c r="L94" s="592"/>
      <c r="M94" s="593"/>
      <c r="N94" s="500">
        <f t="shared" si="12"/>
        <v>0</v>
      </c>
    </row>
    <row r="95" spans="1:14" ht="19.5" customHeight="1">
      <c r="A95" s="591" t="s">
        <v>200</v>
      </c>
      <c r="B95" s="592"/>
      <c r="C95" s="592">
        <v>223</v>
      </c>
      <c r="D95" s="592">
        <v>-200</v>
      </c>
      <c r="E95" s="592">
        <v>-23</v>
      </c>
      <c r="F95" s="592"/>
      <c r="G95" s="592"/>
      <c r="H95" s="592"/>
      <c r="I95" s="592"/>
      <c r="J95" s="592"/>
      <c r="K95" s="592"/>
      <c r="L95" s="592"/>
      <c r="M95" s="593"/>
      <c r="N95" s="500">
        <f t="shared" si="12"/>
        <v>0</v>
      </c>
    </row>
    <row r="96" spans="1:14" ht="19.5" customHeight="1">
      <c r="A96" s="479" t="s">
        <v>259</v>
      </c>
      <c r="B96" s="521"/>
      <c r="C96" s="521">
        <v>26</v>
      </c>
      <c r="D96" s="521">
        <v>-26</v>
      </c>
      <c r="E96" s="521"/>
      <c r="F96" s="521"/>
      <c r="G96" s="521"/>
      <c r="H96" s="521"/>
      <c r="I96" s="521"/>
      <c r="J96" s="521"/>
      <c r="K96" s="521"/>
      <c r="L96" s="521"/>
      <c r="M96" s="522"/>
      <c r="N96" s="500">
        <f t="shared" si="12"/>
        <v>0</v>
      </c>
    </row>
    <row r="97" spans="1:14" ht="19.5" customHeight="1">
      <c r="A97" s="591" t="s">
        <v>201</v>
      </c>
      <c r="B97" s="592"/>
      <c r="C97" s="592">
        <v>62</v>
      </c>
      <c r="D97" s="592">
        <v>-62</v>
      </c>
      <c r="E97" s="592"/>
      <c r="F97" s="592"/>
      <c r="G97" s="592"/>
      <c r="H97" s="592"/>
      <c r="I97" s="592"/>
      <c r="J97" s="592"/>
      <c r="K97" s="592"/>
      <c r="L97" s="592"/>
      <c r="M97" s="593"/>
      <c r="N97" s="500">
        <f t="shared" si="12"/>
        <v>0</v>
      </c>
    </row>
    <row r="98" spans="1:14" ht="30.75" customHeight="1">
      <c r="A98" s="479" t="s">
        <v>202</v>
      </c>
      <c r="B98" s="521"/>
      <c r="C98" s="521">
        <v>14</v>
      </c>
      <c r="D98" s="521">
        <v>-13</v>
      </c>
      <c r="E98" s="521">
        <v>-1</v>
      </c>
      <c r="F98" s="521"/>
      <c r="G98" s="521"/>
      <c r="H98" s="521"/>
      <c r="I98" s="521"/>
      <c r="J98" s="521"/>
      <c r="K98" s="521"/>
      <c r="L98" s="521"/>
      <c r="M98" s="522"/>
      <c r="N98" s="500">
        <f t="shared" si="12"/>
        <v>0</v>
      </c>
    </row>
    <row r="99" ht="12.75">
      <c r="A99" s="482"/>
    </row>
    <row r="100" ht="12.75">
      <c r="A100" s="482"/>
    </row>
    <row r="101" ht="12.75">
      <c r="A101" s="482"/>
    </row>
    <row r="102" ht="12.75">
      <c r="A102" s="482"/>
    </row>
    <row r="103" spans="1:11" ht="12.75">
      <c r="A103" s="482"/>
      <c r="D103" s="912" t="s">
        <v>487</v>
      </c>
      <c r="E103" s="22"/>
      <c r="F103" s="22"/>
      <c r="K103" s="912" t="s">
        <v>489</v>
      </c>
    </row>
    <row r="104" spans="1:11" ht="12.75">
      <c r="A104" s="482"/>
      <c r="D104" s="912"/>
      <c r="E104" s="22"/>
      <c r="F104" s="22"/>
      <c r="K104" s="912" t="s">
        <v>490</v>
      </c>
    </row>
    <row r="105" spans="1:11" ht="12.75">
      <c r="A105" s="482"/>
      <c r="D105" s="912" t="s">
        <v>488</v>
      </c>
      <c r="E105" s="22"/>
      <c r="F105" s="22"/>
      <c r="K105" s="912"/>
    </row>
    <row r="106" spans="1:11" ht="12.75">
      <c r="A106" s="482"/>
      <c r="D106" s="22"/>
      <c r="E106" s="22"/>
      <c r="F106" s="22"/>
      <c r="K106" s="912" t="s">
        <v>491</v>
      </c>
    </row>
    <row r="107" ht="12.75">
      <c r="A107" s="482"/>
    </row>
    <row r="108" ht="12.75">
      <c r="A108" s="482"/>
    </row>
    <row r="109" ht="12.75">
      <c r="A109" s="482"/>
    </row>
    <row r="110" ht="12.75">
      <c r="A110" s="482"/>
    </row>
    <row r="111" ht="12.75">
      <c r="A111" s="482"/>
    </row>
    <row r="112" ht="12.75">
      <c r="A112" s="482"/>
    </row>
    <row r="113" ht="12.75">
      <c r="A113" s="482"/>
    </row>
    <row r="114" ht="12.75">
      <c r="A114" s="482"/>
    </row>
    <row r="115" ht="12.75">
      <c r="A115" s="482"/>
    </row>
    <row r="116" ht="12.75">
      <c r="A116" s="482"/>
    </row>
    <row r="117" ht="12.75">
      <c r="A117" s="482"/>
    </row>
    <row r="118" ht="12.75">
      <c r="A118" s="482"/>
    </row>
    <row r="119" ht="12.75">
      <c r="A119" s="482"/>
    </row>
    <row r="120" ht="12.75">
      <c r="A120" s="482"/>
    </row>
    <row r="121" ht="12.75">
      <c r="A121" s="482"/>
    </row>
    <row r="122" ht="12.75">
      <c r="A122" s="482"/>
    </row>
    <row r="123" ht="12.75">
      <c r="A123" s="482"/>
    </row>
    <row r="124" ht="12.75">
      <c r="A124" s="482"/>
    </row>
    <row r="125" ht="12.75">
      <c r="A125" s="482"/>
    </row>
    <row r="126" ht="12.75">
      <c r="A126" s="482"/>
    </row>
    <row r="127" ht="12.75">
      <c r="A127" s="482"/>
    </row>
    <row r="128" ht="12.75">
      <c r="A128" s="482"/>
    </row>
    <row r="129" ht="12.75">
      <c r="A129" s="482"/>
    </row>
    <row r="130" ht="12.75">
      <c r="A130" s="482"/>
    </row>
    <row r="131" ht="12.75">
      <c r="A131" s="482"/>
    </row>
    <row r="132" ht="12.75">
      <c r="A132" s="482"/>
    </row>
    <row r="133" ht="12.75">
      <c r="A133" s="482"/>
    </row>
    <row r="134" ht="12.75">
      <c r="A134" s="482"/>
    </row>
    <row r="135" ht="12.75">
      <c r="A135" s="482"/>
    </row>
    <row r="136" ht="12.75">
      <c r="A136" s="482"/>
    </row>
    <row r="137" ht="12.75">
      <c r="A137" s="482"/>
    </row>
    <row r="138" ht="12.75">
      <c r="A138" s="482"/>
    </row>
    <row r="139" ht="12.75">
      <c r="A139" s="482"/>
    </row>
    <row r="140" ht="12.75">
      <c r="A140" s="482"/>
    </row>
    <row r="141" ht="12.75">
      <c r="A141" s="482"/>
    </row>
    <row r="142" ht="12.75">
      <c r="A142" s="482"/>
    </row>
    <row r="143" ht="12.75">
      <c r="A143" s="482"/>
    </row>
    <row r="144" ht="12.75">
      <c r="A144" s="482"/>
    </row>
    <row r="145" ht="12.75">
      <c r="A145" s="482"/>
    </row>
    <row r="146" ht="12.75">
      <c r="A146" s="482"/>
    </row>
    <row r="147" ht="12.75">
      <c r="A147" s="482"/>
    </row>
    <row r="148" ht="12.75">
      <c r="A148" s="482"/>
    </row>
    <row r="149" ht="12.75">
      <c r="A149" s="482"/>
    </row>
    <row r="150" ht="12.75">
      <c r="A150" s="482"/>
    </row>
    <row r="151" ht="12.75">
      <c r="A151" s="482"/>
    </row>
    <row r="152" ht="12.75">
      <c r="A152" s="482"/>
    </row>
    <row r="153" ht="12.75">
      <c r="A153" s="482"/>
    </row>
    <row r="154" ht="12.75">
      <c r="A154" s="482"/>
    </row>
    <row r="155" ht="12.75">
      <c r="A155" s="482"/>
    </row>
    <row r="156" ht="12.75">
      <c r="A156" s="482"/>
    </row>
    <row r="157" ht="12.75">
      <c r="A157" s="482"/>
    </row>
    <row r="158" ht="12.75">
      <c r="A158" s="482"/>
    </row>
    <row r="159" ht="12.75">
      <c r="A159" s="482"/>
    </row>
    <row r="160" ht="12.75">
      <c r="A160" s="482"/>
    </row>
    <row r="161" ht="12.75">
      <c r="A161" s="482"/>
    </row>
    <row r="162" ht="12.75">
      <c r="A162" s="482"/>
    </row>
    <row r="163" ht="12.75">
      <c r="A163" s="482"/>
    </row>
    <row r="164" ht="12.75">
      <c r="A164" s="482"/>
    </row>
    <row r="165" ht="12.75">
      <c r="A165" s="482"/>
    </row>
    <row r="166" ht="12.75">
      <c r="A166" s="482"/>
    </row>
    <row r="167" ht="12.75">
      <c r="A167" s="482"/>
    </row>
  </sheetData>
  <mergeCells count="1">
    <mergeCell ref="B3:C3"/>
  </mergeCells>
  <printOptions horizontalCentered="1"/>
  <pageMargins left="0.3937007874015748" right="0.3937007874015748" top="0.9055118110236221" bottom="0.7086614173228347" header="0.5118110236220472" footer="0.5118110236220472"/>
  <pageSetup firstPageNumber="32" useFirstPageNumber="1" horizontalDpi="600" verticalDpi="600" orientation="landscape" paperSize="9" scale="77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R419"/>
  <sheetViews>
    <sheetView zoomScale="68" zoomScaleNormal="68" zoomScaleSheetLayoutView="75" workbookViewId="0" topLeftCell="A1">
      <selection activeCell="E173" sqref="E173"/>
    </sheetView>
  </sheetViews>
  <sheetFormatPr defaultColWidth="9.00390625" defaultRowHeight="12.75"/>
  <cols>
    <col min="1" max="1" width="6.25390625" style="1" customWidth="1"/>
    <col min="2" max="2" width="8.125" style="1" customWidth="1"/>
    <col min="3" max="3" width="47.875" style="1" customWidth="1"/>
    <col min="4" max="4" width="17.75390625" style="2" customWidth="1"/>
    <col min="5" max="16" width="14.375" style="2" customWidth="1"/>
    <col min="17" max="17" width="10.25390625" style="598" bestFit="1" customWidth="1"/>
    <col min="18" max="16384" width="9.125" style="1" customWidth="1"/>
  </cols>
  <sheetData>
    <row r="1" ht="19.5" customHeight="1">
      <c r="N1" s="2" t="s">
        <v>333</v>
      </c>
    </row>
    <row r="2" ht="19.5" customHeight="1">
      <c r="N2" s="1" t="s">
        <v>464</v>
      </c>
    </row>
    <row r="3" spans="3:14" ht="19.5" customHeight="1">
      <c r="C3" s="3" t="s">
        <v>71</v>
      </c>
      <c r="N3" s="1" t="s">
        <v>72</v>
      </c>
    </row>
    <row r="4" spans="3:14" ht="19.5" customHeight="1">
      <c r="C4" s="4"/>
      <c r="N4" s="1" t="s">
        <v>398</v>
      </c>
    </row>
    <row r="5" ht="18">
      <c r="C5" s="4"/>
    </row>
    <row r="6" spans="8:16" ht="18.75" thickBot="1">
      <c r="H6" s="5"/>
      <c r="P6" s="2" t="s">
        <v>73</v>
      </c>
    </row>
    <row r="7" spans="1:16" ht="19.5" customHeight="1" thickTop="1">
      <c r="A7" s="6"/>
      <c r="B7" s="6"/>
      <c r="C7" s="7" t="s">
        <v>74</v>
      </c>
      <c r="D7" s="8" t="s">
        <v>75</v>
      </c>
      <c r="E7" s="9"/>
      <c r="F7" s="10" t="s">
        <v>76</v>
      </c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23.25" customHeight="1" thickBot="1">
      <c r="A8" s="12" t="s">
        <v>77</v>
      </c>
      <c r="B8" s="12" t="s">
        <v>78</v>
      </c>
      <c r="C8" s="13" t="s">
        <v>79</v>
      </c>
      <c r="D8" s="14" t="s">
        <v>80</v>
      </c>
      <c r="E8" s="15" t="s">
        <v>81</v>
      </c>
      <c r="F8" s="15" t="s">
        <v>82</v>
      </c>
      <c r="G8" s="15" t="s">
        <v>83</v>
      </c>
      <c r="H8" s="15" t="s">
        <v>84</v>
      </c>
      <c r="I8" s="15" t="s">
        <v>85</v>
      </c>
      <c r="J8" s="15" t="s">
        <v>86</v>
      </c>
      <c r="K8" s="15" t="s">
        <v>87</v>
      </c>
      <c r="L8" s="15" t="s">
        <v>88</v>
      </c>
      <c r="M8" s="15" t="s">
        <v>89</v>
      </c>
      <c r="N8" s="15" t="s">
        <v>90</v>
      </c>
      <c r="O8" s="15" t="s">
        <v>91</v>
      </c>
      <c r="P8" s="15" t="s">
        <v>92</v>
      </c>
    </row>
    <row r="9" spans="1:17" s="18" customFormat="1" ht="14.25" customHeight="1" thickBot="1" thickTop="1">
      <c r="A9" s="16">
        <v>1</v>
      </c>
      <c r="B9" s="16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598"/>
    </row>
    <row r="10" spans="1:17" s="22" customFormat="1" ht="24.75" customHeight="1" thickBot="1" thickTop="1">
      <c r="A10" s="19"/>
      <c r="B10" s="19"/>
      <c r="C10" s="20" t="s">
        <v>93</v>
      </c>
      <c r="D10" s="21">
        <f>SUM(E10:P10)</f>
        <v>0</v>
      </c>
      <c r="E10" s="21"/>
      <c r="F10" s="21">
        <f>F12+F105+F109+F120</f>
        <v>-3886</v>
      </c>
      <c r="G10" s="21">
        <f>G12+G105+G109+G120</f>
        <v>-81468</v>
      </c>
      <c r="H10" s="21">
        <f aca="true" t="shared" si="0" ref="H10:P10">H12+H105+H109+H120</f>
        <v>-177002</v>
      </c>
      <c r="I10" s="21">
        <f t="shared" si="0"/>
        <v>-486958</v>
      </c>
      <c r="J10" s="21">
        <f t="shared" si="0"/>
        <v>-42603571</v>
      </c>
      <c r="K10" s="21">
        <f t="shared" si="0"/>
        <v>43117440</v>
      </c>
      <c r="L10" s="21">
        <f t="shared" si="0"/>
        <v>1597051</v>
      </c>
      <c r="M10" s="21">
        <f t="shared" si="0"/>
        <v>820071</v>
      </c>
      <c r="N10" s="21">
        <f t="shared" si="0"/>
        <v>-775592</v>
      </c>
      <c r="O10" s="21">
        <f t="shared" si="0"/>
        <v>-1137381</v>
      </c>
      <c r="P10" s="21">
        <f t="shared" si="0"/>
        <v>-268704</v>
      </c>
      <c r="Q10" s="599"/>
    </row>
    <row r="11" spans="1:17" s="22" customFormat="1" ht="12.75" customHeight="1">
      <c r="A11" s="23"/>
      <c r="B11" s="23"/>
      <c r="C11" s="24" t="s">
        <v>94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598"/>
    </row>
    <row r="12" spans="1:17" s="22" customFormat="1" ht="24" customHeight="1">
      <c r="A12" s="23"/>
      <c r="B12" s="23"/>
      <c r="C12" s="27" t="s">
        <v>95</v>
      </c>
      <c r="D12" s="28">
        <f>SUM(E12:P12)</f>
        <v>-927258</v>
      </c>
      <c r="E12" s="29"/>
      <c r="F12" s="29"/>
      <c r="G12" s="29">
        <f>G13+G17+G21+G29+G60+G72</f>
        <v>-1256</v>
      </c>
      <c r="H12" s="29">
        <f>H13+H17+H21+H29+H60+H72</f>
        <v>-99625</v>
      </c>
      <c r="I12" s="29">
        <f aca="true" t="shared" si="1" ref="I12:P12">I13+I17+I21+I29+I60+I72</f>
        <v>-486958</v>
      </c>
      <c r="J12" s="29">
        <f t="shared" si="1"/>
        <v>-30999578</v>
      </c>
      <c r="K12" s="29">
        <f t="shared" si="1"/>
        <v>30685064</v>
      </c>
      <c r="L12" s="29">
        <f t="shared" si="1"/>
        <v>1399624</v>
      </c>
      <c r="M12" s="29">
        <f t="shared" si="1"/>
        <v>386467</v>
      </c>
      <c r="N12" s="29">
        <f t="shared" si="1"/>
        <v>-579579</v>
      </c>
      <c r="O12" s="29">
        <f t="shared" si="1"/>
        <v>-1042853</v>
      </c>
      <c r="P12" s="29">
        <f t="shared" si="1"/>
        <v>-188564</v>
      </c>
      <c r="Q12" s="598"/>
    </row>
    <row r="13" spans="1:18" s="33" customFormat="1" ht="21.75" customHeight="1">
      <c r="A13" s="30"/>
      <c r="B13" s="30"/>
      <c r="C13" s="31" t="s">
        <v>273</v>
      </c>
      <c r="D13" s="32">
        <f aca="true" t="shared" si="2" ref="D13:D85">SUM(E13:P13)</f>
        <v>-396870</v>
      </c>
      <c r="E13" s="32"/>
      <c r="F13" s="32"/>
      <c r="G13" s="32"/>
      <c r="H13" s="32"/>
      <c r="I13" s="32"/>
      <c r="J13" s="32"/>
      <c r="K13" s="32"/>
      <c r="L13" s="32"/>
      <c r="M13" s="32">
        <f>M14</f>
        <v>-396870</v>
      </c>
      <c r="N13" s="32"/>
      <c r="O13" s="32"/>
      <c r="P13" s="32"/>
      <c r="Q13" s="600"/>
      <c r="R13" s="34"/>
    </row>
    <row r="14" spans="1:17" s="22" customFormat="1" ht="21.75" customHeight="1" thickBot="1">
      <c r="A14" s="35"/>
      <c r="B14" s="35"/>
      <c r="C14" s="36" t="s">
        <v>96</v>
      </c>
      <c r="D14" s="37">
        <f t="shared" si="2"/>
        <v>-396870</v>
      </c>
      <c r="E14" s="37"/>
      <c r="F14" s="37"/>
      <c r="G14" s="37"/>
      <c r="H14" s="37"/>
      <c r="I14" s="37"/>
      <c r="J14" s="37"/>
      <c r="K14" s="37"/>
      <c r="L14" s="37"/>
      <c r="M14" s="37">
        <f>M15</f>
        <v>-396870</v>
      </c>
      <c r="N14" s="37"/>
      <c r="O14" s="37"/>
      <c r="P14" s="37"/>
      <c r="Q14" s="598"/>
    </row>
    <row r="15" spans="1:17" s="22" customFormat="1" ht="21.75" customHeight="1" thickTop="1">
      <c r="A15" s="38">
        <v>758</v>
      </c>
      <c r="B15" s="39"/>
      <c r="C15" s="40" t="s">
        <v>98</v>
      </c>
      <c r="D15" s="41">
        <f t="shared" si="2"/>
        <v>-396870</v>
      </c>
      <c r="E15" s="41"/>
      <c r="F15" s="41"/>
      <c r="G15" s="41"/>
      <c r="H15" s="41"/>
      <c r="I15" s="41"/>
      <c r="J15" s="41"/>
      <c r="K15" s="41"/>
      <c r="L15" s="41"/>
      <c r="M15" s="41">
        <f>M16</f>
        <v>-396870</v>
      </c>
      <c r="N15" s="41"/>
      <c r="O15" s="41"/>
      <c r="P15" s="41"/>
      <c r="Q15" s="598"/>
    </row>
    <row r="16" spans="1:17" s="121" customFormat="1" ht="21.75" customHeight="1">
      <c r="A16" s="42"/>
      <c r="B16" s="321">
        <v>75818</v>
      </c>
      <c r="C16" s="120" t="s">
        <v>99</v>
      </c>
      <c r="D16" s="43">
        <f t="shared" si="2"/>
        <v>-396870</v>
      </c>
      <c r="E16" s="43"/>
      <c r="F16" s="43"/>
      <c r="G16" s="43"/>
      <c r="H16" s="43"/>
      <c r="I16" s="43"/>
      <c r="J16" s="43"/>
      <c r="K16" s="43"/>
      <c r="L16" s="43"/>
      <c r="M16" s="43">
        <f>-59170-277700-60000</f>
        <v>-396870</v>
      </c>
      <c r="N16" s="43"/>
      <c r="O16" s="43"/>
      <c r="P16" s="43"/>
      <c r="Q16" s="601"/>
    </row>
    <row r="17" spans="1:18" s="33" customFormat="1" ht="33.75" customHeight="1">
      <c r="A17" s="30"/>
      <c r="B17" s="30"/>
      <c r="C17" s="31" t="s">
        <v>448</v>
      </c>
      <c r="D17" s="32">
        <f t="shared" si="2"/>
        <v>59170</v>
      </c>
      <c r="E17" s="32"/>
      <c r="F17" s="32"/>
      <c r="G17" s="32"/>
      <c r="H17" s="32">
        <f>H18</f>
        <v>-99321</v>
      </c>
      <c r="I17" s="32">
        <f aca="true" t="shared" si="3" ref="I17:N17">I18</f>
        <v>-470816</v>
      </c>
      <c r="J17" s="32">
        <f t="shared" si="3"/>
        <v>-491851</v>
      </c>
      <c r="K17" s="32"/>
      <c r="L17" s="32"/>
      <c r="M17" s="32">
        <f t="shared" si="3"/>
        <v>1021837</v>
      </c>
      <c r="N17" s="32">
        <f t="shared" si="3"/>
        <v>99321</v>
      </c>
      <c r="O17" s="123"/>
      <c r="P17" s="32"/>
      <c r="Q17" s="600"/>
      <c r="R17" s="34"/>
    </row>
    <row r="18" spans="1:17" s="22" customFormat="1" ht="21.75" customHeight="1" thickBot="1">
      <c r="A18" s="35"/>
      <c r="B18" s="35"/>
      <c r="C18" s="36" t="s">
        <v>96</v>
      </c>
      <c r="D18" s="37">
        <f t="shared" si="2"/>
        <v>59170</v>
      </c>
      <c r="E18" s="37"/>
      <c r="F18" s="37"/>
      <c r="G18" s="37"/>
      <c r="H18" s="37">
        <f>H19</f>
        <v>-99321</v>
      </c>
      <c r="I18" s="37">
        <f aca="true" t="shared" si="4" ref="I18:N18">I19</f>
        <v>-470816</v>
      </c>
      <c r="J18" s="37">
        <f t="shared" si="4"/>
        <v>-491851</v>
      </c>
      <c r="K18" s="37"/>
      <c r="L18" s="37"/>
      <c r="M18" s="37">
        <f t="shared" si="4"/>
        <v>1021837</v>
      </c>
      <c r="N18" s="37">
        <f t="shared" si="4"/>
        <v>99321</v>
      </c>
      <c r="O18" s="126"/>
      <c r="P18" s="37"/>
      <c r="Q18" s="598"/>
    </row>
    <row r="19" spans="1:17" s="22" customFormat="1" ht="21.75" customHeight="1" thickTop="1">
      <c r="A19" s="38">
        <v>750</v>
      </c>
      <c r="B19" s="39"/>
      <c r="C19" s="40" t="s">
        <v>107</v>
      </c>
      <c r="D19" s="41">
        <f t="shared" si="2"/>
        <v>59170</v>
      </c>
      <c r="E19" s="41"/>
      <c r="F19" s="41"/>
      <c r="G19" s="41"/>
      <c r="H19" s="41">
        <f>H20</f>
        <v>-99321</v>
      </c>
      <c r="I19" s="41">
        <f aca="true" t="shared" si="5" ref="I19:N19">I20</f>
        <v>-470816</v>
      </c>
      <c r="J19" s="41">
        <f t="shared" si="5"/>
        <v>-491851</v>
      </c>
      <c r="K19" s="41"/>
      <c r="L19" s="41"/>
      <c r="M19" s="41">
        <f t="shared" si="5"/>
        <v>1021837</v>
      </c>
      <c r="N19" s="41">
        <f t="shared" si="5"/>
        <v>99321</v>
      </c>
      <c r="O19" s="41"/>
      <c r="P19" s="41"/>
      <c r="Q19" s="598"/>
    </row>
    <row r="20" spans="1:17" s="121" customFormat="1" ht="21.75" customHeight="1">
      <c r="A20" s="42"/>
      <c r="B20" s="321">
        <v>75023</v>
      </c>
      <c r="C20" s="355" t="s">
        <v>120</v>
      </c>
      <c r="D20" s="43">
        <f t="shared" si="2"/>
        <v>59170</v>
      </c>
      <c r="E20" s="43"/>
      <c r="F20" s="43"/>
      <c r="G20" s="43"/>
      <c r="H20" s="43">
        <v>-99321</v>
      </c>
      <c r="I20" s="43">
        <v>-470816</v>
      </c>
      <c r="J20" s="43">
        <v>-491851</v>
      </c>
      <c r="K20" s="43"/>
      <c r="L20" s="43"/>
      <c r="M20" s="43">
        <v>1021837</v>
      </c>
      <c r="N20" s="43">
        <v>99321</v>
      </c>
      <c r="O20" s="43"/>
      <c r="P20" s="43"/>
      <c r="Q20" s="601"/>
    </row>
    <row r="21" spans="1:18" s="33" customFormat="1" ht="21.75" customHeight="1">
      <c r="A21" s="30"/>
      <c r="B21" s="30"/>
      <c r="C21" s="31" t="s">
        <v>449</v>
      </c>
      <c r="D21" s="32">
        <f t="shared" si="2"/>
        <v>-447514</v>
      </c>
      <c r="E21" s="32"/>
      <c r="F21" s="32"/>
      <c r="G21" s="32"/>
      <c r="H21" s="32"/>
      <c r="I21" s="32"/>
      <c r="J21" s="32">
        <f>J22</f>
        <v>-4057</v>
      </c>
      <c r="K21" s="32">
        <f>K22</f>
        <v>60000</v>
      </c>
      <c r="L21" s="32"/>
      <c r="M21" s="32"/>
      <c r="N21" s="32"/>
      <c r="O21" s="32">
        <f>O22</f>
        <v>-467062</v>
      </c>
      <c r="P21" s="32">
        <f>P22</f>
        <v>-36395</v>
      </c>
      <c r="Q21" s="600"/>
      <c r="R21" s="34"/>
    </row>
    <row r="22" spans="1:17" s="121" customFormat="1" ht="21.75" customHeight="1" thickBot="1">
      <c r="A22" s="44"/>
      <c r="B22" s="44"/>
      <c r="C22" s="125" t="s">
        <v>96</v>
      </c>
      <c r="D22" s="126">
        <f>SUM(E22:P22)</f>
        <v>-447514</v>
      </c>
      <c r="E22" s="126"/>
      <c r="F22" s="126"/>
      <c r="G22" s="126"/>
      <c r="H22" s="126"/>
      <c r="I22" s="126"/>
      <c r="J22" s="126">
        <f>J25+J27+J23</f>
        <v>-4057</v>
      </c>
      <c r="K22" s="126">
        <f>K25+K27+K23</f>
        <v>60000</v>
      </c>
      <c r="L22" s="126"/>
      <c r="M22" s="126"/>
      <c r="N22" s="126"/>
      <c r="O22" s="126">
        <f>O25+O27+O23</f>
        <v>-467062</v>
      </c>
      <c r="P22" s="126">
        <f>P25+P27+P23</f>
        <v>-36395</v>
      </c>
      <c r="Q22" s="601"/>
    </row>
    <row r="23" spans="1:17" s="22" customFormat="1" ht="21.75" customHeight="1" thickTop="1">
      <c r="A23" s="38">
        <v>750</v>
      </c>
      <c r="B23" s="39"/>
      <c r="C23" s="40" t="s">
        <v>107</v>
      </c>
      <c r="D23" s="41">
        <f t="shared" si="2"/>
        <v>60000</v>
      </c>
      <c r="E23" s="41"/>
      <c r="F23" s="41"/>
      <c r="G23" s="41"/>
      <c r="H23" s="41"/>
      <c r="I23" s="41"/>
      <c r="J23" s="41"/>
      <c r="K23" s="41">
        <f>K24</f>
        <v>60000</v>
      </c>
      <c r="L23" s="41"/>
      <c r="M23" s="41"/>
      <c r="N23" s="41"/>
      <c r="O23" s="41"/>
      <c r="P23" s="41"/>
      <c r="Q23" s="598"/>
    </row>
    <row r="24" spans="1:17" s="121" customFormat="1" ht="21.75" customHeight="1">
      <c r="A24" s="42"/>
      <c r="B24" s="321">
        <v>75023</v>
      </c>
      <c r="C24" s="355" t="s">
        <v>120</v>
      </c>
      <c r="D24" s="43">
        <f t="shared" si="2"/>
        <v>60000</v>
      </c>
      <c r="E24" s="43"/>
      <c r="F24" s="43"/>
      <c r="G24" s="43"/>
      <c r="H24" s="43"/>
      <c r="I24" s="43"/>
      <c r="J24" s="43"/>
      <c r="K24" s="43">
        <v>60000</v>
      </c>
      <c r="L24" s="43"/>
      <c r="M24" s="43"/>
      <c r="N24" s="43"/>
      <c r="O24" s="43"/>
      <c r="P24" s="43"/>
      <c r="Q24" s="601"/>
    </row>
    <row r="25" spans="1:17" s="22" customFormat="1" ht="21.75" customHeight="1">
      <c r="A25" s="38">
        <v>801</v>
      </c>
      <c r="B25" s="39"/>
      <c r="C25" s="40" t="s">
        <v>103</v>
      </c>
      <c r="D25" s="41">
        <f t="shared" si="2"/>
        <v>-448514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>
        <f>O26</f>
        <v>-412119</v>
      </c>
      <c r="P25" s="41">
        <f>SUM(P26:P26)</f>
        <v>-36395</v>
      </c>
      <c r="Q25" s="598"/>
    </row>
    <row r="26" spans="1:17" s="121" customFormat="1" ht="21.75" customHeight="1">
      <c r="A26" s="44"/>
      <c r="B26" s="207">
        <v>80130</v>
      </c>
      <c r="C26" s="120" t="s">
        <v>148</v>
      </c>
      <c r="D26" s="43">
        <f t="shared" si="2"/>
        <v>-448514</v>
      </c>
      <c r="E26" s="43"/>
      <c r="F26" s="43"/>
      <c r="G26" s="43"/>
      <c r="H26" s="43"/>
      <c r="I26" s="404"/>
      <c r="J26" s="43"/>
      <c r="K26" s="43"/>
      <c r="L26" s="43"/>
      <c r="M26" s="43"/>
      <c r="N26" s="43"/>
      <c r="O26" s="43">
        <v>-412119</v>
      </c>
      <c r="P26" s="43">
        <v>-36395</v>
      </c>
      <c r="Q26" s="601"/>
    </row>
    <row r="27" spans="1:17" s="22" customFormat="1" ht="21.75" customHeight="1">
      <c r="A27" s="41">
        <v>854</v>
      </c>
      <c r="B27" s="38"/>
      <c r="C27" s="40" t="s">
        <v>105</v>
      </c>
      <c r="D27" s="41">
        <f t="shared" si="2"/>
        <v>-59000</v>
      </c>
      <c r="E27" s="41"/>
      <c r="F27" s="41"/>
      <c r="G27" s="41"/>
      <c r="H27" s="41"/>
      <c r="I27" s="41"/>
      <c r="J27" s="41">
        <f>J28</f>
        <v>-4057</v>
      </c>
      <c r="K27" s="41"/>
      <c r="L27" s="41"/>
      <c r="M27" s="41"/>
      <c r="N27" s="41"/>
      <c r="O27" s="41">
        <f>O28</f>
        <v>-54943</v>
      </c>
      <c r="P27" s="41"/>
      <c r="Q27" s="598"/>
    </row>
    <row r="28" spans="1:17" s="121" customFormat="1" ht="21.75" customHeight="1">
      <c r="A28" s="206"/>
      <c r="B28" s="207">
        <v>85403</v>
      </c>
      <c r="C28" s="120" t="s">
        <v>324</v>
      </c>
      <c r="D28" s="43">
        <f t="shared" si="2"/>
        <v>-59000</v>
      </c>
      <c r="E28" s="43"/>
      <c r="F28" s="43"/>
      <c r="G28" s="43"/>
      <c r="H28" s="43"/>
      <c r="I28" s="43"/>
      <c r="J28" s="43">
        <v>-4057</v>
      </c>
      <c r="K28" s="43"/>
      <c r="L28" s="43"/>
      <c r="M28" s="43"/>
      <c r="N28" s="43"/>
      <c r="O28" s="43">
        <v>-54943</v>
      </c>
      <c r="P28" s="43"/>
      <c r="Q28" s="601"/>
    </row>
    <row r="29" spans="1:17" s="124" customFormat="1" ht="21.75" customHeight="1">
      <c r="A29" s="42"/>
      <c r="B29" s="42"/>
      <c r="C29" s="122" t="s">
        <v>450</v>
      </c>
      <c r="D29" s="123">
        <f t="shared" si="2"/>
        <v>-142044</v>
      </c>
      <c r="E29" s="123"/>
      <c r="F29" s="123"/>
      <c r="G29" s="123"/>
      <c r="H29" s="123"/>
      <c r="I29" s="123">
        <f>I30+I55</f>
        <v>-14184</v>
      </c>
      <c r="J29" s="123">
        <f>J30+J55</f>
        <v>-487824</v>
      </c>
      <c r="K29" s="123">
        <f aca="true" t="shared" si="6" ref="K29:P29">K30+K55</f>
        <v>-22174</v>
      </c>
      <c r="L29" s="123">
        <f t="shared" si="6"/>
        <v>623406</v>
      </c>
      <c r="M29" s="123">
        <f t="shared" si="6"/>
        <v>-36500</v>
      </c>
      <c r="N29" s="123">
        <f t="shared" si="6"/>
        <v>-11808</v>
      </c>
      <c r="O29" s="123">
        <f t="shared" si="6"/>
        <v>-140791</v>
      </c>
      <c r="P29" s="123">
        <f t="shared" si="6"/>
        <v>-52169</v>
      </c>
      <c r="Q29" s="602"/>
    </row>
    <row r="30" spans="1:17" s="121" customFormat="1" ht="21.75" customHeight="1" thickBot="1">
      <c r="A30" s="44"/>
      <c r="B30" s="44"/>
      <c r="C30" s="125" t="s">
        <v>96</v>
      </c>
      <c r="D30" s="126">
        <f t="shared" si="2"/>
        <v>-142257</v>
      </c>
      <c r="E30" s="126"/>
      <c r="F30" s="126"/>
      <c r="G30" s="126"/>
      <c r="H30" s="126"/>
      <c r="I30" s="126"/>
      <c r="J30" s="126">
        <f>J31+J47+J45</f>
        <v>-377814</v>
      </c>
      <c r="K30" s="126">
        <f aca="true" t="shared" si="7" ref="K30:P30">K31+K47+K45</f>
        <v>-137130</v>
      </c>
      <c r="L30" s="126">
        <f t="shared" si="7"/>
        <v>616747</v>
      </c>
      <c r="M30" s="126">
        <f t="shared" si="7"/>
        <v>-42000</v>
      </c>
      <c r="N30" s="126">
        <f t="shared" si="7"/>
        <v>-11808</v>
      </c>
      <c r="O30" s="126">
        <f t="shared" si="7"/>
        <v>-139391</v>
      </c>
      <c r="P30" s="126">
        <f t="shared" si="7"/>
        <v>-50861</v>
      </c>
      <c r="Q30" s="601"/>
    </row>
    <row r="31" spans="1:17" s="22" customFormat="1" ht="21.75" customHeight="1" thickTop="1">
      <c r="A31" s="38">
        <v>801</v>
      </c>
      <c r="B31" s="39"/>
      <c r="C31" s="40" t="s">
        <v>103</v>
      </c>
      <c r="D31" s="41">
        <f t="shared" si="2"/>
        <v>-138700</v>
      </c>
      <c r="E31" s="41"/>
      <c r="F31" s="41"/>
      <c r="G31" s="41"/>
      <c r="H31" s="41"/>
      <c r="I31" s="41"/>
      <c r="J31" s="41">
        <f aca="true" t="shared" si="8" ref="J31:P31">SUM(J32:J44)</f>
        <v>-83315</v>
      </c>
      <c r="K31" s="41">
        <f t="shared" si="8"/>
        <v>-165356</v>
      </c>
      <c r="L31" s="41">
        <f t="shared" si="8"/>
        <v>354031</v>
      </c>
      <c r="M31" s="41">
        <f t="shared" si="8"/>
        <v>-42000</v>
      </c>
      <c r="N31" s="41">
        <f t="shared" si="8"/>
        <v>-11808</v>
      </c>
      <c r="O31" s="41">
        <f t="shared" si="8"/>
        <v>-139391</v>
      </c>
      <c r="P31" s="41">
        <f t="shared" si="8"/>
        <v>-50861</v>
      </c>
      <c r="Q31" s="598"/>
    </row>
    <row r="32" spans="1:17" s="121" customFormat="1" ht="21.75" customHeight="1">
      <c r="A32" s="206"/>
      <c r="B32" s="207">
        <v>80101</v>
      </c>
      <c r="C32" s="120" t="s">
        <v>265</v>
      </c>
      <c r="D32" s="43">
        <f t="shared" si="2"/>
        <v>-80000</v>
      </c>
      <c r="E32" s="43"/>
      <c r="F32" s="43"/>
      <c r="G32" s="43"/>
      <c r="H32" s="43"/>
      <c r="I32" s="43"/>
      <c r="J32" s="43"/>
      <c r="K32" s="43">
        <v>-204610</v>
      </c>
      <c r="L32" s="43">
        <v>124610</v>
      </c>
      <c r="M32" s="43"/>
      <c r="N32" s="43"/>
      <c r="O32" s="43"/>
      <c r="P32" s="43"/>
      <c r="Q32" s="601"/>
    </row>
    <row r="33" spans="1:17" s="121" customFormat="1" ht="33.75" customHeight="1">
      <c r="A33" s="42"/>
      <c r="B33" s="207">
        <v>80103</v>
      </c>
      <c r="C33" s="120" t="s">
        <v>312</v>
      </c>
      <c r="D33" s="43">
        <f t="shared" si="2"/>
        <v>0</v>
      </c>
      <c r="E33" s="43"/>
      <c r="F33" s="43"/>
      <c r="G33" s="43"/>
      <c r="H33" s="43"/>
      <c r="I33" s="43"/>
      <c r="J33" s="43"/>
      <c r="K33" s="43">
        <v>-16810</v>
      </c>
      <c r="L33" s="43">
        <v>16810</v>
      </c>
      <c r="M33" s="43"/>
      <c r="N33" s="43"/>
      <c r="O33" s="43"/>
      <c r="P33" s="43"/>
      <c r="Q33" s="601"/>
    </row>
    <row r="34" spans="1:17" s="121" customFormat="1" ht="21.75" customHeight="1">
      <c r="A34" s="42"/>
      <c r="B34" s="207">
        <v>80104</v>
      </c>
      <c r="C34" s="120" t="s">
        <v>263</v>
      </c>
      <c r="D34" s="43">
        <f t="shared" si="2"/>
        <v>-3800</v>
      </c>
      <c r="E34" s="43"/>
      <c r="F34" s="43"/>
      <c r="G34" s="43"/>
      <c r="H34" s="43"/>
      <c r="I34" s="43"/>
      <c r="J34" s="43"/>
      <c r="K34" s="43">
        <f>-3800-16260</f>
        <v>-20060</v>
      </c>
      <c r="L34" s="43">
        <v>63636</v>
      </c>
      <c r="M34" s="43">
        <v>-42000</v>
      </c>
      <c r="N34" s="43">
        <v>-5376</v>
      </c>
      <c r="O34" s="43"/>
      <c r="P34" s="43"/>
      <c r="Q34" s="601"/>
    </row>
    <row r="35" spans="1:17" s="121" customFormat="1" ht="21.75" customHeight="1">
      <c r="A35" s="42"/>
      <c r="B35" s="207">
        <v>80110</v>
      </c>
      <c r="C35" s="120" t="s">
        <v>266</v>
      </c>
      <c r="D35" s="43">
        <f t="shared" si="2"/>
        <v>-28000</v>
      </c>
      <c r="E35" s="43"/>
      <c r="F35" s="43"/>
      <c r="G35" s="43"/>
      <c r="H35" s="43"/>
      <c r="I35" s="43"/>
      <c r="J35" s="43"/>
      <c r="K35" s="43">
        <v>46391</v>
      </c>
      <c r="L35" s="43"/>
      <c r="M35" s="43"/>
      <c r="N35" s="43"/>
      <c r="O35" s="43">
        <v>-74391</v>
      </c>
      <c r="P35" s="43"/>
      <c r="Q35" s="601"/>
    </row>
    <row r="36" spans="1:17" s="121" customFormat="1" ht="21.75" customHeight="1">
      <c r="A36" s="42"/>
      <c r="B36" s="207">
        <v>80111</v>
      </c>
      <c r="C36" s="120" t="s">
        <v>315</v>
      </c>
      <c r="D36" s="43">
        <f t="shared" si="2"/>
        <v>0</v>
      </c>
      <c r="E36" s="43"/>
      <c r="F36" s="43"/>
      <c r="G36" s="43"/>
      <c r="H36" s="43"/>
      <c r="I36" s="43"/>
      <c r="J36" s="43"/>
      <c r="K36" s="43">
        <v>-34000</v>
      </c>
      <c r="L36" s="43">
        <v>34000</v>
      </c>
      <c r="M36" s="43"/>
      <c r="N36" s="43"/>
      <c r="O36" s="43"/>
      <c r="P36" s="43"/>
      <c r="Q36" s="601"/>
    </row>
    <row r="37" spans="1:17" s="121" customFormat="1" ht="21.75" customHeight="1">
      <c r="A37" s="42"/>
      <c r="B37" s="207">
        <v>80113</v>
      </c>
      <c r="C37" s="120" t="s">
        <v>316</v>
      </c>
      <c r="D37" s="43">
        <f t="shared" si="2"/>
        <v>0</v>
      </c>
      <c r="E37" s="43"/>
      <c r="F37" s="43"/>
      <c r="G37" s="43"/>
      <c r="H37" s="43"/>
      <c r="I37" s="43"/>
      <c r="J37" s="43"/>
      <c r="K37" s="43">
        <v>-8000</v>
      </c>
      <c r="L37" s="43">
        <v>8000</v>
      </c>
      <c r="M37" s="43"/>
      <c r="N37" s="43"/>
      <c r="O37" s="43"/>
      <c r="P37" s="43"/>
      <c r="Q37" s="601"/>
    </row>
    <row r="38" spans="1:17" s="121" customFormat="1" ht="21.75" customHeight="1">
      <c r="A38" s="42"/>
      <c r="B38" s="207">
        <v>80120</v>
      </c>
      <c r="C38" s="120" t="s">
        <v>267</v>
      </c>
      <c r="D38" s="43">
        <f t="shared" si="2"/>
        <v>-16420</v>
      </c>
      <c r="E38" s="43"/>
      <c r="F38" s="43"/>
      <c r="G38" s="43"/>
      <c r="H38" s="43"/>
      <c r="I38" s="43"/>
      <c r="J38" s="43"/>
      <c r="K38" s="43">
        <v>99441</v>
      </c>
      <c r="L38" s="43"/>
      <c r="M38" s="43"/>
      <c r="N38" s="43"/>
      <c r="O38" s="43">
        <v>-65000</v>
      </c>
      <c r="P38" s="43">
        <v>-50861</v>
      </c>
      <c r="Q38" s="601"/>
    </row>
    <row r="39" spans="1:17" s="121" customFormat="1" ht="21.75" customHeight="1">
      <c r="A39" s="42"/>
      <c r="B39" s="207">
        <v>80121</v>
      </c>
      <c r="C39" s="120" t="s">
        <v>317</v>
      </c>
      <c r="D39" s="43">
        <f t="shared" si="2"/>
        <v>0</v>
      </c>
      <c r="E39" s="43"/>
      <c r="F39" s="43"/>
      <c r="G39" s="43"/>
      <c r="H39" s="43"/>
      <c r="I39" s="43"/>
      <c r="J39" s="43"/>
      <c r="K39" s="43">
        <v>-3000</v>
      </c>
      <c r="L39" s="43">
        <v>3000</v>
      </c>
      <c r="M39" s="43"/>
      <c r="N39" s="43"/>
      <c r="O39" s="43"/>
      <c r="P39" s="43"/>
      <c r="Q39" s="601"/>
    </row>
    <row r="40" spans="1:17" s="121" customFormat="1" ht="21.75" customHeight="1">
      <c r="A40" s="42"/>
      <c r="B40" s="207">
        <v>80123</v>
      </c>
      <c r="C40" s="120" t="s">
        <v>318</v>
      </c>
      <c r="D40" s="43">
        <f t="shared" si="2"/>
        <v>0</v>
      </c>
      <c r="E40" s="43"/>
      <c r="F40" s="43"/>
      <c r="G40" s="43"/>
      <c r="H40" s="43"/>
      <c r="I40" s="43"/>
      <c r="J40" s="43"/>
      <c r="K40" s="43">
        <v>6432</v>
      </c>
      <c r="L40" s="43"/>
      <c r="M40" s="43"/>
      <c r="N40" s="43">
        <v>-6432</v>
      </c>
      <c r="O40" s="43"/>
      <c r="P40" s="43"/>
      <c r="Q40" s="601"/>
    </row>
    <row r="41" spans="1:17" s="121" customFormat="1" ht="21.75" customHeight="1">
      <c r="A41" s="42"/>
      <c r="B41" s="207">
        <v>80130</v>
      </c>
      <c r="C41" s="120" t="s">
        <v>148</v>
      </c>
      <c r="D41" s="43">
        <f t="shared" si="2"/>
        <v>-10480</v>
      </c>
      <c r="E41" s="43"/>
      <c r="F41" s="43"/>
      <c r="G41" s="43"/>
      <c r="H41" s="43"/>
      <c r="I41" s="43"/>
      <c r="J41" s="43"/>
      <c r="K41" s="43">
        <v>-58455</v>
      </c>
      <c r="L41" s="43">
        <v>47975</v>
      </c>
      <c r="M41" s="43"/>
      <c r="N41" s="43"/>
      <c r="O41" s="43"/>
      <c r="P41" s="43"/>
      <c r="Q41" s="601"/>
    </row>
    <row r="42" spans="1:17" s="121" customFormat="1" ht="21.75" customHeight="1">
      <c r="A42" s="42"/>
      <c r="B42" s="207">
        <v>80132</v>
      </c>
      <c r="C42" s="120" t="s">
        <v>320</v>
      </c>
      <c r="D42" s="43">
        <f t="shared" si="2"/>
        <v>0</v>
      </c>
      <c r="E42" s="43"/>
      <c r="F42" s="43"/>
      <c r="G42" s="43"/>
      <c r="H42" s="43"/>
      <c r="I42" s="43"/>
      <c r="J42" s="43"/>
      <c r="K42" s="43">
        <v>-32000</v>
      </c>
      <c r="L42" s="43">
        <v>32000</v>
      </c>
      <c r="M42" s="43"/>
      <c r="N42" s="43"/>
      <c r="O42" s="43"/>
      <c r="P42" s="43"/>
      <c r="Q42" s="601"/>
    </row>
    <row r="43" spans="1:17" s="121" customFormat="1" ht="21.75" customHeight="1">
      <c r="A43" s="44"/>
      <c r="B43" s="207">
        <v>80134</v>
      </c>
      <c r="C43" s="120" t="s">
        <v>321</v>
      </c>
      <c r="D43" s="43">
        <f t="shared" si="2"/>
        <v>0</v>
      </c>
      <c r="E43" s="43"/>
      <c r="F43" s="43"/>
      <c r="G43" s="43"/>
      <c r="H43" s="43"/>
      <c r="I43" s="43"/>
      <c r="J43" s="43"/>
      <c r="K43" s="43">
        <v>-24000</v>
      </c>
      <c r="L43" s="43">
        <v>24000</v>
      </c>
      <c r="M43" s="43"/>
      <c r="N43" s="43"/>
      <c r="O43" s="43"/>
      <c r="P43" s="43"/>
      <c r="Q43" s="601"/>
    </row>
    <row r="44" spans="1:17" s="121" customFormat="1" ht="21.75" customHeight="1">
      <c r="A44" s="42"/>
      <c r="B44" s="207">
        <v>80195</v>
      </c>
      <c r="C44" s="120" t="s">
        <v>102</v>
      </c>
      <c r="D44" s="43">
        <f t="shared" si="2"/>
        <v>0</v>
      </c>
      <c r="E44" s="43"/>
      <c r="F44" s="43"/>
      <c r="G44" s="43"/>
      <c r="H44" s="43"/>
      <c r="I44" s="43"/>
      <c r="J44" s="43">
        <v>-83315</v>
      </c>
      <c r="K44" s="43">
        <v>83315</v>
      </c>
      <c r="L44" s="43"/>
      <c r="M44" s="43"/>
      <c r="N44" s="43"/>
      <c r="O44" s="43"/>
      <c r="P44" s="43"/>
      <c r="Q44" s="601"/>
    </row>
    <row r="45" spans="1:17" s="22" customFormat="1" ht="21.75" customHeight="1">
      <c r="A45" s="38">
        <v>851</v>
      </c>
      <c r="B45" s="39"/>
      <c r="C45" s="40" t="s">
        <v>106</v>
      </c>
      <c r="D45" s="41">
        <f t="shared" si="2"/>
        <v>0</v>
      </c>
      <c r="E45" s="41"/>
      <c r="F45" s="41"/>
      <c r="G45" s="41"/>
      <c r="H45" s="41"/>
      <c r="I45" s="41"/>
      <c r="J45" s="41">
        <f>J46</f>
        <v>-50000</v>
      </c>
      <c r="K45" s="41">
        <f>K46</f>
        <v>50000</v>
      </c>
      <c r="L45" s="41"/>
      <c r="M45" s="41"/>
      <c r="N45" s="41"/>
      <c r="O45" s="41"/>
      <c r="P45" s="41"/>
      <c r="Q45" s="598"/>
    </row>
    <row r="46" spans="1:17" s="121" customFormat="1" ht="21.75" customHeight="1">
      <c r="A46" s="206"/>
      <c r="B46" s="207">
        <v>85154</v>
      </c>
      <c r="C46" s="120" t="s">
        <v>127</v>
      </c>
      <c r="D46" s="43">
        <f t="shared" si="2"/>
        <v>0</v>
      </c>
      <c r="E46" s="43"/>
      <c r="F46" s="43"/>
      <c r="G46" s="43"/>
      <c r="H46" s="43"/>
      <c r="I46" s="43"/>
      <c r="J46" s="43">
        <v>-50000</v>
      </c>
      <c r="K46" s="43">
        <v>50000</v>
      </c>
      <c r="L46" s="43"/>
      <c r="M46" s="43"/>
      <c r="N46" s="43"/>
      <c r="O46" s="43"/>
      <c r="P46" s="43"/>
      <c r="Q46" s="601"/>
    </row>
    <row r="47" spans="1:17" s="22" customFormat="1" ht="21.75" customHeight="1">
      <c r="A47" s="38">
        <v>854</v>
      </c>
      <c r="B47" s="39"/>
      <c r="C47" s="40" t="s">
        <v>105</v>
      </c>
      <c r="D47" s="41">
        <f t="shared" si="2"/>
        <v>-3557</v>
      </c>
      <c r="E47" s="41"/>
      <c r="F47" s="41"/>
      <c r="G47" s="41"/>
      <c r="H47" s="41"/>
      <c r="I47" s="41"/>
      <c r="J47" s="41">
        <f>SUM(J48:J54)</f>
        <v>-244499</v>
      </c>
      <c r="K47" s="41">
        <f>SUM(K48:K54)</f>
        <v>-21774</v>
      </c>
      <c r="L47" s="41">
        <f>SUM(L48:L54)</f>
        <v>262716</v>
      </c>
      <c r="M47" s="41"/>
      <c r="N47" s="41"/>
      <c r="O47" s="41"/>
      <c r="P47" s="41"/>
      <c r="Q47" s="598"/>
    </row>
    <row r="48" spans="1:17" s="121" customFormat="1" ht="21.75" customHeight="1">
      <c r="A48" s="206"/>
      <c r="B48" s="207">
        <v>85401</v>
      </c>
      <c r="C48" s="120" t="s">
        <v>323</v>
      </c>
      <c r="D48" s="43">
        <f t="shared" si="2"/>
        <v>0</v>
      </c>
      <c r="E48" s="43"/>
      <c r="F48" s="43"/>
      <c r="G48" s="43"/>
      <c r="H48" s="43"/>
      <c r="I48" s="43"/>
      <c r="J48" s="43"/>
      <c r="K48" s="43">
        <v>-115000</v>
      </c>
      <c r="L48" s="43">
        <v>115000</v>
      </c>
      <c r="M48" s="43"/>
      <c r="N48" s="43"/>
      <c r="O48" s="43"/>
      <c r="P48" s="43"/>
      <c r="Q48" s="601"/>
    </row>
    <row r="49" spans="1:17" s="121" customFormat="1" ht="21.75" customHeight="1">
      <c r="A49" s="42"/>
      <c r="B49" s="207">
        <v>85403</v>
      </c>
      <c r="C49" s="120" t="s">
        <v>324</v>
      </c>
      <c r="D49" s="43">
        <f t="shared" si="2"/>
        <v>0</v>
      </c>
      <c r="E49" s="43"/>
      <c r="F49" s="43"/>
      <c r="G49" s="43"/>
      <c r="H49" s="43"/>
      <c r="I49" s="43"/>
      <c r="J49" s="43"/>
      <c r="K49" s="43">
        <v>-33470</v>
      </c>
      <c r="L49" s="43">
        <v>33470</v>
      </c>
      <c r="M49" s="43"/>
      <c r="N49" s="43"/>
      <c r="O49" s="43"/>
      <c r="P49" s="43"/>
      <c r="Q49" s="601"/>
    </row>
    <row r="50" spans="1:17" s="121" customFormat="1" ht="30.75" customHeight="1">
      <c r="A50" s="42"/>
      <c r="B50" s="207">
        <v>85406</v>
      </c>
      <c r="C50" s="120" t="s">
        <v>325</v>
      </c>
      <c r="D50" s="43">
        <f t="shared" si="2"/>
        <v>0</v>
      </c>
      <c r="E50" s="43"/>
      <c r="F50" s="43"/>
      <c r="G50" s="43"/>
      <c r="H50" s="43"/>
      <c r="I50" s="43"/>
      <c r="J50" s="43"/>
      <c r="K50" s="43">
        <v>-27542</v>
      </c>
      <c r="L50" s="43">
        <v>27542</v>
      </c>
      <c r="M50" s="43"/>
      <c r="N50" s="43"/>
      <c r="O50" s="43"/>
      <c r="P50" s="43"/>
      <c r="Q50" s="601"/>
    </row>
    <row r="51" spans="1:17" s="121" customFormat="1" ht="21.75" customHeight="1">
      <c r="A51" s="42"/>
      <c r="B51" s="44">
        <v>85407</v>
      </c>
      <c r="C51" s="330" t="s">
        <v>268</v>
      </c>
      <c r="D51" s="331">
        <f t="shared" si="2"/>
        <v>0</v>
      </c>
      <c r="E51" s="331"/>
      <c r="F51" s="331"/>
      <c r="G51" s="331"/>
      <c r="H51" s="331"/>
      <c r="I51" s="331"/>
      <c r="J51" s="331"/>
      <c r="K51" s="331">
        <v>-41000</v>
      </c>
      <c r="L51" s="331">
        <v>41000</v>
      </c>
      <c r="M51" s="331"/>
      <c r="N51" s="331"/>
      <c r="O51" s="331"/>
      <c r="P51" s="331"/>
      <c r="Q51" s="601"/>
    </row>
    <row r="52" spans="1:17" s="121" customFormat="1" ht="21.75" customHeight="1">
      <c r="A52" s="42"/>
      <c r="B52" s="207">
        <v>85410</v>
      </c>
      <c r="C52" s="120" t="s">
        <v>274</v>
      </c>
      <c r="D52" s="43">
        <f t="shared" si="2"/>
        <v>20000</v>
      </c>
      <c r="E52" s="43"/>
      <c r="F52" s="43"/>
      <c r="G52" s="43"/>
      <c r="H52" s="43"/>
      <c r="I52" s="43"/>
      <c r="J52" s="43"/>
      <c r="K52" s="43">
        <v>-25704</v>
      </c>
      <c r="L52" s="43">
        <v>45704</v>
      </c>
      <c r="M52" s="43"/>
      <c r="N52" s="43"/>
      <c r="O52" s="43"/>
      <c r="P52" s="43"/>
      <c r="Q52" s="601"/>
    </row>
    <row r="53" spans="1:17" s="121" customFormat="1" ht="21.75" customHeight="1">
      <c r="A53" s="42"/>
      <c r="B53" s="207">
        <v>85415</v>
      </c>
      <c r="C53" s="120" t="s">
        <v>264</v>
      </c>
      <c r="D53" s="43">
        <f t="shared" si="2"/>
        <v>-21557</v>
      </c>
      <c r="E53" s="43"/>
      <c r="F53" s="43"/>
      <c r="G53" s="43"/>
      <c r="H53" s="43"/>
      <c r="I53" s="43"/>
      <c r="J53" s="43">
        <v>-149599</v>
      </c>
      <c r="K53" s="43">
        <f>129599-1344-213</f>
        <v>128042</v>
      </c>
      <c r="L53" s="43"/>
      <c r="M53" s="43"/>
      <c r="N53" s="43"/>
      <c r="O53" s="43"/>
      <c r="P53" s="43"/>
      <c r="Q53" s="601"/>
    </row>
    <row r="54" spans="1:17" s="121" customFormat="1" ht="21.75" customHeight="1">
      <c r="A54" s="42"/>
      <c r="B54" s="207">
        <v>85495</v>
      </c>
      <c r="C54" s="120" t="s">
        <v>102</v>
      </c>
      <c r="D54" s="43">
        <f t="shared" si="2"/>
        <v>-2000</v>
      </c>
      <c r="E54" s="43"/>
      <c r="F54" s="43"/>
      <c r="G54" s="43"/>
      <c r="H54" s="43"/>
      <c r="I54" s="43"/>
      <c r="J54" s="43">
        <v>-94900</v>
      </c>
      <c r="K54" s="43">
        <v>92900</v>
      </c>
      <c r="L54" s="43"/>
      <c r="M54" s="43"/>
      <c r="N54" s="43"/>
      <c r="O54" s="43"/>
      <c r="P54" s="43"/>
      <c r="Q54" s="601"/>
    </row>
    <row r="55" spans="1:17" s="121" customFormat="1" ht="33.75" customHeight="1" thickBot="1">
      <c r="A55" s="44"/>
      <c r="B55" s="44"/>
      <c r="C55" s="125" t="s">
        <v>129</v>
      </c>
      <c r="D55" s="126">
        <f t="shared" si="2"/>
        <v>213</v>
      </c>
      <c r="E55" s="126"/>
      <c r="F55" s="126"/>
      <c r="G55" s="126"/>
      <c r="H55" s="126"/>
      <c r="I55" s="126">
        <f>I56+I58</f>
        <v>-14184</v>
      </c>
      <c r="J55" s="126">
        <f>J56+J58</f>
        <v>-110010</v>
      </c>
      <c r="K55" s="126">
        <f>K56+K58</f>
        <v>114956</v>
      </c>
      <c r="L55" s="126">
        <f>L56+L58</f>
        <v>6659</v>
      </c>
      <c r="M55" s="126">
        <f>M56+M58</f>
        <v>5500</v>
      </c>
      <c r="N55" s="126"/>
      <c r="O55" s="126">
        <f>O56+O58</f>
        <v>-1400</v>
      </c>
      <c r="P55" s="126">
        <f>P56+P58</f>
        <v>-1308</v>
      </c>
      <c r="Q55" s="601"/>
    </row>
    <row r="56" spans="1:17" s="22" customFormat="1" ht="21.75" customHeight="1" thickTop="1">
      <c r="A56" s="38">
        <v>801</v>
      </c>
      <c r="B56" s="39"/>
      <c r="C56" s="40" t="s">
        <v>103</v>
      </c>
      <c r="D56" s="41">
        <f t="shared" si="2"/>
        <v>0</v>
      </c>
      <c r="E56" s="41"/>
      <c r="F56" s="41"/>
      <c r="G56" s="41"/>
      <c r="H56" s="41"/>
      <c r="I56" s="41">
        <f>I57</f>
        <v>-14184</v>
      </c>
      <c r="J56" s="41"/>
      <c r="K56" s="41">
        <f>K57</f>
        <v>4946</v>
      </c>
      <c r="L56" s="41">
        <f>L57</f>
        <v>6446</v>
      </c>
      <c r="M56" s="41">
        <f>M57</f>
        <v>5500</v>
      </c>
      <c r="N56" s="41"/>
      <c r="O56" s="41">
        <f>O57</f>
        <v>-1400</v>
      </c>
      <c r="P56" s="41">
        <f>P57</f>
        <v>-1308</v>
      </c>
      <c r="Q56" s="598"/>
    </row>
    <row r="57" spans="1:17" s="121" customFormat="1" ht="21.75" customHeight="1">
      <c r="A57" s="206"/>
      <c r="B57" s="207">
        <v>80104</v>
      </c>
      <c r="C57" s="120" t="s">
        <v>263</v>
      </c>
      <c r="D57" s="43">
        <f t="shared" si="2"/>
        <v>0</v>
      </c>
      <c r="E57" s="43"/>
      <c r="F57" s="43"/>
      <c r="G57" s="43"/>
      <c r="H57" s="43"/>
      <c r="I57" s="43">
        <v>-14184</v>
      </c>
      <c r="J57" s="43"/>
      <c r="K57" s="43">
        <v>4946</v>
      </c>
      <c r="L57" s="43">
        <v>6446</v>
      </c>
      <c r="M57" s="43">
        <v>5500</v>
      </c>
      <c r="N57" s="43"/>
      <c r="O57" s="43">
        <v>-1400</v>
      </c>
      <c r="P57" s="43">
        <v>-1308</v>
      </c>
      <c r="Q57" s="601"/>
    </row>
    <row r="58" spans="1:17" s="22" customFormat="1" ht="21.75" customHeight="1">
      <c r="A58" s="38">
        <v>854</v>
      </c>
      <c r="B58" s="39"/>
      <c r="C58" s="40" t="s">
        <v>105</v>
      </c>
      <c r="D58" s="41">
        <f t="shared" si="2"/>
        <v>213</v>
      </c>
      <c r="E58" s="41"/>
      <c r="F58" s="41"/>
      <c r="G58" s="41"/>
      <c r="H58" s="41"/>
      <c r="I58" s="41"/>
      <c r="J58" s="41">
        <f>J59</f>
        <v>-110010</v>
      </c>
      <c r="K58" s="41">
        <f>K59</f>
        <v>110010</v>
      </c>
      <c r="L58" s="41">
        <f>L59</f>
        <v>213</v>
      </c>
      <c r="M58" s="41"/>
      <c r="N58" s="41"/>
      <c r="O58" s="41"/>
      <c r="P58" s="41"/>
      <c r="Q58" s="598"/>
    </row>
    <row r="59" spans="1:17" s="121" customFormat="1" ht="21.75" customHeight="1">
      <c r="A59" s="206"/>
      <c r="B59" s="207">
        <v>85415</v>
      </c>
      <c r="C59" s="120" t="s">
        <v>264</v>
      </c>
      <c r="D59" s="43">
        <f t="shared" si="2"/>
        <v>213</v>
      </c>
      <c r="E59" s="43"/>
      <c r="F59" s="43"/>
      <c r="G59" s="43"/>
      <c r="H59" s="43"/>
      <c r="I59" s="43"/>
      <c r="J59" s="43">
        <v>-110010</v>
      </c>
      <c r="K59" s="43">
        <v>110010</v>
      </c>
      <c r="L59" s="43">
        <v>213</v>
      </c>
      <c r="M59" s="43"/>
      <c r="N59" s="43"/>
      <c r="O59" s="43"/>
      <c r="P59" s="43"/>
      <c r="Q59" s="601"/>
    </row>
    <row r="60" spans="1:17" s="33" customFormat="1" ht="21.75" customHeight="1">
      <c r="A60" s="30"/>
      <c r="B60" s="30"/>
      <c r="C60" s="31" t="s">
        <v>451</v>
      </c>
      <c r="D60" s="32">
        <f t="shared" si="2"/>
        <v>0</v>
      </c>
      <c r="E60" s="32"/>
      <c r="F60" s="32"/>
      <c r="G60" s="32">
        <f>G61</f>
        <v>-1256</v>
      </c>
      <c r="H60" s="32">
        <f aca="true" t="shared" si="9" ref="H60:N60">H61</f>
        <v>-304</v>
      </c>
      <c r="I60" s="32">
        <f t="shared" si="9"/>
        <v>-1958</v>
      </c>
      <c r="J60" s="32">
        <f t="shared" si="9"/>
        <v>-29390</v>
      </c>
      <c r="K60" s="32">
        <f t="shared" si="9"/>
        <v>-189218</v>
      </c>
      <c r="L60" s="32">
        <f t="shared" si="9"/>
        <v>191218</v>
      </c>
      <c r="M60" s="32">
        <f t="shared" si="9"/>
        <v>-2000</v>
      </c>
      <c r="N60" s="32">
        <f t="shared" si="9"/>
        <v>32908</v>
      </c>
      <c r="O60" s="32"/>
      <c r="P60" s="32"/>
      <c r="Q60" s="600"/>
    </row>
    <row r="61" spans="1:17" s="22" customFormat="1" ht="21.75" customHeight="1" thickBot="1">
      <c r="A61" s="35"/>
      <c r="B61" s="35"/>
      <c r="C61" s="36" t="s">
        <v>96</v>
      </c>
      <c r="D61" s="37">
        <f t="shared" si="2"/>
        <v>0</v>
      </c>
      <c r="E61" s="37"/>
      <c r="F61" s="37"/>
      <c r="G61" s="37">
        <f>G64+G66+G68+G62+G70</f>
        <v>-1256</v>
      </c>
      <c r="H61" s="37">
        <f aca="true" t="shared" si="10" ref="H61:N61">H64+H66+H68+H62+H70</f>
        <v>-304</v>
      </c>
      <c r="I61" s="37">
        <f t="shared" si="10"/>
        <v>-1958</v>
      </c>
      <c r="J61" s="37">
        <f t="shared" si="10"/>
        <v>-29390</v>
      </c>
      <c r="K61" s="37">
        <f t="shared" si="10"/>
        <v>-189218</v>
      </c>
      <c r="L61" s="37">
        <f t="shared" si="10"/>
        <v>191218</v>
      </c>
      <c r="M61" s="37">
        <f t="shared" si="10"/>
        <v>-2000</v>
      </c>
      <c r="N61" s="37">
        <f t="shared" si="10"/>
        <v>32908</v>
      </c>
      <c r="O61" s="37"/>
      <c r="P61" s="37"/>
      <c r="Q61" s="598"/>
    </row>
    <row r="62" spans="1:17" s="22" customFormat="1" ht="21.75" customHeight="1" thickTop="1">
      <c r="A62" s="39">
        <v>630</v>
      </c>
      <c r="B62" s="725"/>
      <c r="C62" s="40" t="s">
        <v>58</v>
      </c>
      <c r="D62" s="41">
        <f>SUM(E62:P62)</f>
        <v>0</v>
      </c>
      <c r="E62" s="41"/>
      <c r="F62" s="41"/>
      <c r="G62" s="41"/>
      <c r="H62" s="41"/>
      <c r="I62" s="41"/>
      <c r="J62" s="41"/>
      <c r="K62" s="41">
        <f>K63</f>
        <v>-1768</v>
      </c>
      <c r="L62" s="41">
        <f>L63</f>
        <v>1768</v>
      </c>
      <c r="M62" s="41"/>
      <c r="N62" s="41"/>
      <c r="O62" s="41"/>
      <c r="P62" s="41"/>
      <c r="Q62" s="598"/>
    </row>
    <row r="63" spans="1:17" s="121" customFormat="1" ht="28.5" customHeight="1">
      <c r="A63" s="42"/>
      <c r="B63" s="354">
        <v>63003</v>
      </c>
      <c r="C63" s="355" t="s">
        <v>59</v>
      </c>
      <c r="D63" s="43">
        <f>SUM(E63:P63)</f>
        <v>0</v>
      </c>
      <c r="E63" s="43"/>
      <c r="F63" s="43"/>
      <c r="G63" s="43"/>
      <c r="H63" s="43"/>
      <c r="I63" s="43"/>
      <c r="J63" s="43"/>
      <c r="K63" s="43">
        <v>-1768</v>
      </c>
      <c r="L63" s="43">
        <v>1768</v>
      </c>
      <c r="M63" s="43"/>
      <c r="N63" s="43"/>
      <c r="O63" s="43"/>
      <c r="P63" s="43"/>
      <c r="Q63" s="601"/>
    </row>
    <row r="64" spans="1:17" s="22" customFormat="1" ht="21.75" customHeight="1">
      <c r="A64" s="38">
        <v>758</v>
      </c>
      <c r="B64" s="39"/>
      <c r="C64" s="40" t="s">
        <v>98</v>
      </c>
      <c r="D64" s="41">
        <f>SUM(E64:P64)</f>
        <v>0</v>
      </c>
      <c r="E64" s="41"/>
      <c r="F64" s="41"/>
      <c r="G64" s="41"/>
      <c r="H64" s="41"/>
      <c r="I64" s="41"/>
      <c r="J64" s="41"/>
      <c r="K64" s="41"/>
      <c r="L64" s="41">
        <f>L65</f>
        <v>2000</v>
      </c>
      <c r="M64" s="41">
        <f>M65</f>
        <v>-2000</v>
      </c>
      <c r="N64" s="41"/>
      <c r="O64" s="41"/>
      <c r="P64" s="41"/>
      <c r="Q64" s="598"/>
    </row>
    <row r="65" spans="1:17" s="121" customFormat="1" ht="21.75" customHeight="1">
      <c r="A65" s="42"/>
      <c r="B65" s="321">
        <v>75860</v>
      </c>
      <c r="C65" s="596" t="s">
        <v>343</v>
      </c>
      <c r="D65" s="43">
        <f>SUM(E65:P65)</f>
        <v>0</v>
      </c>
      <c r="E65" s="43"/>
      <c r="F65" s="43"/>
      <c r="G65" s="43"/>
      <c r="H65" s="43"/>
      <c r="I65" s="43"/>
      <c r="J65" s="43"/>
      <c r="K65" s="43"/>
      <c r="L65" s="43">
        <v>2000</v>
      </c>
      <c r="M65" s="43">
        <v>-2000</v>
      </c>
      <c r="N65" s="43"/>
      <c r="O65" s="43"/>
      <c r="P65" s="43"/>
      <c r="Q65" s="601"/>
    </row>
    <row r="66" spans="1:17" s="22" customFormat="1" ht="21.75" customHeight="1">
      <c r="A66" s="38">
        <v>854</v>
      </c>
      <c r="B66" s="725"/>
      <c r="C66" s="40" t="s">
        <v>105</v>
      </c>
      <c r="D66" s="41">
        <f t="shared" si="2"/>
        <v>0</v>
      </c>
      <c r="E66" s="41"/>
      <c r="F66" s="41"/>
      <c r="G66" s="41"/>
      <c r="H66" s="41"/>
      <c r="I66" s="41"/>
      <c r="J66" s="41"/>
      <c r="K66" s="41">
        <f>SUM(K67:K67)</f>
        <v>-3950</v>
      </c>
      <c r="L66" s="41">
        <f>SUM(L67:L67)</f>
        <v>3950</v>
      </c>
      <c r="M66" s="41"/>
      <c r="N66" s="41"/>
      <c r="O66" s="41"/>
      <c r="P66" s="41"/>
      <c r="Q66" s="598"/>
    </row>
    <row r="67" spans="1:17" s="121" customFormat="1" ht="45.75" customHeight="1">
      <c r="A67" s="206"/>
      <c r="B67" s="726">
        <v>85412</v>
      </c>
      <c r="C67" s="355" t="s">
        <v>30</v>
      </c>
      <c r="D67" s="43">
        <f t="shared" si="2"/>
        <v>0</v>
      </c>
      <c r="E67" s="43"/>
      <c r="F67" s="43"/>
      <c r="G67" s="43"/>
      <c r="H67" s="43"/>
      <c r="I67" s="43"/>
      <c r="J67" s="43"/>
      <c r="K67" s="43">
        <v>-3950</v>
      </c>
      <c r="L67" s="43">
        <v>3950</v>
      </c>
      <c r="M67" s="43"/>
      <c r="N67" s="43"/>
      <c r="O67" s="43"/>
      <c r="P67" s="43"/>
      <c r="Q67" s="601"/>
    </row>
    <row r="68" spans="1:17" s="22" customFormat="1" ht="34.5" customHeight="1">
      <c r="A68" s="38">
        <v>921</v>
      </c>
      <c r="B68" s="39"/>
      <c r="C68" s="40" t="s">
        <v>306</v>
      </c>
      <c r="D68" s="41">
        <f t="shared" si="2"/>
        <v>0</v>
      </c>
      <c r="E68" s="41"/>
      <c r="F68" s="41"/>
      <c r="G68" s="41">
        <f>G69</f>
        <v>-1256</v>
      </c>
      <c r="H68" s="41">
        <f aca="true" t="shared" si="11" ref="H68:N68">H69</f>
        <v>-304</v>
      </c>
      <c r="I68" s="41">
        <f t="shared" si="11"/>
        <v>-1958</v>
      </c>
      <c r="J68" s="41">
        <f t="shared" si="11"/>
        <v>-29390</v>
      </c>
      <c r="K68" s="41"/>
      <c r="L68" s="41"/>
      <c r="M68" s="41"/>
      <c r="N68" s="41">
        <f t="shared" si="11"/>
        <v>32908</v>
      </c>
      <c r="O68" s="41"/>
      <c r="P68" s="41"/>
      <c r="Q68" s="598"/>
    </row>
    <row r="69" spans="1:17" s="121" customFormat="1" ht="21.75" customHeight="1">
      <c r="A69" s="206"/>
      <c r="B69" s="207">
        <v>92105</v>
      </c>
      <c r="C69" s="120" t="s">
        <v>413</v>
      </c>
      <c r="D69" s="43">
        <f t="shared" si="2"/>
        <v>0</v>
      </c>
      <c r="E69" s="43"/>
      <c r="F69" s="43"/>
      <c r="G69" s="43">
        <v>-1256</v>
      </c>
      <c r="H69" s="43">
        <v>-304</v>
      </c>
      <c r="I69" s="43">
        <v>-1958</v>
      </c>
      <c r="J69" s="43">
        <v>-29390</v>
      </c>
      <c r="K69" s="43"/>
      <c r="L69" s="43"/>
      <c r="M69" s="43"/>
      <c r="N69" s="43">
        <v>32908</v>
      </c>
      <c r="O69" s="43"/>
      <c r="P69" s="43"/>
      <c r="Q69" s="601"/>
    </row>
    <row r="70" spans="1:17" s="22" customFormat="1" ht="21.75" customHeight="1">
      <c r="A70" s="38">
        <v>926</v>
      </c>
      <c r="B70" s="39"/>
      <c r="C70" s="40" t="s">
        <v>307</v>
      </c>
      <c r="D70" s="41">
        <f t="shared" si="2"/>
        <v>0</v>
      </c>
      <c r="E70" s="41"/>
      <c r="F70" s="41"/>
      <c r="G70" s="41"/>
      <c r="H70" s="41"/>
      <c r="I70" s="41"/>
      <c r="J70" s="41"/>
      <c r="K70" s="41">
        <f>K71</f>
        <v>-183500</v>
      </c>
      <c r="L70" s="41">
        <f>L71</f>
        <v>183500</v>
      </c>
      <c r="M70" s="41"/>
      <c r="N70" s="41"/>
      <c r="O70" s="41"/>
      <c r="P70" s="41"/>
      <c r="Q70" s="598"/>
    </row>
    <row r="71" spans="1:17" s="121" customFormat="1" ht="21.75" customHeight="1">
      <c r="A71" s="42"/>
      <c r="B71" s="321">
        <v>92605</v>
      </c>
      <c r="C71" s="596" t="s">
        <v>322</v>
      </c>
      <c r="D71" s="43">
        <f t="shared" si="2"/>
        <v>0</v>
      </c>
      <c r="E71" s="43"/>
      <c r="F71" s="43"/>
      <c r="G71" s="43"/>
      <c r="H71" s="43"/>
      <c r="I71" s="43"/>
      <c r="J71" s="43"/>
      <c r="K71" s="43">
        <v>-183500</v>
      </c>
      <c r="L71" s="43">
        <v>183500</v>
      </c>
      <c r="M71" s="43"/>
      <c r="N71" s="43"/>
      <c r="O71" s="43"/>
      <c r="P71" s="43"/>
      <c r="Q71" s="601"/>
    </row>
    <row r="72" spans="1:17" s="33" customFormat="1" ht="21.75" customHeight="1">
      <c r="A72" s="30"/>
      <c r="B72" s="30"/>
      <c r="C72" s="31" t="s">
        <v>452</v>
      </c>
      <c r="D72" s="32">
        <f t="shared" si="2"/>
        <v>0</v>
      </c>
      <c r="E72" s="32"/>
      <c r="F72" s="32"/>
      <c r="G72" s="32"/>
      <c r="H72" s="32"/>
      <c r="I72" s="32"/>
      <c r="J72" s="32">
        <f aca="true" t="shared" si="12" ref="J72:P72">J73+J102</f>
        <v>-29986456</v>
      </c>
      <c r="K72" s="32">
        <f t="shared" si="12"/>
        <v>30836456</v>
      </c>
      <c r="L72" s="32">
        <f t="shared" si="12"/>
        <v>585000</v>
      </c>
      <c r="M72" s="32">
        <f t="shared" si="12"/>
        <v>-200000</v>
      </c>
      <c r="N72" s="32">
        <f t="shared" si="12"/>
        <v>-700000</v>
      </c>
      <c r="O72" s="32">
        <f t="shared" si="12"/>
        <v>-435000</v>
      </c>
      <c r="P72" s="32">
        <f t="shared" si="12"/>
        <v>-100000</v>
      </c>
      <c r="Q72" s="600"/>
    </row>
    <row r="73" spans="1:17" s="22" customFormat="1" ht="21.75" customHeight="1" thickBot="1">
      <c r="A73" s="35"/>
      <c r="B73" s="35"/>
      <c r="C73" s="36" t="s">
        <v>96</v>
      </c>
      <c r="D73" s="37">
        <f t="shared" si="2"/>
        <v>0</v>
      </c>
      <c r="E73" s="37"/>
      <c r="F73" s="37"/>
      <c r="G73" s="37"/>
      <c r="H73" s="37"/>
      <c r="I73" s="37"/>
      <c r="J73" s="37">
        <f aca="true" t="shared" si="13" ref="J73:P73">J74+J79+J81+J84+J89+J91+J96+J99</f>
        <v>-29940932</v>
      </c>
      <c r="K73" s="37">
        <f t="shared" si="13"/>
        <v>30790932</v>
      </c>
      <c r="L73" s="37">
        <f t="shared" si="13"/>
        <v>585000</v>
      </c>
      <c r="M73" s="37">
        <f t="shared" si="13"/>
        <v>-200000</v>
      </c>
      <c r="N73" s="37">
        <f t="shared" si="13"/>
        <v>-700000</v>
      </c>
      <c r="O73" s="37">
        <f t="shared" si="13"/>
        <v>-435000</v>
      </c>
      <c r="P73" s="37">
        <f t="shared" si="13"/>
        <v>-100000</v>
      </c>
      <c r="Q73" s="598"/>
    </row>
    <row r="74" spans="1:17" s="22" customFormat="1" ht="21.75" customHeight="1" thickTop="1">
      <c r="A74" s="38">
        <v>600</v>
      </c>
      <c r="B74" s="39"/>
      <c r="C74" s="40" t="s">
        <v>100</v>
      </c>
      <c r="D74" s="41">
        <f t="shared" si="2"/>
        <v>0</v>
      </c>
      <c r="E74" s="41"/>
      <c r="F74" s="41"/>
      <c r="G74" s="41"/>
      <c r="H74" s="41"/>
      <c r="I74" s="41"/>
      <c r="J74" s="41">
        <f aca="true" t="shared" si="14" ref="J74:P74">SUM(J75:J78)</f>
        <v>-7142672</v>
      </c>
      <c r="K74" s="41">
        <f t="shared" si="14"/>
        <v>7992672</v>
      </c>
      <c r="L74" s="41">
        <f t="shared" si="14"/>
        <v>585000</v>
      </c>
      <c r="M74" s="41">
        <f t="shared" si="14"/>
        <v>-200000</v>
      </c>
      <c r="N74" s="41">
        <f t="shared" si="14"/>
        <v>-700000</v>
      </c>
      <c r="O74" s="41">
        <f t="shared" si="14"/>
        <v>-435000</v>
      </c>
      <c r="P74" s="41">
        <f t="shared" si="14"/>
        <v>-100000</v>
      </c>
      <c r="Q74" s="598"/>
    </row>
    <row r="75" spans="1:17" s="205" customFormat="1" ht="21.75" customHeight="1">
      <c r="A75" s="309"/>
      <c r="B75" s="310">
        <v>60004</v>
      </c>
      <c r="C75" s="203" t="s">
        <v>101</v>
      </c>
      <c r="D75" s="43">
        <f t="shared" si="2"/>
        <v>0</v>
      </c>
      <c r="E75" s="204"/>
      <c r="F75" s="204"/>
      <c r="G75" s="204"/>
      <c r="H75" s="204"/>
      <c r="I75" s="204"/>
      <c r="J75" s="204">
        <v>-853260</v>
      </c>
      <c r="K75" s="204">
        <f>853260+600000</f>
        <v>1453260</v>
      </c>
      <c r="L75" s="204">
        <v>635000</v>
      </c>
      <c r="M75" s="204"/>
      <c r="N75" s="204">
        <v>-700000</v>
      </c>
      <c r="O75" s="204">
        <v>-435000</v>
      </c>
      <c r="P75" s="204">
        <v>-100000</v>
      </c>
      <c r="Q75" s="603"/>
    </row>
    <row r="76" spans="1:17" s="121" customFormat="1" ht="29.25" customHeight="1">
      <c r="A76" s="42"/>
      <c r="B76" s="207">
        <v>60015</v>
      </c>
      <c r="C76" s="120" t="s">
        <v>271</v>
      </c>
      <c r="D76" s="43">
        <f t="shared" si="2"/>
        <v>0</v>
      </c>
      <c r="E76" s="43"/>
      <c r="F76" s="43"/>
      <c r="G76" s="43"/>
      <c r="H76" s="43"/>
      <c r="I76" s="43"/>
      <c r="J76" s="43">
        <v>-5557307</v>
      </c>
      <c r="K76" s="43">
        <f>5557307+200000</f>
        <v>5757307</v>
      </c>
      <c r="L76" s="43"/>
      <c r="M76" s="43">
        <v>-200000</v>
      </c>
      <c r="N76" s="43"/>
      <c r="O76" s="43"/>
      <c r="P76" s="43"/>
      <c r="Q76" s="601"/>
    </row>
    <row r="77" spans="1:17" s="121" customFormat="1" ht="19.5" customHeight="1">
      <c r="A77" s="42"/>
      <c r="B77" s="44">
        <v>60016</v>
      </c>
      <c r="C77" s="330" t="s">
        <v>300</v>
      </c>
      <c r="D77" s="43">
        <f t="shared" si="2"/>
        <v>0</v>
      </c>
      <c r="E77" s="331"/>
      <c r="F77" s="331"/>
      <c r="G77" s="331"/>
      <c r="H77" s="331"/>
      <c r="I77" s="331"/>
      <c r="J77" s="331">
        <v>-712105</v>
      </c>
      <c r="K77" s="331">
        <v>712105</v>
      </c>
      <c r="L77" s="331"/>
      <c r="M77" s="331"/>
      <c r="N77" s="331"/>
      <c r="O77" s="331"/>
      <c r="P77" s="331"/>
      <c r="Q77" s="601"/>
    </row>
    <row r="78" spans="1:17" s="121" customFormat="1" ht="19.5" customHeight="1">
      <c r="A78" s="44"/>
      <c r="B78" s="44">
        <v>60017</v>
      </c>
      <c r="C78" s="330" t="s">
        <v>66</v>
      </c>
      <c r="D78" s="43">
        <f t="shared" si="2"/>
        <v>0</v>
      </c>
      <c r="E78" s="331"/>
      <c r="F78" s="331"/>
      <c r="G78" s="331"/>
      <c r="H78" s="331"/>
      <c r="I78" s="331"/>
      <c r="J78" s="331">
        <v>-20000</v>
      </c>
      <c r="K78" s="331">
        <f>20000+50000</f>
        <v>70000</v>
      </c>
      <c r="L78" s="331">
        <v>-50000</v>
      </c>
      <c r="M78" s="331"/>
      <c r="N78" s="331"/>
      <c r="O78" s="331"/>
      <c r="P78" s="331"/>
      <c r="Q78" s="601"/>
    </row>
    <row r="79" spans="1:17" s="22" customFormat="1" ht="21.75" customHeight="1">
      <c r="A79" s="38">
        <v>700</v>
      </c>
      <c r="B79" s="39"/>
      <c r="C79" s="40" t="s">
        <v>133</v>
      </c>
      <c r="D79" s="41">
        <f t="shared" si="2"/>
        <v>0</v>
      </c>
      <c r="E79" s="41"/>
      <c r="F79" s="41"/>
      <c r="G79" s="41"/>
      <c r="H79" s="41"/>
      <c r="I79" s="41"/>
      <c r="J79" s="41">
        <f>J80</f>
        <v>-1233351</v>
      </c>
      <c r="K79" s="41">
        <f>K80</f>
        <v>1233351</v>
      </c>
      <c r="L79" s="41"/>
      <c r="M79" s="41"/>
      <c r="N79" s="41"/>
      <c r="O79" s="41"/>
      <c r="P79" s="41"/>
      <c r="Q79" s="598"/>
    </row>
    <row r="80" spans="1:17" s="121" customFormat="1" ht="21.75" customHeight="1">
      <c r="A80" s="206"/>
      <c r="B80" s="207">
        <v>70095</v>
      </c>
      <c r="C80" s="120" t="s">
        <v>102</v>
      </c>
      <c r="D80" s="43">
        <f t="shared" si="2"/>
        <v>0</v>
      </c>
      <c r="E80" s="43"/>
      <c r="F80" s="43"/>
      <c r="G80" s="43"/>
      <c r="H80" s="43"/>
      <c r="I80" s="43"/>
      <c r="J80" s="43">
        <v>-1233351</v>
      </c>
      <c r="K80" s="43">
        <v>1233351</v>
      </c>
      <c r="L80" s="43"/>
      <c r="M80" s="43"/>
      <c r="N80" s="43"/>
      <c r="O80" s="43"/>
      <c r="P80" s="43"/>
      <c r="Q80" s="601"/>
    </row>
    <row r="81" spans="1:17" s="22" customFormat="1" ht="21.75" customHeight="1">
      <c r="A81" s="38">
        <v>710</v>
      </c>
      <c r="B81" s="39"/>
      <c r="C81" s="40" t="s">
        <v>301</v>
      </c>
      <c r="D81" s="41">
        <f t="shared" si="2"/>
        <v>0</v>
      </c>
      <c r="E81" s="41"/>
      <c r="F81" s="41"/>
      <c r="G81" s="41"/>
      <c r="H81" s="41"/>
      <c r="I81" s="41"/>
      <c r="J81" s="41">
        <f>SUM(J82:J83)</f>
        <v>-150289</v>
      </c>
      <c r="K81" s="41">
        <f>SUM(K82:K83)</f>
        <v>150289</v>
      </c>
      <c r="L81" s="41"/>
      <c r="M81" s="41"/>
      <c r="N81" s="41"/>
      <c r="O81" s="41"/>
      <c r="P81" s="41"/>
      <c r="Q81" s="598"/>
    </row>
    <row r="82" spans="1:17" s="121" customFormat="1" ht="21.75" customHeight="1">
      <c r="A82" s="206"/>
      <c r="B82" s="207">
        <v>71004</v>
      </c>
      <c r="C82" s="120" t="s">
        <v>302</v>
      </c>
      <c r="D82" s="43">
        <f t="shared" si="2"/>
        <v>0</v>
      </c>
      <c r="E82" s="43"/>
      <c r="F82" s="43"/>
      <c r="G82" s="43"/>
      <c r="H82" s="43"/>
      <c r="I82" s="43"/>
      <c r="J82" s="43">
        <v>-27129</v>
      </c>
      <c r="K82" s="43">
        <v>27129</v>
      </c>
      <c r="L82" s="43"/>
      <c r="M82" s="43"/>
      <c r="N82" s="43"/>
      <c r="O82" s="43"/>
      <c r="P82" s="43"/>
      <c r="Q82" s="601"/>
    </row>
    <row r="83" spans="1:17" s="121" customFormat="1" ht="21.75" customHeight="1">
      <c r="A83" s="44"/>
      <c r="B83" s="207">
        <v>71035</v>
      </c>
      <c r="C83" s="120" t="s">
        <v>67</v>
      </c>
      <c r="D83" s="43">
        <f t="shared" si="2"/>
        <v>0</v>
      </c>
      <c r="E83" s="43"/>
      <c r="F83" s="43"/>
      <c r="G83" s="43"/>
      <c r="H83" s="43"/>
      <c r="I83" s="43"/>
      <c r="J83" s="43">
        <v>-123160</v>
      </c>
      <c r="K83" s="43">
        <v>123160</v>
      </c>
      <c r="L83" s="43"/>
      <c r="M83" s="43"/>
      <c r="N83" s="43"/>
      <c r="O83" s="43"/>
      <c r="P83" s="43"/>
      <c r="Q83" s="601"/>
    </row>
    <row r="84" spans="1:17" s="22" customFormat="1" ht="21.75" customHeight="1">
      <c r="A84" s="39">
        <v>801</v>
      </c>
      <c r="B84" s="39"/>
      <c r="C84" s="40" t="s">
        <v>103</v>
      </c>
      <c r="D84" s="41">
        <f t="shared" si="2"/>
        <v>0</v>
      </c>
      <c r="E84" s="41"/>
      <c r="F84" s="41"/>
      <c r="G84" s="41"/>
      <c r="H84" s="41"/>
      <c r="I84" s="41"/>
      <c r="J84" s="41">
        <f>SUM(J85:J88)</f>
        <v>-8264356</v>
      </c>
      <c r="K84" s="41">
        <f>SUM(K85:K88)</f>
        <v>8264356</v>
      </c>
      <c r="L84" s="41"/>
      <c r="M84" s="41"/>
      <c r="N84" s="41"/>
      <c r="O84" s="41"/>
      <c r="P84" s="41"/>
      <c r="Q84" s="598"/>
    </row>
    <row r="85" spans="1:17" s="121" customFormat="1" ht="21.75" customHeight="1">
      <c r="A85" s="206"/>
      <c r="B85" s="207">
        <v>80101</v>
      </c>
      <c r="C85" s="120" t="s">
        <v>265</v>
      </c>
      <c r="D85" s="43">
        <f t="shared" si="2"/>
        <v>0</v>
      </c>
      <c r="E85" s="43"/>
      <c r="F85" s="43"/>
      <c r="G85" s="43"/>
      <c r="H85" s="43"/>
      <c r="I85" s="43"/>
      <c r="J85" s="43">
        <v>-5193122</v>
      </c>
      <c r="K85" s="43">
        <v>5193122</v>
      </c>
      <c r="L85" s="43"/>
      <c r="M85" s="43"/>
      <c r="N85" s="43"/>
      <c r="O85" s="43"/>
      <c r="P85" s="43"/>
      <c r="Q85" s="601"/>
    </row>
    <row r="86" spans="1:17" s="121" customFormat="1" ht="21.75" customHeight="1">
      <c r="A86" s="42"/>
      <c r="B86" s="44">
        <v>80110</v>
      </c>
      <c r="C86" s="330" t="s">
        <v>266</v>
      </c>
      <c r="D86" s="43">
        <f aca="true" t="shared" si="15" ref="D86:D110">SUM(E86:P86)</f>
        <v>0</v>
      </c>
      <c r="E86" s="331"/>
      <c r="F86" s="331"/>
      <c r="G86" s="331"/>
      <c r="H86" s="331"/>
      <c r="I86" s="331"/>
      <c r="J86" s="331">
        <v>-1353665</v>
      </c>
      <c r="K86" s="331">
        <v>1353665</v>
      </c>
      <c r="L86" s="331"/>
      <c r="M86" s="331"/>
      <c r="N86" s="331"/>
      <c r="O86" s="331"/>
      <c r="P86" s="331"/>
      <c r="Q86" s="601"/>
    </row>
    <row r="87" spans="1:17" s="121" customFormat="1" ht="21.75" customHeight="1">
      <c r="A87" s="42"/>
      <c r="B87" s="44">
        <v>80120</v>
      </c>
      <c r="C87" s="330" t="s">
        <v>267</v>
      </c>
      <c r="D87" s="331">
        <f t="shared" si="15"/>
        <v>0</v>
      </c>
      <c r="E87" s="331"/>
      <c r="F87" s="331"/>
      <c r="G87" s="331"/>
      <c r="H87" s="331"/>
      <c r="I87" s="331"/>
      <c r="J87" s="331">
        <v>-217000</v>
      </c>
      <c r="K87" s="331">
        <v>217000</v>
      </c>
      <c r="L87" s="331"/>
      <c r="M87" s="331"/>
      <c r="N87" s="331"/>
      <c r="O87" s="331"/>
      <c r="P87" s="331"/>
      <c r="Q87" s="601"/>
    </row>
    <row r="88" spans="1:17" s="121" customFormat="1" ht="21.75" customHeight="1">
      <c r="A88" s="42"/>
      <c r="B88" s="44">
        <v>80130</v>
      </c>
      <c r="C88" s="330" t="s">
        <v>148</v>
      </c>
      <c r="D88" s="43">
        <f t="shared" si="15"/>
        <v>0</v>
      </c>
      <c r="E88" s="331"/>
      <c r="F88" s="331"/>
      <c r="G88" s="331"/>
      <c r="H88" s="331"/>
      <c r="I88" s="331"/>
      <c r="J88" s="331">
        <v>-1500569</v>
      </c>
      <c r="K88" s="331">
        <v>1500569</v>
      </c>
      <c r="L88" s="331"/>
      <c r="M88" s="331"/>
      <c r="N88" s="331"/>
      <c r="O88" s="331"/>
      <c r="P88" s="331"/>
      <c r="Q88" s="601"/>
    </row>
    <row r="89" spans="1:17" s="22" customFormat="1" ht="21.75" customHeight="1">
      <c r="A89" s="38">
        <v>852</v>
      </c>
      <c r="B89" s="39"/>
      <c r="C89" s="40" t="s">
        <v>104</v>
      </c>
      <c r="D89" s="41">
        <f t="shared" si="15"/>
        <v>0</v>
      </c>
      <c r="E89" s="41"/>
      <c r="F89" s="41"/>
      <c r="G89" s="41"/>
      <c r="H89" s="41"/>
      <c r="I89" s="41"/>
      <c r="J89" s="41">
        <f>J90</f>
        <v>-149846</v>
      </c>
      <c r="K89" s="41">
        <f>K90</f>
        <v>149846</v>
      </c>
      <c r="L89" s="41"/>
      <c r="M89" s="41"/>
      <c r="N89" s="41"/>
      <c r="O89" s="41"/>
      <c r="P89" s="41"/>
      <c r="Q89" s="598"/>
    </row>
    <row r="90" spans="1:17" s="121" customFormat="1" ht="21.75" customHeight="1">
      <c r="A90" s="206"/>
      <c r="B90" s="207">
        <v>85202</v>
      </c>
      <c r="C90" s="120" t="s">
        <v>272</v>
      </c>
      <c r="D90" s="43">
        <f t="shared" si="15"/>
        <v>0</v>
      </c>
      <c r="E90" s="43"/>
      <c r="F90" s="43"/>
      <c r="G90" s="43"/>
      <c r="H90" s="43"/>
      <c r="I90" s="43"/>
      <c r="J90" s="43">
        <v>-149846</v>
      </c>
      <c r="K90" s="43">
        <v>149846</v>
      </c>
      <c r="L90" s="43"/>
      <c r="M90" s="43"/>
      <c r="N90" s="43"/>
      <c r="O90" s="43"/>
      <c r="P90" s="43"/>
      <c r="Q90" s="601"/>
    </row>
    <row r="91" spans="1:17" s="22" customFormat="1" ht="34.5" customHeight="1">
      <c r="A91" s="38">
        <v>900</v>
      </c>
      <c r="B91" s="39"/>
      <c r="C91" s="40" t="s">
        <v>207</v>
      </c>
      <c r="D91" s="41">
        <f t="shared" si="15"/>
        <v>0</v>
      </c>
      <c r="E91" s="41"/>
      <c r="F91" s="41"/>
      <c r="G91" s="41"/>
      <c r="H91" s="41"/>
      <c r="I91" s="41"/>
      <c r="J91" s="41">
        <f>SUM(J92:J95)</f>
        <v>-10271364</v>
      </c>
      <c r="K91" s="41">
        <f>SUM(K92:K95)</f>
        <v>10271364</v>
      </c>
      <c r="L91" s="41"/>
      <c r="M91" s="41"/>
      <c r="N91" s="41"/>
      <c r="O91" s="41"/>
      <c r="P91" s="41"/>
      <c r="Q91" s="598"/>
    </row>
    <row r="92" spans="1:17" s="121" customFormat="1" ht="21.75" customHeight="1">
      <c r="A92" s="206"/>
      <c r="B92" s="207">
        <v>90001</v>
      </c>
      <c r="C92" s="120" t="s">
        <v>303</v>
      </c>
      <c r="D92" s="43">
        <f t="shared" si="15"/>
        <v>0</v>
      </c>
      <c r="E92" s="43"/>
      <c r="F92" s="43"/>
      <c r="G92" s="43"/>
      <c r="H92" s="43"/>
      <c r="I92" s="43"/>
      <c r="J92" s="43">
        <v>-1699615</v>
      </c>
      <c r="K92" s="43">
        <v>1699615</v>
      </c>
      <c r="L92" s="43"/>
      <c r="M92" s="43"/>
      <c r="N92" s="43"/>
      <c r="O92" s="43"/>
      <c r="P92" s="43"/>
      <c r="Q92" s="601"/>
    </row>
    <row r="93" spans="1:17" s="121" customFormat="1" ht="21.75" customHeight="1">
      <c r="A93" s="42"/>
      <c r="B93" s="44">
        <v>90002</v>
      </c>
      <c r="C93" s="330" t="s">
        <v>304</v>
      </c>
      <c r="D93" s="43">
        <f t="shared" si="15"/>
        <v>0</v>
      </c>
      <c r="E93" s="331"/>
      <c r="F93" s="331"/>
      <c r="G93" s="331"/>
      <c r="H93" s="331"/>
      <c r="I93" s="331"/>
      <c r="J93" s="331">
        <v>-5055694</v>
      </c>
      <c r="K93" s="331">
        <v>5055694</v>
      </c>
      <c r="L93" s="331"/>
      <c r="M93" s="331"/>
      <c r="N93" s="331"/>
      <c r="O93" s="331"/>
      <c r="P93" s="331"/>
      <c r="Q93" s="601"/>
    </row>
    <row r="94" spans="1:17" s="121" customFormat="1" ht="21.75" customHeight="1">
      <c r="A94" s="42"/>
      <c r="B94" s="44">
        <v>90003</v>
      </c>
      <c r="C94" s="330" t="s">
        <v>305</v>
      </c>
      <c r="D94" s="43">
        <f t="shared" si="15"/>
        <v>0</v>
      </c>
      <c r="E94" s="331"/>
      <c r="F94" s="331"/>
      <c r="G94" s="331"/>
      <c r="H94" s="331"/>
      <c r="I94" s="331"/>
      <c r="J94" s="331">
        <v>-20000</v>
      </c>
      <c r="K94" s="331">
        <v>20000</v>
      </c>
      <c r="L94" s="331"/>
      <c r="M94" s="331"/>
      <c r="N94" s="331"/>
      <c r="O94" s="331"/>
      <c r="P94" s="331"/>
      <c r="Q94" s="601"/>
    </row>
    <row r="95" spans="1:17" s="121" customFormat="1" ht="21.75" customHeight="1">
      <c r="A95" s="42"/>
      <c r="B95" s="44">
        <v>90095</v>
      </c>
      <c r="C95" s="330" t="s">
        <v>102</v>
      </c>
      <c r="D95" s="43">
        <f t="shared" si="15"/>
        <v>0</v>
      </c>
      <c r="E95" s="331"/>
      <c r="F95" s="331"/>
      <c r="G95" s="331"/>
      <c r="H95" s="331"/>
      <c r="I95" s="331"/>
      <c r="J95" s="331">
        <v>-3496055</v>
      </c>
      <c r="K95" s="331">
        <v>3496055</v>
      </c>
      <c r="L95" s="331"/>
      <c r="M95" s="331"/>
      <c r="N95" s="331"/>
      <c r="O95" s="331"/>
      <c r="P95" s="331"/>
      <c r="Q95" s="601"/>
    </row>
    <row r="96" spans="1:17" s="22" customFormat="1" ht="34.5" customHeight="1">
      <c r="A96" s="38">
        <v>921</v>
      </c>
      <c r="B96" s="39"/>
      <c r="C96" s="40" t="s">
        <v>306</v>
      </c>
      <c r="D96" s="41">
        <f t="shared" si="15"/>
        <v>0</v>
      </c>
      <c r="E96" s="41"/>
      <c r="F96" s="41"/>
      <c r="G96" s="41"/>
      <c r="H96" s="41"/>
      <c r="I96" s="41"/>
      <c r="J96" s="41">
        <f>SUM(J97:J98)</f>
        <v>-390000</v>
      </c>
      <c r="K96" s="41">
        <f>SUM(K97:K98)</f>
        <v>390000</v>
      </c>
      <c r="L96" s="41"/>
      <c r="M96" s="41"/>
      <c r="N96" s="41"/>
      <c r="O96" s="41"/>
      <c r="P96" s="41"/>
      <c r="Q96" s="598"/>
    </row>
    <row r="97" spans="1:17" s="121" customFormat="1" ht="21.75" customHeight="1">
      <c r="A97" s="206"/>
      <c r="B97" s="207">
        <v>92113</v>
      </c>
      <c r="C97" s="120" t="s">
        <v>308</v>
      </c>
      <c r="D97" s="43">
        <f t="shared" si="15"/>
        <v>0</v>
      </c>
      <c r="E97" s="43"/>
      <c r="F97" s="43"/>
      <c r="G97" s="43"/>
      <c r="H97" s="43"/>
      <c r="I97" s="43"/>
      <c r="J97" s="43">
        <v>-100000</v>
      </c>
      <c r="K97" s="43">
        <v>100000</v>
      </c>
      <c r="L97" s="43"/>
      <c r="M97" s="43"/>
      <c r="N97" s="43"/>
      <c r="O97" s="43"/>
      <c r="P97" s="43"/>
      <c r="Q97" s="601"/>
    </row>
    <row r="98" spans="1:17" s="121" customFormat="1" ht="21.75" customHeight="1">
      <c r="A98" s="42"/>
      <c r="B98" s="44">
        <v>92120</v>
      </c>
      <c r="C98" s="330" t="s">
        <v>336</v>
      </c>
      <c r="D98" s="43">
        <f t="shared" si="15"/>
        <v>0</v>
      </c>
      <c r="E98" s="331"/>
      <c r="F98" s="331"/>
      <c r="G98" s="331"/>
      <c r="H98" s="331"/>
      <c r="I98" s="331"/>
      <c r="J98" s="331">
        <v>-290000</v>
      </c>
      <c r="K98" s="331">
        <v>290000</v>
      </c>
      <c r="L98" s="331"/>
      <c r="M98" s="331"/>
      <c r="N98" s="331"/>
      <c r="O98" s="331"/>
      <c r="P98" s="331"/>
      <c r="Q98" s="601"/>
    </row>
    <row r="99" spans="1:17" s="22" customFormat="1" ht="21.75" customHeight="1">
      <c r="A99" s="38">
        <v>926</v>
      </c>
      <c r="B99" s="39"/>
      <c r="C99" s="40" t="s">
        <v>307</v>
      </c>
      <c r="D99" s="41">
        <f t="shared" si="15"/>
        <v>0</v>
      </c>
      <c r="E99" s="41"/>
      <c r="F99" s="41"/>
      <c r="G99" s="41"/>
      <c r="H99" s="41"/>
      <c r="I99" s="41"/>
      <c r="J99" s="41">
        <f>SUM(J100:J101)</f>
        <v>-2339054</v>
      </c>
      <c r="K99" s="41">
        <f>SUM(K100:K101)</f>
        <v>2339054</v>
      </c>
      <c r="L99" s="41"/>
      <c r="M99" s="41"/>
      <c r="N99" s="41"/>
      <c r="O99" s="41"/>
      <c r="P99" s="41"/>
      <c r="Q99" s="598"/>
    </row>
    <row r="100" spans="1:17" s="121" customFormat="1" ht="21.75" customHeight="1">
      <c r="A100" s="206"/>
      <c r="B100" s="207">
        <v>92604</v>
      </c>
      <c r="C100" s="120" t="s">
        <v>309</v>
      </c>
      <c r="D100" s="43">
        <f t="shared" si="15"/>
        <v>0</v>
      </c>
      <c r="E100" s="43"/>
      <c r="F100" s="43"/>
      <c r="G100" s="43"/>
      <c r="H100" s="43"/>
      <c r="I100" s="43"/>
      <c r="J100" s="43">
        <v>-2044422</v>
      </c>
      <c r="K100" s="43">
        <v>2044422</v>
      </c>
      <c r="L100" s="43"/>
      <c r="M100" s="43"/>
      <c r="N100" s="43"/>
      <c r="O100" s="43"/>
      <c r="P100" s="43"/>
      <c r="Q100" s="601"/>
    </row>
    <row r="101" spans="1:17" s="121" customFormat="1" ht="21.75" customHeight="1">
      <c r="A101" s="42"/>
      <c r="B101" s="207">
        <v>92605</v>
      </c>
      <c r="C101" s="120" t="s">
        <v>322</v>
      </c>
      <c r="D101" s="43">
        <f t="shared" si="15"/>
        <v>0</v>
      </c>
      <c r="E101" s="43"/>
      <c r="F101" s="43"/>
      <c r="G101" s="43"/>
      <c r="H101" s="43"/>
      <c r="I101" s="43"/>
      <c r="J101" s="43">
        <v>-294632</v>
      </c>
      <c r="K101" s="43">
        <v>294632</v>
      </c>
      <c r="L101" s="43"/>
      <c r="M101" s="43"/>
      <c r="N101" s="43"/>
      <c r="O101" s="43"/>
      <c r="P101" s="43"/>
      <c r="Q101" s="601"/>
    </row>
    <row r="102" spans="1:17" s="22" customFormat="1" ht="45" customHeight="1" thickBot="1">
      <c r="A102" s="35"/>
      <c r="B102" s="35"/>
      <c r="C102" s="36" t="s">
        <v>132</v>
      </c>
      <c r="D102" s="37">
        <f t="shared" si="15"/>
        <v>0</v>
      </c>
      <c r="E102" s="37"/>
      <c r="F102" s="37"/>
      <c r="G102" s="37"/>
      <c r="H102" s="37"/>
      <c r="I102" s="37"/>
      <c r="J102" s="37">
        <f>J103</f>
        <v>-45524</v>
      </c>
      <c r="K102" s="37">
        <f>K103</f>
        <v>45524</v>
      </c>
      <c r="L102" s="37"/>
      <c r="M102" s="37"/>
      <c r="N102" s="37"/>
      <c r="O102" s="37"/>
      <c r="P102" s="37"/>
      <c r="Q102" s="598"/>
    </row>
    <row r="103" spans="1:17" s="22" customFormat="1" ht="21.75" customHeight="1" thickTop="1">
      <c r="A103" s="38">
        <v>700</v>
      </c>
      <c r="B103" s="39"/>
      <c r="C103" s="40" t="s">
        <v>68</v>
      </c>
      <c r="D103" s="41">
        <f t="shared" si="15"/>
        <v>0</v>
      </c>
      <c r="E103" s="41"/>
      <c r="F103" s="41"/>
      <c r="G103" s="41"/>
      <c r="H103" s="41"/>
      <c r="I103" s="41"/>
      <c r="J103" s="41">
        <f>J104</f>
        <v>-45524</v>
      </c>
      <c r="K103" s="41">
        <f>K104</f>
        <v>45524</v>
      </c>
      <c r="L103" s="41"/>
      <c r="M103" s="41"/>
      <c r="N103" s="41"/>
      <c r="O103" s="41"/>
      <c r="P103" s="41"/>
      <c r="Q103" s="598"/>
    </row>
    <row r="104" spans="1:17" s="121" customFormat="1" ht="21.75" customHeight="1">
      <c r="A104" s="206"/>
      <c r="B104" s="207">
        <v>70005</v>
      </c>
      <c r="C104" s="120" t="s">
        <v>134</v>
      </c>
      <c r="D104" s="43">
        <f t="shared" si="15"/>
        <v>0</v>
      </c>
      <c r="E104" s="43"/>
      <c r="F104" s="43"/>
      <c r="G104" s="43"/>
      <c r="H104" s="43"/>
      <c r="I104" s="43"/>
      <c r="J104" s="43">
        <v>-45524</v>
      </c>
      <c r="K104" s="43">
        <v>45524</v>
      </c>
      <c r="L104" s="43"/>
      <c r="M104" s="43"/>
      <c r="N104" s="43"/>
      <c r="O104" s="43"/>
      <c r="P104" s="43"/>
      <c r="Q104" s="601"/>
    </row>
    <row r="105" spans="1:17" s="124" customFormat="1" ht="21.75" customHeight="1">
      <c r="A105" s="42"/>
      <c r="B105" s="42"/>
      <c r="C105" s="122" t="s">
        <v>209</v>
      </c>
      <c r="D105" s="123">
        <f t="shared" si="15"/>
        <v>0</v>
      </c>
      <c r="E105" s="123"/>
      <c r="F105" s="123"/>
      <c r="G105" s="123"/>
      <c r="H105" s="123"/>
      <c r="I105" s="123"/>
      <c r="J105" s="123">
        <f aca="true" t="shared" si="16" ref="J105:K107">J106</f>
        <v>-261701</v>
      </c>
      <c r="K105" s="123">
        <f t="shared" si="16"/>
        <v>261701</v>
      </c>
      <c r="L105" s="123"/>
      <c r="M105" s="123"/>
      <c r="N105" s="123"/>
      <c r="O105" s="123"/>
      <c r="P105" s="123"/>
      <c r="Q105" s="602"/>
    </row>
    <row r="106" spans="1:17" s="121" customFormat="1" ht="21.75" customHeight="1" thickBot="1">
      <c r="A106" s="44"/>
      <c r="B106" s="44"/>
      <c r="C106" s="125" t="s">
        <v>96</v>
      </c>
      <c r="D106" s="126">
        <f t="shared" si="15"/>
        <v>0</v>
      </c>
      <c r="E106" s="126"/>
      <c r="F106" s="126"/>
      <c r="G106" s="126"/>
      <c r="H106" s="126"/>
      <c r="I106" s="126"/>
      <c r="J106" s="126">
        <f t="shared" si="16"/>
        <v>-261701</v>
      </c>
      <c r="K106" s="126">
        <f t="shared" si="16"/>
        <v>261701</v>
      </c>
      <c r="L106" s="126"/>
      <c r="M106" s="126"/>
      <c r="N106" s="126"/>
      <c r="O106" s="126"/>
      <c r="P106" s="126"/>
      <c r="Q106" s="601"/>
    </row>
    <row r="107" spans="1:17" s="22" customFormat="1" ht="36" customHeight="1" thickTop="1">
      <c r="A107" s="38">
        <v>754</v>
      </c>
      <c r="B107" s="39"/>
      <c r="C107" s="40" t="s">
        <v>97</v>
      </c>
      <c r="D107" s="41">
        <f t="shared" si="15"/>
        <v>0</v>
      </c>
      <c r="E107" s="41"/>
      <c r="F107" s="41"/>
      <c r="G107" s="41"/>
      <c r="H107" s="41"/>
      <c r="I107" s="41"/>
      <c r="J107" s="41">
        <f t="shared" si="16"/>
        <v>-261701</v>
      </c>
      <c r="K107" s="41">
        <f t="shared" si="16"/>
        <v>261701</v>
      </c>
      <c r="L107" s="41"/>
      <c r="M107" s="41"/>
      <c r="N107" s="41"/>
      <c r="O107" s="41"/>
      <c r="P107" s="41"/>
      <c r="Q107" s="598"/>
    </row>
    <row r="108" spans="1:17" s="121" customFormat="1" ht="21.75" customHeight="1">
      <c r="A108" s="206"/>
      <c r="B108" s="207">
        <v>75416</v>
      </c>
      <c r="C108" s="120" t="s">
        <v>210</v>
      </c>
      <c r="D108" s="43">
        <f t="shared" si="15"/>
        <v>0</v>
      </c>
      <c r="E108" s="43"/>
      <c r="F108" s="43"/>
      <c r="G108" s="43"/>
      <c r="H108" s="43"/>
      <c r="I108" s="43"/>
      <c r="J108" s="43">
        <v>-261701</v>
      </c>
      <c r="K108" s="43">
        <v>261701</v>
      </c>
      <c r="L108" s="43"/>
      <c r="M108" s="43"/>
      <c r="N108" s="43"/>
      <c r="O108" s="43"/>
      <c r="P108" s="43"/>
      <c r="Q108" s="601"/>
    </row>
    <row r="109" spans="1:17" s="33" customFormat="1" ht="21.75" customHeight="1">
      <c r="A109" s="30"/>
      <c r="B109" s="30"/>
      <c r="C109" s="31" t="s">
        <v>453</v>
      </c>
      <c r="D109" s="32">
        <f t="shared" si="15"/>
        <v>0</v>
      </c>
      <c r="E109" s="32"/>
      <c r="F109" s="32">
        <f>F110+F117</f>
        <v>-3886</v>
      </c>
      <c r="G109" s="32">
        <f aca="true" t="shared" si="17" ref="G109:P109">G110+G117</f>
        <v>-80212</v>
      </c>
      <c r="H109" s="32">
        <f t="shared" si="17"/>
        <v>-77377</v>
      </c>
      <c r="I109" s="32"/>
      <c r="J109" s="32">
        <f t="shared" si="17"/>
        <v>-135720</v>
      </c>
      <c r="K109" s="32">
        <f t="shared" si="17"/>
        <v>327458</v>
      </c>
      <c r="L109" s="32">
        <f t="shared" si="17"/>
        <v>81958</v>
      </c>
      <c r="M109" s="32">
        <f t="shared" si="17"/>
        <v>11590</v>
      </c>
      <c r="N109" s="32">
        <f t="shared" si="17"/>
        <v>-86513</v>
      </c>
      <c r="O109" s="32">
        <f t="shared" si="17"/>
        <v>-1828</v>
      </c>
      <c r="P109" s="32">
        <f t="shared" si="17"/>
        <v>-35470</v>
      </c>
      <c r="Q109" s="600"/>
    </row>
    <row r="110" spans="1:17" s="22" customFormat="1" ht="21.75" customHeight="1" thickBot="1">
      <c r="A110" s="35"/>
      <c r="B110" s="35"/>
      <c r="C110" s="36" t="s">
        <v>96</v>
      </c>
      <c r="D110" s="37">
        <f t="shared" si="15"/>
        <v>0</v>
      </c>
      <c r="E110" s="37"/>
      <c r="F110" s="37">
        <f>F111</f>
        <v>-3886</v>
      </c>
      <c r="G110" s="37">
        <f aca="true" t="shared" si="18" ref="G110:P110">G111</f>
        <v>-80212</v>
      </c>
      <c r="H110" s="37">
        <f t="shared" si="18"/>
        <v>-77377</v>
      </c>
      <c r="I110" s="37"/>
      <c r="J110" s="37">
        <f t="shared" si="18"/>
        <v>-135720</v>
      </c>
      <c r="K110" s="37">
        <f t="shared" si="18"/>
        <v>309288</v>
      </c>
      <c r="L110" s="37">
        <f t="shared" si="18"/>
        <v>81958</v>
      </c>
      <c r="M110" s="37">
        <f t="shared" si="18"/>
        <v>11590</v>
      </c>
      <c r="N110" s="37">
        <f t="shared" si="18"/>
        <v>-86513</v>
      </c>
      <c r="O110" s="37">
        <f t="shared" si="18"/>
        <v>-1828</v>
      </c>
      <c r="P110" s="37">
        <f t="shared" si="18"/>
        <v>-17300</v>
      </c>
      <c r="Q110" s="598"/>
    </row>
    <row r="111" spans="1:17" s="326" customFormat="1" ht="21.75" customHeight="1" thickTop="1">
      <c r="A111" s="322">
        <v>852</v>
      </c>
      <c r="B111" s="322"/>
      <c r="C111" s="673" t="s">
        <v>104</v>
      </c>
      <c r="D111" s="674">
        <f aca="true" t="shared" si="19" ref="D111:D154">SUM(E111:P111)</f>
        <v>0</v>
      </c>
      <c r="E111" s="674"/>
      <c r="F111" s="674">
        <f>SUM(F112:F115)</f>
        <v>-3886</v>
      </c>
      <c r="G111" s="674">
        <f aca="true" t="shared" si="20" ref="G111:P111">SUM(G112:G115)</f>
        <v>-80212</v>
      </c>
      <c r="H111" s="674">
        <f t="shared" si="20"/>
        <v>-77377</v>
      </c>
      <c r="I111" s="674"/>
      <c r="J111" s="674">
        <f t="shared" si="20"/>
        <v>-135720</v>
      </c>
      <c r="K111" s="674">
        <f t="shared" si="20"/>
        <v>309288</v>
      </c>
      <c r="L111" s="674">
        <f t="shared" si="20"/>
        <v>81958</v>
      </c>
      <c r="M111" s="674">
        <f t="shared" si="20"/>
        <v>11590</v>
      </c>
      <c r="N111" s="674">
        <f t="shared" si="20"/>
        <v>-86513</v>
      </c>
      <c r="O111" s="674">
        <f t="shared" si="20"/>
        <v>-1828</v>
      </c>
      <c r="P111" s="674">
        <f t="shared" si="20"/>
        <v>-17300</v>
      </c>
      <c r="Q111" s="604"/>
    </row>
    <row r="112" spans="1:17" s="121" customFormat="1" ht="21.75" customHeight="1">
      <c r="A112" s="332"/>
      <c r="B112" s="207">
        <v>85201</v>
      </c>
      <c r="C112" s="342" t="s">
        <v>330</v>
      </c>
      <c r="D112" s="43">
        <f t="shared" si="19"/>
        <v>0</v>
      </c>
      <c r="E112" s="43"/>
      <c r="F112" s="43">
        <v>-3886</v>
      </c>
      <c r="G112" s="43"/>
      <c r="H112" s="43"/>
      <c r="I112" s="43"/>
      <c r="J112" s="43">
        <v>-19257</v>
      </c>
      <c r="K112" s="43">
        <v>7000</v>
      </c>
      <c r="L112" s="43">
        <v>10728</v>
      </c>
      <c r="M112" s="43">
        <v>5415</v>
      </c>
      <c r="N112" s="43"/>
      <c r="O112" s="43"/>
      <c r="P112" s="43"/>
      <c r="Q112" s="601"/>
    </row>
    <row r="113" spans="1:17" s="121" customFormat="1" ht="24.75" customHeight="1">
      <c r="A113" s="332"/>
      <c r="B113" s="529">
        <v>85202</v>
      </c>
      <c r="C113" s="488" t="s">
        <v>272</v>
      </c>
      <c r="D113" s="530">
        <f t="shared" si="19"/>
        <v>0</v>
      </c>
      <c r="E113" s="530"/>
      <c r="F113" s="530"/>
      <c r="G113" s="530"/>
      <c r="H113" s="530"/>
      <c r="I113" s="530"/>
      <c r="J113" s="530">
        <v>-34372</v>
      </c>
      <c r="K113" s="530">
        <v>46472</v>
      </c>
      <c r="L113" s="530">
        <v>-12100</v>
      </c>
      <c r="M113" s="530"/>
      <c r="N113" s="530"/>
      <c r="O113" s="530"/>
      <c r="P113" s="530"/>
      <c r="Q113" s="601"/>
    </row>
    <row r="114" spans="1:17" s="121" customFormat="1" ht="32.25" customHeight="1">
      <c r="A114" s="332"/>
      <c r="B114" s="207">
        <v>85214</v>
      </c>
      <c r="C114" s="342" t="s">
        <v>344</v>
      </c>
      <c r="D114" s="43">
        <f>SUM(E114:P114)</f>
        <v>0</v>
      </c>
      <c r="E114" s="43"/>
      <c r="F114" s="43"/>
      <c r="G114" s="43"/>
      <c r="H114" s="43"/>
      <c r="I114" s="43"/>
      <c r="J114" s="43">
        <v>-29964</v>
      </c>
      <c r="K114" s="43">
        <v>101074</v>
      </c>
      <c r="L114" s="43"/>
      <c r="M114" s="43"/>
      <c r="N114" s="43">
        <v>-71110</v>
      </c>
      <c r="O114" s="43"/>
      <c r="P114" s="43"/>
      <c r="Q114" s="601"/>
    </row>
    <row r="115" spans="1:17" s="121" customFormat="1" ht="24.75" customHeight="1">
      <c r="A115" s="332"/>
      <c r="B115" s="206">
        <v>85219</v>
      </c>
      <c r="C115" s="864" t="s">
        <v>311</v>
      </c>
      <c r="D115" s="333">
        <f t="shared" si="19"/>
        <v>0</v>
      </c>
      <c r="E115" s="333"/>
      <c r="F115" s="333"/>
      <c r="G115" s="333">
        <v>-80212</v>
      </c>
      <c r="H115" s="333">
        <v>-77377</v>
      </c>
      <c r="I115" s="333"/>
      <c r="J115" s="333">
        <v>-52127</v>
      </c>
      <c r="K115" s="333">
        <v>154742</v>
      </c>
      <c r="L115" s="333">
        <v>83330</v>
      </c>
      <c r="M115" s="333">
        <v>6175</v>
      </c>
      <c r="N115" s="333">
        <v>-15403</v>
      </c>
      <c r="O115" s="333">
        <v>-1828</v>
      </c>
      <c r="P115" s="333">
        <v>-17300</v>
      </c>
      <c r="Q115" s="601"/>
    </row>
    <row r="116" spans="1:17" s="121" customFormat="1" ht="24.75" customHeight="1">
      <c r="A116" s="867"/>
      <c r="B116" s="867"/>
      <c r="C116" s="868"/>
      <c r="D116" s="869"/>
      <c r="E116" s="869"/>
      <c r="F116" s="869"/>
      <c r="G116" s="869"/>
      <c r="H116" s="869"/>
      <c r="I116" s="869"/>
      <c r="J116" s="869"/>
      <c r="K116" s="869"/>
      <c r="L116" s="869"/>
      <c r="M116" s="869"/>
      <c r="N116" s="869"/>
      <c r="O116" s="869"/>
      <c r="P116" s="869"/>
      <c r="Q116" s="601"/>
    </row>
    <row r="117" spans="1:17" s="335" customFormat="1" ht="36" customHeight="1" thickBot="1">
      <c r="A117" s="334"/>
      <c r="B117" s="334"/>
      <c r="C117" s="865" t="s">
        <v>131</v>
      </c>
      <c r="D117" s="866">
        <f t="shared" si="19"/>
        <v>0</v>
      </c>
      <c r="E117" s="866"/>
      <c r="F117" s="866"/>
      <c r="G117" s="866"/>
      <c r="H117" s="866"/>
      <c r="I117" s="866"/>
      <c r="J117" s="866"/>
      <c r="K117" s="866">
        <f>K118</f>
        <v>18170</v>
      </c>
      <c r="L117" s="866"/>
      <c r="M117" s="866"/>
      <c r="N117" s="866"/>
      <c r="O117" s="866"/>
      <c r="P117" s="866">
        <f>P118</f>
        <v>-18170</v>
      </c>
      <c r="Q117" s="605"/>
    </row>
    <row r="118" spans="1:17" s="326" customFormat="1" ht="21.75" customHeight="1" thickTop="1">
      <c r="A118" s="322">
        <v>852</v>
      </c>
      <c r="B118" s="323"/>
      <c r="C118" s="324" t="s">
        <v>104</v>
      </c>
      <c r="D118" s="325">
        <f>SUM(E118:P118)</f>
        <v>0</v>
      </c>
      <c r="E118" s="325"/>
      <c r="F118" s="325"/>
      <c r="G118" s="325"/>
      <c r="H118" s="325"/>
      <c r="I118" s="325"/>
      <c r="J118" s="325"/>
      <c r="K118" s="325">
        <f>SUM(K119:K119)</f>
        <v>18170</v>
      </c>
      <c r="L118" s="325"/>
      <c r="M118" s="325"/>
      <c r="N118" s="325"/>
      <c r="O118" s="325"/>
      <c r="P118" s="325">
        <f>SUM(P119:P119)</f>
        <v>-18170</v>
      </c>
      <c r="Q118" s="604"/>
    </row>
    <row r="119" spans="1:17" s="121" customFormat="1" ht="32.25" customHeight="1">
      <c r="A119" s="332"/>
      <c r="B119" s="207">
        <v>85214</v>
      </c>
      <c r="C119" s="342" t="s">
        <v>344</v>
      </c>
      <c r="D119" s="43">
        <f>SUM(E119:P119)</f>
        <v>0</v>
      </c>
      <c r="E119" s="43"/>
      <c r="F119" s="43"/>
      <c r="G119" s="43"/>
      <c r="H119" s="43"/>
      <c r="I119" s="43"/>
      <c r="J119" s="43"/>
      <c r="K119" s="43">
        <v>18170</v>
      </c>
      <c r="L119" s="43"/>
      <c r="M119" s="43"/>
      <c r="N119" s="43"/>
      <c r="O119" s="43"/>
      <c r="P119" s="43">
        <v>-18170</v>
      </c>
      <c r="Q119" s="601"/>
    </row>
    <row r="120" spans="1:17" s="162" customFormat="1" ht="21.75" customHeight="1">
      <c r="A120" s="184"/>
      <c r="B120" s="185"/>
      <c r="C120" s="186" t="s">
        <v>454</v>
      </c>
      <c r="D120" s="187">
        <f t="shared" si="19"/>
        <v>927258</v>
      </c>
      <c r="E120" s="187"/>
      <c r="F120" s="187"/>
      <c r="G120" s="187"/>
      <c r="H120" s="187"/>
      <c r="I120" s="187"/>
      <c r="J120" s="187">
        <f aca="true" t="shared" si="21" ref="J120:P120">J121+J158+J164+J161</f>
        <v>-11206572</v>
      </c>
      <c r="K120" s="187">
        <f t="shared" si="21"/>
        <v>11843217</v>
      </c>
      <c r="L120" s="187">
        <f t="shared" si="21"/>
        <v>115469</v>
      </c>
      <c r="M120" s="187">
        <f t="shared" si="21"/>
        <v>422014</v>
      </c>
      <c r="N120" s="187">
        <f t="shared" si="21"/>
        <v>-109500</v>
      </c>
      <c r="O120" s="187">
        <f t="shared" si="21"/>
        <v>-92700</v>
      </c>
      <c r="P120" s="187">
        <f t="shared" si="21"/>
        <v>-44670</v>
      </c>
      <c r="Q120" s="598"/>
    </row>
    <row r="121" spans="1:17" s="45" customFormat="1" ht="21.75" customHeight="1" thickBot="1">
      <c r="A121" s="188"/>
      <c r="B121" s="189"/>
      <c r="C121" s="190" t="s">
        <v>96</v>
      </c>
      <c r="D121" s="191">
        <f t="shared" si="19"/>
        <v>927258</v>
      </c>
      <c r="E121" s="191"/>
      <c r="F121" s="191"/>
      <c r="G121" s="191"/>
      <c r="H121" s="191"/>
      <c r="I121" s="191"/>
      <c r="J121" s="191">
        <f>J122+J141+J145+J156</f>
        <v>-10083931</v>
      </c>
      <c r="K121" s="191">
        <f aca="true" t="shared" si="22" ref="K121:P121">K122+K141+K145+K156</f>
        <v>10720576</v>
      </c>
      <c r="L121" s="191">
        <f t="shared" si="22"/>
        <v>115469</v>
      </c>
      <c r="M121" s="191">
        <f t="shared" si="22"/>
        <v>422014</v>
      </c>
      <c r="N121" s="191">
        <f t="shared" si="22"/>
        <v>-109500</v>
      </c>
      <c r="O121" s="191">
        <f t="shared" si="22"/>
        <v>-92700</v>
      </c>
      <c r="P121" s="191">
        <f t="shared" si="22"/>
        <v>-44670</v>
      </c>
      <c r="Q121" s="606"/>
    </row>
    <row r="122" spans="1:17" s="22" customFormat="1" ht="21.75" customHeight="1" thickTop="1">
      <c r="A122" s="41">
        <v>801</v>
      </c>
      <c r="B122" s="38"/>
      <c r="C122" s="40" t="s">
        <v>103</v>
      </c>
      <c r="D122" s="41">
        <f t="shared" si="19"/>
        <v>864914</v>
      </c>
      <c r="E122" s="41"/>
      <c r="F122" s="41"/>
      <c r="G122" s="41"/>
      <c r="H122" s="41"/>
      <c r="I122" s="41"/>
      <c r="J122" s="41">
        <f aca="true" t="shared" si="23" ref="J122:P122">SUM(J123:J140)</f>
        <v>-8859627</v>
      </c>
      <c r="K122" s="41">
        <f t="shared" si="23"/>
        <v>9472272</v>
      </c>
      <c r="L122" s="41">
        <f t="shared" si="23"/>
        <v>99125</v>
      </c>
      <c r="M122" s="41">
        <f t="shared" si="23"/>
        <v>378014</v>
      </c>
      <c r="N122" s="41">
        <f t="shared" si="23"/>
        <v>-89500</v>
      </c>
      <c r="O122" s="41">
        <f t="shared" si="23"/>
        <v>-92700</v>
      </c>
      <c r="P122" s="41">
        <f t="shared" si="23"/>
        <v>-42670</v>
      </c>
      <c r="Q122" s="598"/>
    </row>
    <row r="123" spans="1:17" s="340" customFormat="1" ht="21.75" customHeight="1">
      <c r="A123" s="336"/>
      <c r="B123" s="337">
        <v>80101</v>
      </c>
      <c r="C123" s="338" t="s">
        <v>265</v>
      </c>
      <c r="D123" s="43">
        <f t="shared" si="19"/>
        <v>147740</v>
      </c>
      <c r="E123" s="339"/>
      <c r="F123" s="339"/>
      <c r="G123" s="339"/>
      <c r="H123" s="339"/>
      <c r="I123" s="339"/>
      <c r="J123" s="339">
        <v>-1156135</v>
      </c>
      <c r="K123" s="339">
        <v>1207945</v>
      </c>
      <c r="L123" s="339">
        <f>8000+35000+6500</f>
        <v>49500</v>
      </c>
      <c r="M123" s="339">
        <f>11000+30000+30000</f>
        <v>71000</v>
      </c>
      <c r="N123" s="339"/>
      <c r="O123" s="339">
        <v>-2000</v>
      </c>
      <c r="P123" s="339">
        <v>-22570</v>
      </c>
      <c r="Q123" s="601"/>
    </row>
    <row r="124" spans="1:17" s="340" customFormat="1" ht="21.75" customHeight="1">
      <c r="A124" s="336"/>
      <c r="B124" s="337">
        <v>80102</v>
      </c>
      <c r="C124" s="338" t="s">
        <v>313</v>
      </c>
      <c r="D124" s="43">
        <f t="shared" si="19"/>
        <v>0</v>
      </c>
      <c r="E124" s="339"/>
      <c r="F124" s="339"/>
      <c r="G124" s="339"/>
      <c r="H124" s="339"/>
      <c r="I124" s="339"/>
      <c r="J124" s="339"/>
      <c r="K124" s="339">
        <v>50000</v>
      </c>
      <c r="L124" s="339"/>
      <c r="M124" s="339"/>
      <c r="N124" s="339">
        <v>-35000</v>
      </c>
      <c r="O124" s="339"/>
      <c r="P124" s="339">
        <v>-15000</v>
      </c>
      <c r="Q124" s="601"/>
    </row>
    <row r="125" spans="1:17" s="340" customFormat="1" ht="33.75" customHeight="1">
      <c r="A125" s="336"/>
      <c r="B125" s="337">
        <v>80103</v>
      </c>
      <c r="C125" s="338" t="s">
        <v>312</v>
      </c>
      <c r="D125" s="43">
        <f t="shared" si="19"/>
        <v>52760</v>
      </c>
      <c r="E125" s="339"/>
      <c r="F125" s="339"/>
      <c r="G125" s="339"/>
      <c r="H125" s="339"/>
      <c r="I125" s="339"/>
      <c r="J125" s="339">
        <v>-12085</v>
      </c>
      <c r="K125" s="339">
        <v>64845</v>
      </c>
      <c r="L125" s="339"/>
      <c r="M125" s="339"/>
      <c r="N125" s="339"/>
      <c r="O125" s="339"/>
      <c r="P125" s="339"/>
      <c r="Q125" s="601"/>
    </row>
    <row r="126" spans="1:17" s="340" customFormat="1" ht="21.75" customHeight="1">
      <c r="A126" s="336"/>
      <c r="B126" s="337">
        <v>80104</v>
      </c>
      <c r="C126" s="338" t="s">
        <v>263</v>
      </c>
      <c r="D126" s="43">
        <f t="shared" si="19"/>
        <v>188800</v>
      </c>
      <c r="E126" s="339"/>
      <c r="F126" s="339"/>
      <c r="G126" s="339"/>
      <c r="H126" s="339"/>
      <c r="I126" s="339"/>
      <c r="J126" s="339">
        <v>-2822308</v>
      </c>
      <c r="K126" s="339">
        <v>2826108</v>
      </c>
      <c r="L126" s="339">
        <f>4000</f>
        <v>4000</v>
      </c>
      <c r="M126" s="339">
        <f>215000-30000-4000</f>
        <v>181000</v>
      </c>
      <c r="N126" s="339"/>
      <c r="O126" s="339"/>
      <c r="P126" s="339"/>
      <c r="Q126" s="601"/>
    </row>
    <row r="127" spans="1:17" s="340" customFormat="1" ht="21.75" customHeight="1">
      <c r="A127" s="336"/>
      <c r="B127" s="489">
        <v>80105</v>
      </c>
      <c r="C127" s="338" t="s">
        <v>314</v>
      </c>
      <c r="D127" s="331">
        <f t="shared" si="19"/>
        <v>30000</v>
      </c>
      <c r="E127" s="339"/>
      <c r="F127" s="339"/>
      <c r="G127" s="339"/>
      <c r="H127" s="339"/>
      <c r="I127" s="339"/>
      <c r="J127" s="339"/>
      <c r="K127" s="339">
        <v>30000</v>
      </c>
      <c r="L127" s="339"/>
      <c r="M127" s="339">
        <f>-15000+30000</f>
        <v>15000</v>
      </c>
      <c r="N127" s="339">
        <v>-15000</v>
      </c>
      <c r="O127" s="339"/>
      <c r="P127" s="339"/>
      <c r="Q127" s="601"/>
    </row>
    <row r="128" spans="1:17" s="340" customFormat="1" ht="21.75" customHeight="1">
      <c r="A128" s="336"/>
      <c r="B128" s="337">
        <v>80110</v>
      </c>
      <c r="C128" s="338" t="s">
        <v>266</v>
      </c>
      <c r="D128" s="43">
        <f t="shared" si="19"/>
        <v>393714</v>
      </c>
      <c r="E128" s="339"/>
      <c r="F128" s="339"/>
      <c r="G128" s="339"/>
      <c r="H128" s="339"/>
      <c r="I128" s="339"/>
      <c r="J128" s="339">
        <v>-330280</v>
      </c>
      <c r="K128" s="339">
        <v>665980</v>
      </c>
      <c r="L128" s="339"/>
      <c r="M128" s="339">
        <f>88014</f>
        <v>88014</v>
      </c>
      <c r="N128" s="339"/>
      <c r="O128" s="339">
        <v>-30000</v>
      </c>
      <c r="P128" s="339"/>
      <c r="Q128" s="601"/>
    </row>
    <row r="129" spans="1:17" s="340" customFormat="1" ht="21.75" customHeight="1">
      <c r="A129" s="336"/>
      <c r="B129" s="337">
        <v>80111</v>
      </c>
      <c r="C129" s="338" t="s">
        <v>315</v>
      </c>
      <c r="D129" s="43">
        <f t="shared" si="19"/>
        <v>0</v>
      </c>
      <c r="E129" s="339"/>
      <c r="F129" s="339"/>
      <c r="G129" s="339"/>
      <c r="H129" s="339"/>
      <c r="I129" s="339"/>
      <c r="J129" s="339">
        <v>-56503</v>
      </c>
      <c r="K129" s="339">
        <v>61603</v>
      </c>
      <c r="L129" s="339"/>
      <c r="M129" s="339"/>
      <c r="N129" s="339"/>
      <c r="O129" s="339"/>
      <c r="P129" s="339">
        <v>-5100</v>
      </c>
      <c r="Q129" s="601"/>
    </row>
    <row r="130" spans="1:17" s="340" customFormat="1" ht="21.75" customHeight="1">
      <c r="A130" s="336"/>
      <c r="B130" s="337">
        <v>80113</v>
      </c>
      <c r="C130" s="338" t="s">
        <v>316</v>
      </c>
      <c r="D130" s="43">
        <f t="shared" si="19"/>
        <v>0</v>
      </c>
      <c r="E130" s="339"/>
      <c r="F130" s="339"/>
      <c r="G130" s="339"/>
      <c r="H130" s="339"/>
      <c r="I130" s="339"/>
      <c r="J130" s="339">
        <v>-70625</v>
      </c>
      <c r="K130" s="339">
        <v>25000</v>
      </c>
      <c r="L130" s="339">
        <v>45625</v>
      </c>
      <c r="M130" s="339"/>
      <c r="N130" s="339"/>
      <c r="O130" s="339"/>
      <c r="P130" s="339"/>
      <c r="Q130" s="601"/>
    </row>
    <row r="131" spans="1:17" s="340" customFormat="1" ht="21.75" customHeight="1">
      <c r="A131" s="336"/>
      <c r="B131" s="489">
        <v>80120</v>
      </c>
      <c r="C131" s="338" t="s">
        <v>267</v>
      </c>
      <c r="D131" s="331">
        <f t="shared" si="19"/>
        <v>37900</v>
      </c>
      <c r="E131" s="339"/>
      <c r="F131" s="339"/>
      <c r="G131" s="339"/>
      <c r="H131" s="339"/>
      <c r="I131" s="339"/>
      <c r="J131" s="339">
        <v>-963903</v>
      </c>
      <c r="K131" s="339">
        <v>986803</v>
      </c>
      <c r="L131" s="339"/>
      <c r="M131" s="339">
        <v>15000</v>
      </c>
      <c r="N131" s="339"/>
      <c r="O131" s="339"/>
      <c r="P131" s="339"/>
      <c r="Q131" s="601"/>
    </row>
    <row r="132" spans="1:17" s="340" customFormat="1" ht="21.75" customHeight="1">
      <c r="A132" s="336"/>
      <c r="B132" s="337">
        <v>80121</v>
      </c>
      <c r="C132" s="338" t="s">
        <v>317</v>
      </c>
      <c r="D132" s="43">
        <f t="shared" si="19"/>
        <v>0</v>
      </c>
      <c r="E132" s="339"/>
      <c r="F132" s="339"/>
      <c r="G132" s="339"/>
      <c r="H132" s="339"/>
      <c r="I132" s="339"/>
      <c r="J132" s="339">
        <v>-13953</v>
      </c>
      <c r="K132" s="339">
        <v>18953</v>
      </c>
      <c r="L132" s="339"/>
      <c r="M132" s="339">
        <v>-2000</v>
      </c>
      <c r="N132" s="339">
        <v>-3000</v>
      </c>
      <c r="O132" s="339"/>
      <c r="P132" s="339"/>
      <c r="Q132" s="601"/>
    </row>
    <row r="133" spans="1:17" s="340" customFormat="1" ht="21.75" customHeight="1">
      <c r="A133" s="336"/>
      <c r="B133" s="489">
        <v>80123</v>
      </c>
      <c r="C133" s="338" t="s">
        <v>318</v>
      </c>
      <c r="D133" s="331">
        <f t="shared" si="19"/>
        <v>4000</v>
      </c>
      <c r="E133" s="339"/>
      <c r="F133" s="339"/>
      <c r="G133" s="339"/>
      <c r="H133" s="339"/>
      <c r="I133" s="339"/>
      <c r="J133" s="339">
        <v>-402515</v>
      </c>
      <c r="K133" s="339">
        <v>406515</v>
      </c>
      <c r="L133" s="339"/>
      <c r="M133" s="339"/>
      <c r="N133" s="339"/>
      <c r="O133" s="339"/>
      <c r="P133" s="339"/>
      <c r="Q133" s="601"/>
    </row>
    <row r="134" spans="1:17" s="340" customFormat="1" ht="21.75" customHeight="1">
      <c r="A134" s="336"/>
      <c r="B134" s="337">
        <v>80124</v>
      </c>
      <c r="C134" s="338" t="s">
        <v>319</v>
      </c>
      <c r="D134" s="43">
        <f t="shared" si="19"/>
        <v>0</v>
      </c>
      <c r="E134" s="339"/>
      <c r="F134" s="339"/>
      <c r="G134" s="339"/>
      <c r="H134" s="339"/>
      <c r="I134" s="339"/>
      <c r="J134" s="339">
        <v>-23483</v>
      </c>
      <c r="K134" s="339">
        <v>23483</v>
      </c>
      <c r="L134" s="339"/>
      <c r="M134" s="339"/>
      <c r="N134" s="339"/>
      <c r="O134" s="339"/>
      <c r="P134" s="339"/>
      <c r="Q134" s="601"/>
    </row>
    <row r="135" spans="1:17" s="121" customFormat="1" ht="21.75" customHeight="1">
      <c r="A135" s="42"/>
      <c r="B135" s="207">
        <v>80130</v>
      </c>
      <c r="C135" s="120" t="s">
        <v>148</v>
      </c>
      <c r="D135" s="43">
        <f t="shared" si="19"/>
        <v>10000</v>
      </c>
      <c r="E135" s="43"/>
      <c r="F135" s="43"/>
      <c r="G135" s="43"/>
      <c r="H135" s="43"/>
      <c r="I135" s="43"/>
      <c r="J135" s="43">
        <v>-1676826</v>
      </c>
      <c r="K135" s="43">
        <v>1737526</v>
      </c>
      <c r="L135" s="43"/>
      <c r="M135" s="43">
        <v>10000</v>
      </c>
      <c r="N135" s="43"/>
      <c r="O135" s="43">
        <v>-60700</v>
      </c>
      <c r="P135" s="43"/>
      <c r="Q135" s="601"/>
    </row>
    <row r="136" spans="1:17" s="121" customFormat="1" ht="21.75" customHeight="1">
      <c r="A136" s="42"/>
      <c r="B136" s="44">
        <v>80132</v>
      </c>
      <c r="C136" s="330" t="s">
        <v>320</v>
      </c>
      <c r="D136" s="43">
        <f t="shared" si="19"/>
        <v>0</v>
      </c>
      <c r="E136" s="331"/>
      <c r="F136" s="331"/>
      <c r="G136" s="331"/>
      <c r="H136" s="331"/>
      <c r="I136" s="331"/>
      <c r="J136" s="331">
        <v>-93606</v>
      </c>
      <c r="K136" s="331">
        <v>93606</v>
      </c>
      <c r="L136" s="331"/>
      <c r="M136" s="331"/>
      <c r="N136" s="331"/>
      <c r="O136" s="331"/>
      <c r="P136" s="331"/>
      <c r="Q136" s="601"/>
    </row>
    <row r="137" spans="1:17" s="121" customFormat="1" ht="21.75" customHeight="1">
      <c r="A137" s="42"/>
      <c r="B137" s="44">
        <v>80134</v>
      </c>
      <c r="C137" s="330" t="s">
        <v>321</v>
      </c>
      <c r="D137" s="43">
        <f t="shared" si="19"/>
        <v>0</v>
      </c>
      <c r="E137" s="331"/>
      <c r="F137" s="331"/>
      <c r="G137" s="331"/>
      <c r="H137" s="331"/>
      <c r="I137" s="331"/>
      <c r="J137" s="331">
        <v>-45679</v>
      </c>
      <c r="K137" s="331">
        <v>45679</v>
      </c>
      <c r="L137" s="331"/>
      <c r="M137" s="331"/>
      <c r="N137" s="331"/>
      <c r="O137" s="331"/>
      <c r="P137" s="331"/>
      <c r="Q137" s="601"/>
    </row>
    <row r="138" spans="1:17" s="121" customFormat="1" ht="47.25" customHeight="1">
      <c r="A138" s="42"/>
      <c r="B138" s="44">
        <v>80140</v>
      </c>
      <c r="C138" s="330" t="s">
        <v>275</v>
      </c>
      <c r="D138" s="43">
        <f t="shared" si="19"/>
        <v>0</v>
      </c>
      <c r="E138" s="331"/>
      <c r="F138" s="331"/>
      <c r="G138" s="331"/>
      <c r="H138" s="331"/>
      <c r="I138" s="331"/>
      <c r="J138" s="331">
        <v>-594597</v>
      </c>
      <c r="K138" s="331">
        <v>631097</v>
      </c>
      <c r="L138" s="331"/>
      <c r="M138" s="331"/>
      <c r="N138" s="331">
        <v>-36500</v>
      </c>
      <c r="O138" s="331"/>
      <c r="P138" s="331"/>
      <c r="Q138" s="601"/>
    </row>
    <row r="139" spans="1:17" s="121" customFormat="1" ht="20.25" customHeight="1">
      <c r="A139" s="42"/>
      <c r="B139" s="44">
        <v>80146</v>
      </c>
      <c r="C139" s="330" t="s">
        <v>269</v>
      </c>
      <c r="D139" s="43">
        <f t="shared" si="19"/>
        <v>0</v>
      </c>
      <c r="E139" s="331"/>
      <c r="F139" s="331"/>
      <c r="G139" s="331"/>
      <c r="H139" s="331"/>
      <c r="I139" s="331"/>
      <c r="J139" s="331">
        <v>-428306</v>
      </c>
      <c r="K139" s="331">
        <v>428306</v>
      </c>
      <c r="L139" s="331"/>
      <c r="M139" s="331"/>
      <c r="N139" s="331"/>
      <c r="O139" s="331"/>
      <c r="P139" s="331"/>
      <c r="Q139" s="601"/>
    </row>
    <row r="140" spans="1:17" s="121" customFormat="1" ht="20.25" customHeight="1">
      <c r="A140" s="42"/>
      <c r="B140" s="44">
        <v>80195</v>
      </c>
      <c r="C140" s="330" t="s">
        <v>102</v>
      </c>
      <c r="D140" s="43">
        <f t="shared" si="19"/>
        <v>0</v>
      </c>
      <c r="E140" s="331"/>
      <c r="F140" s="331"/>
      <c r="G140" s="331"/>
      <c r="H140" s="331"/>
      <c r="I140" s="331"/>
      <c r="J140" s="331">
        <v>-168823</v>
      </c>
      <c r="K140" s="331">
        <v>168823</v>
      </c>
      <c r="L140" s="331"/>
      <c r="M140" s="331"/>
      <c r="N140" s="331"/>
      <c r="O140" s="331"/>
      <c r="P140" s="331"/>
      <c r="Q140" s="601"/>
    </row>
    <row r="141" spans="1:17" s="22" customFormat="1" ht="21.75" customHeight="1">
      <c r="A141" s="38">
        <v>851</v>
      </c>
      <c r="B141" s="39"/>
      <c r="C141" s="40" t="s">
        <v>106</v>
      </c>
      <c r="D141" s="41">
        <f t="shared" si="19"/>
        <v>0</v>
      </c>
      <c r="E141" s="41"/>
      <c r="F141" s="41"/>
      <c r="G141" s="41"/>
      <c r="H141" s="41"/>
      <c r="I141" s="41"/>
      <c r="J141" s="41">
        <f>SUM(J142:J144)</f>
        <v>-120245</v>
      </c>
      <c r="K141" s="41">
        <f>SUM(K142:K144)</f>
        <v>120245</v>
      </c>
      <c r="L141" s="41"/>
      <c r="M141" s="41"/>
      <c r="N141" s="41"/>
      <c r="O141" s="41"/>
      <c r="P141" s="41"/>
      <c r="Q141" s="598"/>
    </row>
    <row r="142" spans="1:17" s="340" customFormat="1" ht="21.75" customHeight="1">
      <c r="A142" s="336"/>
      <c r="B142" s="337">
        <v>85149</v>
      </c>
      <c r="C142" s="338" t="s">
        <v>177</v>
      </c>
      <c r="D142" s="43">
        <f t="shared" si="19"/>
        <v>0</v>
      </c>
      <c r="E142" s="339"/>
      <c r="F142" s="339"/>
      <c r="G142" s="339"/>
      <c r="H142" s="339"/>
      <c r="I142" s="339"/>
      <c r="J142" s="339">
        <v>-1500</v>
      </c>
      <c r="K142" s="339">
        <v>1500</v>
      </c>
      <c r="L142" s="339"/>
      <c r="M142" s="339"/>
      <c r="N142" s="339"/>
      <c r="O142" s="339"/>
      <c r="P142" s="339"/>
      <c r="Q142" s="601"/>
    </row>
    <row r="143" spans="1:17" s="121" customFormat="1" ht="21.75" customHeight="1">
      <c r="A143" s="42"/>
      <c r="B143" s="207">
        <v>85154</v>
      </c>
      <c r="C143" s="120" t="s">
        <v>127</v>
      </c>
      <c r="D143" s="43">
        <f t="shared" si="19"/>
        <v>0</v>
      </c>
      <c r="E143" s="43"/>
      <c r="F143" s="43"/>
      <c r="G143" s="43"/>
      <c r="H143" s="43"/>
      <c r="I143" s="43"/>
      <c r="J143" s="43">
        <v>-84328</v>
      </c>
      <c r="K143" s="43">
        <v>84328</v>
      </c>
      <c r="L143" s="43"/>
      <c r="M143" s="43"/>
      <c r="N143" s="43"/>
      <c r="O143" s="43"/>
      <c r="P143" s="43"/>
      <c r="Q143" s="601"/>
    </row>
    <row r="144" spans="1:17" s="121" customFormat="1" ht="21.75" customHeight="1">
      <c r="A144" s="42"/>
      <c r="B144" s="44">
        <v>85195</v>
      </c>
      <c r="C144" s="330" t="s">
        <v>102</v>
      </c>
      <c r="D144" s="43">
        <f t="shared" si="19"/>
        <v>0</v>
      </c>
      <c r="E144" s="331"/>
      <c r="F144" s="331"/>
      <c r="G144" s="331"/>
      <c r="H144" s="331"/>
      <c r="I144" s="331"/>
      <c r="J144" s="331">
        <v>-34417</v>
      </c>
      <c r="K144" s="331">
        <v>34417</v>
      </c>
      <c r="L144" s="331"/>
      <c r="M144" s="331"/>
      <c r="N144" s="331"/>
      <c r="O144" s="331"/>
      <c r="P144" s="331"/>
      <c r="Q144" s="601"/>
    </row>
    <row r="145" spans="1:17" s="22" customFormat="1" ht="21.75" customHeight="1">
      <c r="A145" s="38">
        <v>854</v>
      </c>
      <c r="B145" s="39"/>
      <c r="C145" s="40" t="s">
        <v>105</v>
      </c>
      <c r="D145" s="41">
        <f t="shared" si="19"/>
        <v>62344</v>
      </c>
      <c r="E145" s="41"/>
      <c r="F145" s="41"/>
      <c r="G145" s="41"/>
      <c r="H145" s="41"/>
      <c r="I145" s="41"/>
      <c r="J145" s="41">
        <f aca="true" t="shared" si="24" ref="J145:P145">SUM(J146:J155)</f>
        <v>-1021963</v>
      </c>
      <c r="K145" s="41">
        <f t="shared" si="24"/>
        <v>1045963</v>
      </c>
      <c r="L145" s="41">
        <f t="shared" si="24"/>
        <v>16344</v>
      </c>
      <c r="M145" s="41">
        <f t="shared" si="24"/>
        <v>44000</v>
      </c>
      <c r="N145" s="41">
        <f t="shared" si="24"/>
        <v>-20000</v>
      </c>
      <c r="O145" s="41"/>
      <c r="P145" s="41">
        <f t="shared" si="24"/>
        <v>-2000</v>
      </c>
      <c r="Q145" s="598"/>
    </row>
    <row r="146" spans="1:17" s="121" customFormat="1" ht="21.75" customHeight="1">
      <c r="A146" s="206"/>
      <c r="B146" s="207">
        <v>85401</v>
      </c>
      <c r="C146" s="120" t="s">
        <v>323</v>
      </c>
      <c r="D146" s="43">
        <f t="shared" si="19"/>
        <v>0</v>
      </c>
      <c r="E146" s="43"/>
      <c r="F146" s="43"/>
      <c r="G146" s="43"/>
      <c r="H146" s="43"/>
      <c r="I146" s="43"/>
      <c r="J146" s="43">
        <v>-171372</v>
      </c>
      <c r="K146" s="43">
        <v>173372</v>
      </c>
      <c r="L146" s="43"/>
      <c r="M146" s="43"/>
      <c r="N146" s="43"/>
      <c r="O146" s="43"/>
      <c r="P146" s="43">
        <v>-2000</v>
      </c>
      <c r="Q146" s="601"/>
    </row>
    <row r="147" spans="1:17" s="121" customFormat="1" ht="21.75" customHeight="1">
      <c r="A147" s="42"/>
      <c r="B147" s="207">
        <v>85403</v>
      </c>
      <c r="C147" s="120" t="s">
        <v>324</v>
      </c>
      <c r="D147" s="43">
        <f t="shared" si="19"/>
        <v>44000</v>
      </c>
      <c r="E147" s="43"/>
      <c r="F147" s="43"/>
      <c r="G147" s="43"/>
      <c r="H147" s="43"/>
      <c r="I147" s="43"/>
      <c r="J147" s="43">
        <v>-170667</v>
      </c>
      <c r="K147" s="43">
        <v>190667</v>
      </c>
      <c r="L147" s="43"/>
      <c r="M147" s="43">
        <v>44000</v>
      </c>
      <c r="N147" s="43">
        <v>-20000</v>
      </c>
      <c r="O147" s="43"/>
      <c r="P147" s="43"/>
      <c r="Q147" s="601"/>
    </row>
    <row r="148" spans="1:17" s="121" customFormat="1" ht="34.5" customHeight="1">
      <c r="A148" s="42"/>
      <c r="B148" s="207">
        <v>85406</v>
      </c>
      <c r="C148" s="120" t="s">
        <v>325</v>
      </c>
      <c r="D148" s="43">
        <f t="shared" si="19"/>
        <v>0</v>
      </c>
      <c r="E148" s="43"/>
      <c r="F148" s="43"/>
      <c r="G148" s="43"/>
      <c r="H148" s="43"/>
      <c r="I148" s="43"/>
      <c r="J148" s="43">
        <v>-217814</v>
      </c>
      <c r="K148" s="43">
        <v>217814</v>
      </c>
      <c r="L148" s="43"/>
      <c r="M148" s="43"/>
      <c r="N148" s="43"/>
      <c r="O148" s="43"/>
      <c r="P148" s="43"/>
      <c r="Q148" s="601"/>
    </row>
    <row r="149" spans="1:17" s="121" customFormat="1" ht="21.75" customHeight="1">
      <c r="A149" s="42"/>
      <c r="B149" s="207">
        <v>85407</v>
      </c>
      <c r="C149" s="120" t="s">
        <v>268</v>
      </c>
      <c r="D149" s="43">
        <f t="shared" si="19"/>
        <v>0</v>
      </c>
      <c r="E149" s="43"/>
      <c r="F149" s="43"/>
      <c r="G149" s="43"/>
      <c r="H149" s="43"/>
      <c r="I149" s="43"/>
      <c r="J149" s="43">
        <v>-67773</v>
      </c>
      <c r="K149" s="43">
        <v>67773</v>
      </c>
      <c r="L149" s="43"/>
      <c r="M149" s="43"/>
      <c r="N149" s="43"/>
      <c r="O149" s="43"/>
      <c r="P149" s="43"/>
      <c r="Q149" s="601"/>
    </row>
    <row r="150" spans="1:17" s="121" customFormat="1" ht="21.75" customHeight="1">
      <c r="A150" s="42"/>
      <c r="B150" s="207">
        <v>85410</v>
      </c>
      <c r="C150" s="120" t="s">
        <v>274</v>
      </c>
      <c r="D150" s="43">
        <f t="shared" si="19"/>
        <v>15000</v>
      </c>
      <c r="E150" s="43"/>
      <c r="F150" s="43"/>
      <c r="G150" s="43"/>
      <c r="H150" s="43"/>
      <c r="I150" s="43"/>
      <c r="J150" s="43">
        <v>-96469</v>
      </c>
      <c r="K150" s="43">
        <v>96469</v>
      </c>
      <c r="L150" s="43">
        <v>15000</v>
      </c>
      <c r="M150" s="43"/>
      <c r="N150" s="43"/>
      <c r="O150" s="43"/>
      <c r="P150" s="43"/>
      <c r="Q150" s="601"/>
    </row>
    <row r="151" spans="1:17" s="121" customFormat="1" ht="21.75" customHeight="1">
      <c r="A151" s="42"/>
      <c r="B151" s="207">
        <v>85415</v>
      </c>
      <c r="C151" s="120" t="s">
        <v>264</v>
      </c>
      <c r="D151" s="43">
        <f t="shared" si="19"/>
        <v>1344</v>
      </c>
      <c r="E151" s="43"/>
      <c r="F151" s="43"/>
      <c r="G151" s="43"/>
      <c r="H151" s="43"/>
      <c r="I151" s="43"/>
      <c r="J151" s="43">
        <v>-120081</v>
      </c>
      <c r="K151" s="43">
        <v>120081</v>
      </c>
      <c r="L151" s="43">
        <v>1344</v>
      </c>
      <c r="M151" s="43"/>
      <c r="N151" s="43"/>
      <c r="O151" s="43"/>
      <c r="P151" s="43"/>
      <c r="Q151" s="601"/>
    </row>
    <row r="152" spans="1:17" s="121" customFormat="1" ht="21.75" customHeight="1">
      <c r="A152" s="42"/>
      <c r="B152" s="207">
        <v>85417</v>
      </c>
      <c r="C152" s="120" t="s">
        <v>326</v>
      </c>
      <c r="D152" s="43">
        <f t="shared" si="19"/>
        <v>0</v>
      </c>
      <c r="E152" s="43"/>
      <c r="F152" s="43"/>
      <c r="G152" s="43"/>
      <c r="H152" s="43"/>
      <c r="I152" s="43"/>
      <c r="J152" s="43">
        <v>-10689</v>
      </c>
      <c r="K152" s="43">
        <v>10689</v>
      </c>
      <c r="L152" s="43"/>
      <c r="M152" s="43"/>
      <c r="N152" s="43"/>
      <c r="O152" s="43"/>
      <c r="P152" s="43"/>
      <c r="Q152" s="601"/>
    </row>
    <row r="153" spans="1:17" s="121" customFormat="1" ht="21.75" customHeight="1">
      <c r="A153" s="44"/>
      <c r="B153" s="44">
        <v>85421</v>
      </c>
      <c r="C153" s="330" t="s">
        <v>327</v>
      </c>
      <c r="D153" s="331">
        <f t="shared" si="19"/>
        <v>0</v>
      </c>
      <c r="E153" s="331"/>
      <c r="F153" s="331"/>
      <c r="G153" s="331"/>
      <c r="H153" s="331"/>
      <c r="I153" s="331"/>
      <c r="J153" s="331">
        <v>-14376</v>
      </c>
      <c r="K153" s="331">
        <v>14376</v>
      </c>
      <c r="L153" s="331"/>
      <c r="M153" s="331"/>
      <c r="N153" s="331"/>
      <c r="O153" s="331"/>
      <c r="P153" s="331"/>
      <c r="Q153" s="601"/>
    </row>
    <row r="154" spans="1:17" s="121" customFormat="1" ht="21.75" customHeight="1">
      <c r="A154" s="42"/>
      <c r="B154" s="207">
        <v>85446</v>
      </c>
      <c r="C154" s="120" t="s">
        <v>269</v>
      </c>
      <c r="D154" s="43">
        <f t="shared" si="19"/>
        <v>0</v>
      </c>
      <c r="E154" s="43"/>
      <c r="F154" s="43"/>
      <c r="G154" s="43"/>
      <c r="H154" s="43"/>
      <c r="I154" s="43"/>
      <c r="J154" s="43">
        <v>-47090</v>
      </c>
      <c r="K154" s="43">
        <v>47090</v>
      </c>
      <c r="L154" s="43"/>
      <c r="M154" s="43"/>
      <c r="N154" s="43"/>
      <c r="O154" s="43"/>
      <c r="P154" s="43"/>
      <c r="Q154" s="601"/>
    </row>
    <row r="155" spans="1:17" s="121" customFormat="1" ht="21.75" customHeight="1">
      <c r="A155" s="44"/>
      <c r="B155" s="44">
        <v>85495</v>
      </c>
      <c r="C155" s="330" t="s">
        <v>102</v>
      </c>
      <c r="D155" s="43">
        <f aca="true" t="shared" si="25" ref="D155:D166">SUM(E155:P155)</f>
        <v>2000</v>
      </c>
      <c r="E155" s="331"/>
      <c r="F155" s="331"/>
      <c r="G155" s="331"/>
      <c r="H155" s="331"/>
      <c r="I155" s="331"/>
      <c r="J155" s="331">
        <v>-105632</v>
      </c>
      <c r="K155" s="331">
        <v>107632</v>
      </c>
      <c r="L155" s="331"/>
      <c r="M155" s="331"/>
      <c r="N155" s="331"/>
      <c r="O155" s="331"/>
      <c r="P155" s="331"/>
      <c r="Q155" s="601"/>
    </row>
    <row r="156" spans="1:17" s="22" customFormat="1" ht="21.75" customHeight="1">
      <c r="A156" s="38">
        <v>926</v>
      </c>
      <c r="B156" s="39"/>
      <c r="C156" s="40" t="s">
        <v>307</v>
      </c>
      <c r="D156" s="41">
        <f t="shared" si="25"/>
        <v>0</v>
      </c>
      <c r="E156" s="41"/>
      <c r="F156" s="41"/>
      <c r="G156" s="41"/>
      <c r="H156" s="41"/>
      <c r="I156" s="41"/>
      <c r="J156" s="41">
        <f>J157</f>
        <v>-82096</v>
      </c>
      <c r="K156" s="41">
        <f>K157</f>
        <v>82096</v>
      </c>
      <c r="L156" s="41"/>
      <c r="M156" s="41"/>
      <c r="N156" s="41"/>
      <c r="O156" s="41"/>
      <c r="P156" s="41"/>
      <c r="Q156" s="598"/>
    </row>
    <row r="157" spans="1:17" s="121" customFormat="1" ht="21.75" customHeight="1">
      <c r="A157" s="206"/>
      <c r="B157" s="207">
        <v>92605</v>
      </c>
      <c r="C157" s="120" t="s">
        <v>322</v>
      </c>
      <c r="D157" s="43">
        <f t="shared" si="25"/>
        <v>0</v>
      </c>
      <c r="E157" s="43"/>
      <c r="F157" s="43"/>
      <c r="G157" s="43"/>
      <c r="H157" s="43"/>
      <c r="I157" s="43"/>
      <c r="J157" s="43">
        <v>-82096</v>
      </c>
      <c r="K157" s="43">
        <v>82096</v>
      </c>
      <c r="L157" s="43"/>
      <c r="M157" s="43"/>
      <c r="N157" s="43"/>
      <c r="O157" s="43"/>
      <c r="P157" s="43"/>
      <c r="Q157" s="601"/>
    </row>
    <row r="158" spans="1:17" s="45" customFormat="1" ht="33.75" customHeight="1" thickBot="1">
      <c r="A158" s="188"/>
      <c r="B158" s="189"/>
      <c r="C158" s="36" t="s">
        <v>329</v>
      </c>
      <c r="D158" s="191">
        <f t="shared" si="25"/>
        <v>0</v>
      </c>
      <c r="E158" s="191"/>
      <c r="F158" s="191"/>
      <c r="G158" s="191"/>
      <c r="H158" s="191"/>
      <c r="I158" s="191"/>
      <c r="J158" s="191">
        <f>J159</f>
        <v>-1118015</v>
      </c>
      <c r="K158" s="191">
        <f>K159</f>
        <v>1118015</v>
      </c>
      <c r="L158" s="191"/>
      <c r="M158" s="191"/>
      <c r="N158" s="191"/>
      <c r="O158" s="191"/>
      <c r="P158" s="191"/>
      <c r="Q158" s="606"/>
    </row>
    <row r="159" spans="1:17" s="22" customFormat="1" ht="21.75" customHeight="1" thickTop="1">
      <c r="A159" s="41">
        <v>854</v>
      </c>
      <c r="B159" s="38"/>
      <c r="C159" s="40" t="s">
        <v>105</v>
      </c>
      <c r="D159" s="41">
        <f t="shared" si="25"/>
        <v>0</v>
      </c>
      <c r="E159" s="41"/>
      <c r="F159" s="41"/>
      <c r="G159" s="41"/>
      <c r="H159" s="41"/>
      <c r="I159" s="41"/>
      <c r="J159" s="41">
        <f>J160</f>
        <v>-1118015</v>
      </c>
      <c r="K159" s="41">
        <f>K160</f>
        <v>1118015</v>
      </c>
      <c r="L159" s="41"/>
      <c r="M159" s="41"/>
      <c r="N159" s="41"/>
      <c r="O159" s="41"/>
      <c r="P159" s="41"/>
      <c r="Q159" s="598"/>
    </row>
    <row r="160" spans="1:17" s="340" customFormat="1" ht="21.75" customHeight="1">
      <c r="A160" s="336"/>
      <c r="B160" s="337">
        <v>85415</v>
      </c>
      <c r="C160" s="120" t="s">
        <v>264</v>
      </c>
      <c r="D160" s="43">
        <f t="shared" si="25"/>
        <v>0</v>
      </c>
      <c r="E160" s="339"/>
      <c r="F160" s="339"/>
      <c r="G160" s="339"/>
      <c r="H160" s="339"/>
      <c r="I160" s="339"/>
      <c r="J160" s="331">
        <v>-1118015</v>
      </c>
      <c r="K160" s="339">
        <v>1118015</v>
      </c>
      <c r="L160" s="339"/>
      <c r="M160" s="339"/>
      <c r="N160" s="339"/>
      <c r="O160" s="339"/>
      <c r="P160" s="339"/>
      <c r="Q160" s="601"/>
    </row>
    <row r="161" spans="1:17" s="45" customFormat="1" ht="33.75" customHeight="1" thickBot="1">
      <c r="A161" s="188"/>
      <c r="B161" s="189"/>
      <c r="C161" s="36" t="s">
        <v>131</v>
      </c>
      <c r="D161" s="191">
        <f t="shared" si="25"/>
        <v>0</v>
      </c>
      <c r="E161" s="191"/>
      <c r="F161" s="191"/>
      <c r="G161" s="191"/>
      <c r="H161" s="191"/>
      <c r="I161" s="191"/>
      <c r="J161" s="191">
        <f>J162</f>
        <v>-4500</v>
      </c>
      <c r="K161" s="191">
        <f>K162</f>
        <v>4500</v>
      </c>
      <c r="L161" s="191"/>
      <c r="M161" s="191"/>
      <c r="N161" s="191"/>
      <c r="O161" s="191"/>
      <c r="P161" s="191"/>
      <c r="Q161" s="606"/>
    </row>
    <row r="162" spans="1:17" s="22" customFormat="1" ht="21.75" customHeight="1" thickTop="1">
      <c r="A162" s="41">
        <v>854</v>
      </c>
      <c r="B162" s="38"/>
      <c r="C162" s="40" t="s">
        <v>105</v>
      </c>
      <c r="D162" s="41">
        <f t="shared" si="25"/>
        <v>0</v>
      </c>
      <c r="E162" s="41"/>
      <c r="F162" s="41"/>
      <c r="G162" s="41"/>
      <c r="H162" s="41"/>
      <c r="I162" s="41"/>
      <c r="J162" s="41">
        <f>J163</f>
        <v>-4500</v>
      </c>
      <c r="K162" s="41">
        <f>K163</f>
        <v>4500</v>
      </c>
      <c r="L162" s="41"/>
      <c r="M162" s="41"/>
      <c r="N162" s="41"/>
      <c r="O162" s="41"/>
      <c r="P162" s="41"/>
      <c r="Q162" s="598"/>
    </row>
    <row r="163" spans="1:17" s="340" customFormat="1" ht="21.75" customHeight="1">
      <c r="A163" s="336"/>
      <c r="B163" s="207">
        <v>85401</v>
      </c>
      <c r="C163" s="120" t="s">
        <v>323</v>
      </c>
      <c r="D163" s="43">
        <f t="shared" si="25"/>
        <v>0</v>
      </c>
      <c r="E163" s="339"/>
      <c r="F163" s="339"/>
      <c r="G163" s="339"/>
      <c r="H163" s="339"/>
      <c r="I163" s="339"/>
      <c r="J163" s="331">
        <v>-4500</v>
      </c>
      <c r="K163" s="339">
        <v>4500</v>
      </c>
      <c r="L163" s="339"/>
      <c r="M163" s="339"/>
      <c r="N163" s="339"/>
      <c r="O163" s="339"/>
      <c r="P163" s="339"/>
      <c r="Q163" s="601"/>
    </row>
    <row r="164" spans="1:17" s="45" customFormat="1" ht="49.5" customHeight="1" thickBot="1">
      <c r="A164" s="188"/>
      <c r="B164" s="189"/>
      <c r="C164" s="497" t="s">
        <v>132</v>
      </c>
      <c r="D164" s="191">
        <f t="shared" si="25"/>
        <v>0</v>
      </c>
      <c r="E164" s="191"/>
      <c r="F164" s="191"/>
      <c r="G164" s="191"/>
      <c r="H164" s="191"/>
      <c r="I164" s="191"/>
      <c r="J164" s="191">
        <f>J165</f>
        <v>-126</v>
      </c>
      <c r="K164" s="191">
        <f>K165</f>
        <v>126</v>
      </c>
      <c r="L164" s="191"/>
      <c r="M164" s="191"/>
      <c r="N164" s="191"/>
      <c r="O164" s="191"/>
      <c r="P164" s="191"/>
      <c r="Q164" s="606"/>
    </row>
    <row r="165" spans="1:17" s="22" customFormat="1" ht="21.75" customHeight="1" thickTop="1">
      <c r="A165" s="41">
        <v>851</v>
      </c>
      <c r="B165" s="38"/>
      <c r="C165" s="327" t="s">
        <v>106</v>
      </c>
      <c r="D165" s="41">
        <f t="shared" si="25"/>
        <v>0</v>
      </c>
      <c r="E165" s="41"/>
      <c r="F165" s="41"/>
      <c r="G165" s="41"/>
      <c r="H165" s="41"/>
      <c r="I165" s="41"/>
      <c r="J165" s="41">
        <f>J166</f>
        <v>-126</v>
      </c>
      <c r="K165" s="41">
        <f>K166</f>
        <v>126</v>
      </c>
      <c r="L165" s="41"/>
      <c r="M165" s="41"/>
      <c r="N165" s="41"/>
      <c r="O165" s="41"/>
      <c r="P165" s="41"/>
      <c r="Q165" s="598"/>
    </row>
    <row r="166" spans="1:17" s="340" customFormat="1" ht="47.25" customHeight="1">
      <c r="A166" s="341"/>
      <c r="B166" s="337">
        <v>85156</v>
      </c>
      <c r="C166" s="120" t="s">
        <v>328</v>
      </c>
      <c r="D166" s="43">
        <f t="shared" si="25"/>
        <v>0</v>
      </c>
      <c r="E166" s="339"/>
      <c r="F166" s="339"/>
      <c r="G166" s="339"/>
      <c r="H166" s="339"/>
      <c r="I166" s="339"/>
      <c r="J166" s="339">
        <v>-126</v>
      </c>
      <c r="K166" s="339">
        <v>126</v>
      </c>
      <c r="L166" s="339"/>
      <c r="M166" s="339"/>
      <c r="N166" s="339"/>
      <c r="O166" s="339"/>
      <c r="P166" s="339"/>
      <c r="Q166" s="601"/>
    </row>
    <row r="167" spans="3:16" ht="30" customHeight="1">
      <c r="C167" s="46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3:16" ht="24.75" customHeight="1">
      <c r="C168" s="912" t="s">
        <v>487</v>
      </c>
      <c r="D168" s="22"/>
      <c r="E168" s="22"/>
      <c r="G168" s="47"/>
      <c r="H168" s="47"/>
      <c r="I168" s="47"/>
      <c r="J168" s="912" t="s">
        <v>489</v>
      </c>
      <c r="K168" s="47"/>
      <c r="L168" s="47"/>
      <c r="M168" s="47"/>
      <c r="N168" s="47"/>
      <c r="O168" s="47"/>
      <c r="P168" s="47"/>
    </row>
    <row r="169" spans="3:16" ht="20.25" customHeight="1">
      <c r="C169" s="912"/>
      <c r="D169" s="22"/>
      <c r="E169" s="22"/>
      <c r="G169" s="47"/>
      <c r="H169" s="47"/>
      <c r="I169" s="47"/>
      <c r="J169" s="912" t="s">
        <v>490</v>
      </c>
      <c r="K169" s="47"/>
      <c r="L169" s="47"/>
      <c r="M169" s="47"/>
      <c r="N169" s="47"/>
      <c r="O169" s="47"/>
      <c r="P169" s="47"/>
    </row>
    <row r="170" spans="3:16" ht="19.5" customHeight="1">
      <c r="C170" s="912" t="s">
        <v>488</v>
      </c>
      <c r="D170" s="22"/>
      <c r="E170" s="22"/>
      <c r="G170" s="47"/>
      <c r="H170" s="47"/>
      <c r="I170" s="47"/>
      <c r="J170" s="912"/>
      <c r="K170" s="47"/>
      <c r="L170" s="47"/>
      <c r="M170" s="47"/>
      <c r="N170" s="47"/>
      <c r="O170" s="47"/>
      <c r="P170" s="47"/>
    </row>
    <row r="171" spans="3:16" ht="21" customHeight="1">
      <c r="C171" s="22"/>
      <c r="D171" s="22"/>
      <c r="E171" s="22"/>
      <c r="G171" s="47"/>
      <c r="H171" s="47"/>
      <c r="I171" s="47"/>
      <c r="J171" s="912" t="s">
        <v>491</v>
      </c>
      <c r="K171" s="47"/>
      <c r="L171" s="47"/>
      <c r="M171" s="47"/>
      <c r="N171" s="47"/>
      <c r="O171" s="47"/>
      <c r="P171" s="47"/>
    </row>
    <row r="172" spans="3:16" ht="35.25" customHeight="1">
      <c r="C172" s="46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3:16" ht="35.25" customHeight="1">
      <c r="C173" s="46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3:16" ht="30" customHeight="1">
      <c r="C174" s="46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3:16" ht="30" customHeight="1">
      <c r="C175" s="46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3:16" ht="30" customHeight="1">
      <c r="C176" s="46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3:16" ht="30" customHeight="1">
      <c r="C177" s="46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3:16" ht="30" customHeight="1">
      <c r="C178" s="46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3:16" ht="30" customHeight="1">
      <c r="C179" s="46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3:16" ht="30" customHeight="1">
      <c r="C180" s="46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3:16" ht="30" customHeight="1"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3:16" ht="30" customHeight="1">
      <c r="C182" s="46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3:16" ht="30" customHeight="1">
      <c r="C183" s="46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3:16" ht="30" customHeight="1">
      <c r="C184" s="46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3:16" ht="30" customHeight="1">
      <c r="C185" s="46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3:16" ht="30" customHeight="1">
      <c r="C186" s="46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3:16" ht="30" customHeight="1">
      <c r="C187" s="46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3:16" ht="30" customHeight="1">
      <c r="C188" s="46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3:16" ht="30" customHeight="1"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3:16" ht="48.75" customHeight="1">
      <c r="C190" s="46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3:16" ht="48.75" customHeight="1">
      <c r="C191" s="46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3:16" ht="48.75" customHeight="1">
      <c r="C192" s="46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3:16" ht="30" customHeight="1">
      <c r="C193" s="46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3:16" ht="30" customHeight="1">
      <c r="C194" s="46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3:16" ht="30" customHeight="1">
      <c r="C195" s="46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3:16" ht="30" customHeight="1">
      <c r="C196" s="46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3:16" ht="30" customHeight="1">
      <c r="C197" s="46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3:16" ht="30" customHeight="1">
      <c r="C198" s="46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ht="30" customHeight="1">
      <c r="C199" s="46"/>
    </row>
    <row r="200" ht="30" customHeight="1">
      <c r="C200" s="46"/>
    </row>
    <row r="201" ht="30" customHeight="1">
      <c r="C201" s="46"/>
    </row>
    <row r="202" ht="30" customHeight="1">
      <c r="C202" s="46"/>
    </row>
    <row r="203" ht="30" customHeight="1">
      <c r="C203" s="46"/>
    </row>
    <row r="204" ht="30" customHeight="1">
      <c r="C204" s="46"/>
    </row>
    <row r="205" ht="30" customHeight="1">
      <c r="C205" s="46"/>
    </row>
    <row r="206" ht="30" customHeight="1">
      <c r="C206" s="46"/>
    </row>
    <row r="207" ht="30" customHeight="1">
      <c r="C207" s="46"/>
    </row>
    <row r="208" ht="30" customHeight="1">
      <c r="C208" s="46"/>
    </row>
    <row r="209" ht="106.5" customHeight="1">
      <c r="C209" s="46"/>
    </row>
    <row r="210" ht="77.25" customHeight="1">
      <c r="C210" s="46"/>
    </row>
    <row r="211" ht="30" customHeight="1">
      <c r="C211" s="46"/>
    </row>
    <row r="212" ht="28.5" customHeight="1">
      <c r="C212" s="46"/>
    </row>
    <row r="213" ht="30" customHeight="1">
      <c r="C213" s="46"/>
    </row>
    <row r="214" ht="21.75" customHeight="1">
      <c r="C214" s="46"/>
    </row>
    <row r="215" ht="30" customHeight="1">
      <c r="C215" s="46"/>
    </row>
    <row r="216" ht="30" customHeight="1">
      <c r="C216" s="46"/>
    </row>
    <row r="217" ht="27.75" customHeight="1">
      <c r="C217" s="46"/>
    </row>
    <row r="218" ht="33" customHeight="1">
      <c r="C218" s="46"/>
    </row>
    <row r="219" ht="32.25" customHeight="1">
      <c r="C219" s="46"/>
    </row>
    <row r="220" ht="21" customHeight="1">
      <c r="C220" s="46"/>
    </row>
    <row r="221" ht="30" customHeight="1">
      <c r="C221" s="46"/>
    </row>
    <row r="222" ht="24" customHeight="1">
      <c r="C222" s="46"/>
    </row>
    <row r="223" ht="24.75" customHeight="1">
      <c r="C223" s="46"/>
    </row>
    <row r="224" ht="24.75" customHeight="1">
      <c r="C224" s="46"/>
    </row>
    <row r="225" ht="26.25" customHeight="1">
      <c r="C225" s="46"/>
    </row>
    <row r="226" ht="24" customHeight="1">
      <c r="C226" s="46"/>
    </row>
    <row r="227" ht="24" customHeight="1">
      <c r="C227" s="46"/>
    </row>
    <row r="228" ht="24.75" customHeight="1">
      <c r="C228" s="46"/>
    </row>
    <row r="229" ht="33.75" customHeight="1">
      <c r="C229" s="46"/>
    </row>
    <row r="230" ht="33.75" customHeight="1">
      <c r="C230" s="46"/>
    </row>
    <row r="231" ht="39.75" customHeight="1">
      <c r="C231" s="46"/>
    </row>
    <row r="232" spans="1:17" s="48" customFormat="1" ht="21.75" customHeight="1">
      <c r="A232" s="1"/>
      <c r="B232" s="1"/>
      <c r="C232" s="4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606"/>
    </row>
    <row r="233" ht="24.75" customHeight="1">
      <c r="C233" s="46"/>
    </row>
    <row r="234" ht="49.5" customHeight="1">
      <c r="C234" s="46"/>
    </row>
    <row r="235" ht="30.75" customHeight="1">
      <c r="C235" s="46"/>
    </row>
    <row r="236" ht="27.75" customHeight="1">
      <c r="C236" s="46"/>
    </row>
    <row r="237" ht="18">
      <c r="C237" s="46"/>
    </row>
    <row r="238" ht="18">
      <c r="C238" s="46"/>
    </row>
    <row r="239" ht="18">
      <c r="C239" s="46"/>
    </row>
    <row r="240" ht="18">
      <c r="C240" s="46"/>
    </row>
    <row r="241" ht="18">
      <c r="C241" s="46"/>
    </row>
    <row r="242" ht="18">
      <c r="C242" s="46"/>
    </row>
    <row r="243" ht="18">
      <c r="C243" s="46"/>
    </row>
    <row r="244" ht="18">
      <c r="C244" s="46"/>
    </row>
    <row r="245" ht="18">
      <c r="C245" s="46"/>
    </row>
    <row r="246" ht="18">
      <c r="C246" s="46"/>
    </row>
    <row r="247" ht="18">
      <c r="C247" s="46"/>
    </row>
    <row r="248" ht="18">
      <c r="C248" s="46"/>
    </row>
    <row r="249" ht="18">
      <c r="C249" s="46"/>
    </row>
    <row r="250" ht="18">
      <c r="C250" s="46"/>
    </row>
    <row r="251" ht="18">
      <c r="C251" s="46"/>
    </row>
    <row r="252" ht="18">
      <c r="C252" s="46"/>
    </row>
    <row r="253" ht="18">
      <c r="C253" s="46"/>
    </row>
    <row r="254" ht="18">
      <c r="C254" s="46"/>
    </row>
    <row r="255" ht="18">
      <c r="C255" s="46"/>
    </row>
    <row r="256" ht="18">
      <c r="C256" s="46"/>
    </row>
    <row r="257" ht="18">
      <c r="C257" s="46"/>
    </row>
    <row r="258" ht="18">
      <c r="C258" s="46"/>
    </row>
    <row r="259" ht="18">
      <c r="C259" s="46"/>
    </row>
    <row r="260" ht="18">
      <c r="C260" s="46"/>
    </row>
    <row r="261" ht="18">
      <c r="C261" s="46"/>
    </row>
    <row r="262" ht="18">
      <c r="C262" s="46"/>
    </row>
    <row r="263" ht="18">
      <c r="C263" s="46"/>
    </row>
    <row r="264" ht="18">
      <c r="C264" s="46"/>
    </row>
    <row r="265" ht="18">
      <c r="C265" s="46"/>
    </row>
    <row r="266" ht="18">
      <c r="C266" s="46"/>
    </row>
    <row r="267" ht="18">
      <c r="C267" s="46"/>
    </row>
    <row r="268" ht="18">
      <c r="C268" s="46"/>
    </row>
    <row r="269" ht="18">
      <c r="C269" s="46"/>
    </row>
    <row r="270" ht="18">
      <c r="C270" s="46"/>
    </row>
    <row r="271" ht="18">
      <c r="C271" s="46"/>
    </row>
    <row r="272" ht="18">
      <c r="C272" s="46"/>
    </row>
    <row r="273" ht="18">
      <c r="C273" s="46"/>
    </row>
    <row r="274" ht="18">
      <c r="C274" s="46"/>
    </row>
    <row r="275" ht="18">
      <c r="C275" s="46"/>
    </row>
    <row r="276" ht="18">
      <c r="C276" s="46"/>
    </row>
    <row r="277" ht="18">
      <c r="C277" s="46"/>
    </row>
    <row r="278" ht="18">
      <c r="C278" s="46"/>
    </row>
    <row r="279" ht="18">
      <c r="C279" s="46"/>
    </row>
    <row r="280" ht="18">
      <c r="C280" s="46"/>
    </row>
    <row r="281" ht="18">
      <c r="C281" s="46"/>
    </row>
    <row r="282" ht="18">
      <c r="C282" s="46"/>
    </row>
    <row r="283" ht="18">
      <c r="C283" s="46"/>
    </row>
    <row r="284" ht="18">
      <c r="C284" s="46"/>
    </row>
    <row r="285" ht="18">
      <c r="C285" s="46"/>
    </row>
    <row r="286" ht="18">
      <c r="C286" s="46"/>
    </row>
    <row r="287" ht="18">
      <c r="C287" s="46"/>
    </row>
    <row r="288" ht="18">
      <c r="C288" s="46"/>
    </row>
    <row r="289" ht="18">
      <c r="C289" s="46"/>
    </row>
    <row r="290" ht="18">
      <c r="C290" s="46"/>
    </row>
    <row r="291" ht="18">
      <c r="C291" s="46"/>
    </row>
    <row r="292" ht="18">
      <c r="C292" s="46"/>
    </row>
    <row r="293" ht="18">
      <c r="C293" s="46"/>
    </row>
    <row r="294" ht="18">
      <c r="C294" s="46"/>
    </row>
    <row r="295" ht="18">
      <c r="C295" s="46"/>
    </row>
    <row r="296" ht="18">
      <c r="C296" s="46"/>
    </row>
    <row r="297" ht="18">
      <c r="C297" s="46"/>
    </row>
    <row r="298" ht="18">
      <c r="C298" s="46"/>
    </row>
    <row r="299" ht="18">
      <c r="C299" s="46"/>
    </row>
    <row r="300" ht="18">
      <c r="C300" s="46"/>
    </row>
    <row r="301" ht="18">
      <c r="C301" s="46"/>
    </row>
    <row r="302" ht="18">
      <c r="C302" s="46"/>
    </row>
    <row r="303" ht="18">
      <c r="C303" s="46"/>
    </row>
    <row r="304" ht="18">
      <c r="C304" s="46"/>
    </row>
    <row r="305" ht="18">
      <c r="C305" s="46"/>
    </row>
    <row r="306" ht="18">
      <c r="C306" s="46"/>
    </row>
    <row r="307" ht="18">
      <c r="C307" s="46"/>
    </row>
    <row r="308" ht="18">
      <c r="C308" s="46"/>
    </row>
    <row r="309" ht="18">
      <c r="C309" s="46"/>
    </row>
    <row r="310" ht="18">
      <c r="C310" s="46"/>
    </row>
    <row r="311" ht="18">
      <c r="C311" s="46"/>
    </row>
    <row r="312" ht="18">
      <c r="C312" s="46"/>
    </row>
    <row r="313" ht="18">
      <c r="C313" s="46"/>
    </row>
    <row r="314" ht="18">
      <c r="C314" s="46"/>
    </row>
    <row r="315" ht="18">
      <c r="C315" s="46"/>
    </row>
    <row r="316" ht="18">
      <c r="C316" s="46"/>
    </row>
    <row r="317" ht="18">
      <c r="C317" s="46"/>
    </row>
    <row r="318" ht="18">
      <c r="C318" s="46"/>
    </row>
    <row r="319" ht="18">
      <c r="C319" s="46"/>
    </row>
    <row r="320" ht="18">
      <c r="C320" s="46"/>
    </row>
    <row r="321" ht="18">
      <c r="C321" s="46"/>
    </row>
    <row r="322" ht="18">
      <c r="C322" s="46"/>
    </row>
    <row r="323" ht="18">
      <c r="C323" s="46"/>
    </row>
    <row r="324" ht="18">
      <c r="C324" s="46"/>
    </row>
    <row r="325" ht="18">
      <c r="C325" s="46"/>
    </row>
    <row r="326" ht="18">
      <c r="C326" s="46"/>
    </row>
    <row r="327" ht="18">
      <c r="C327" s="46"/>
    </row>
    <row r="328" ht="18">
      <c r="C328" s="46"/>
    </row>
    <row r="329" ht="18">
      <c r="C329" s="46"/>
    </row>
    <row r="330" ht="18">
      <c r="C330" s="46"/>
    </row>
    <row r="331" ht="18">
      <c r="C331" s="46"/>
    </row>
    <row r="332" ht="18">
      <c r="C332" s="46"/>
    </row>
    <row r="333" ht="18">
      <c r="C333" s="46"/>
    </row>
    <row r="334" ht="18">
      <c r="C334" s="46"/>
    </row>
    <row r="335" ht="18">
      <c r="C335" s="46"/>
    </row>
    <row r="336" ht="18">
      <c r="C336" s="46"/>
    </row>
    <row r="337" ht="18">
      <c r="C337" s="46"/>
    </row>
    <row r="338" ht="18">
      <c r="C338" s="46"/>
    </row>
    <row r="339" ht="18">
      <c r="C339" s="46"/>
    </row>
    <row r="340" ht="18">
      <c r="C340" s="46"/>
    </row>
    <row r="341" ht="18">
      <c r="C341" s="46"/>
    </row>
    <row r="342" ht="18">
      <c r="C342" s="46"/>
    </row>
    <row r="343" ht="18">
      <c r="C343" s="46"/>
    </row>
    <row r="344" ht="18">
      <c r="C344" s="46"/>
    </row>
    <row r="345" ht="18">
      <c r="C345" s="46"/>
    </row>
    <row r="346" ht="18">
      <c r="C346" s="46"/>
    </row>
    <row r="347" ht="18">
      <c r="C347" s="46"/>
    </row>
    <row r="348" ht="18">
      <c r="C348" s="46"/>
    </row>
    <row r="349" ht="18">
      <c r="C349" s="46"/>
    </row>
    <row r="350" ht="18">
      <c r="C350" s="46"/>
    </row>
    <row r="351" ht="18">
      <c r="C351" s="46"/>
    </row>
    <row r="352" ht="18">
      <c r="C352" s="46"/>
    </row>
    <row r="353" ht="18">
      <c r="C353" s="46"/>
    </row>
    <row r="354" ht="18">
      <c r="C354" s="46"/>
    </row>
    <row r="355" ht="18">
      <c r="C355" s="46"/>
    </row>
    <row r="356" ht="18">
      <c r="C356" s="46"/>
    </row>
    <row r="357" ht="18">
      <c r="C357" s="46"/>
    </row>
    <row r="358" ht="18">
      <c r="C358" s="46"/>
    </row>
    <row r="359" ht="18">
      <c r="C359" s="46"/>
    </row>
    <row r="360" ht="18">
      <c r="C360" s="46"/>
    </row>
    <row r="361" ht="18">
      <c r="C361" s="46"/>
    </row>
    <row r="362" ht="18">
      <c r="C362" s="46"/>
    </row>
    <row r="363" ht="18">
      <c r="C363" s="46"/>
    </row>
    <row r="364" ht="18">
      <c r="C364" s="46"/>
    </row>
    <row r="365" ht="18">
      <c r="C365" s="46"/>
    </row>
    <row r="366" ht="18">
      <c r="C366" s="46"/>
    </row>
    <row r="367" ht="18">
      <c r="C367" s="46"/>
    </row>
    <row r="368" ht="18">
      <c r="C368" s="46"/>
    </row>
    <row r="369" ht="18">
      <c r="C369" s="46"/>
    </row>
    <row r="370" ht="18">
      <c r="C370" s="46"/>
    </row>
    <row r="371" ht="18">
      <c r="C371" s="46"/>
    </row>
    <row r="372" ht="18">
      <c r="C372" s="46"/>
    </row>
    <row r="373" ht="18">
      <c r="C373" s="46"/>
    </row>
    <row r="374" ht="18">
      <c r="C374" s="46"/>
    </row>
    <row r="375" ht="18">
      <c r="C375" s="46"/>
    </row>
    <row r="376" ht="18">
      <c r="C376" s="46"/>
    </row>
    <row r="377" ht="18">
      <c r="C377" s="46"/>
    </row>
    <row r="378" ht="18">
      <c r="C378" s="46"/>
    </row>
    <row r="379" ht="18">
      <c r="C379" s="46"/>
    </row>
    <row r="380" ht="18">
      <c r="C380" s="46"/>
    </row>
    <row r="381" ht="18">
      <c r="C381" s="46"/>
    </row>
    <row r="382" ht="18">
      <c r="C382" s="46"/>
    </row>
    <row r="383" ht="18">
      <c r="C383" s="46"/>
    </row>
    <row r="384" ht="18">
      <c r="C384" s="46"/>
    </row>
    <row r="385" ht="18">
      <c r="C385" s="46"/>
    </row>
    <row r="386" ht="18">
      <c r="C386" s="46"/>
    </row>
    <row r="387" ht="18">
      <c r="C387" s="46"/>
    </row>
    <row r="388" ht="18">
      <c r="C388" s="46"/>
    </row>
    <row r="389" ht="18">
      <c r="C389" s="46"/>
    </row>
    <row r="390" ht="18">
      <c r="C390" s="46"/>
    </row>
    <row r="391" ht="18">
      <c r="C391" s="46"/>
    </row>
    <row r="392" ht="18">
      <c r="C392" s="46"/>
    </row>
    <row r="393" ht="18">
      <c r="C393" s="46"/>
    </row>
    <row r="394" ht="18">
      <c r="C394" s="46"/>
    </row>
    <row r="395" ht="18">
      <c r="C395" s="46"/>
    </row>
    <row r="396" ht="18">
      <c r="C396" s="46"/>
    </row>
    <row r="397" ht="18">
      <c r="C397" s="46"/>
    </row>
    <row r="398" ht="18">
      <c r="C398" s="46"/>
    </row>
    <row r="399" ht="18">
      <c r="C399" s="46"/>
    </row>
    <row r="400" ht="18">
      <c r="C400" s="46"/>
    </row>
    <row r="401" ht="18">
      <c r="C401" s="46"/>
    </row>
    <row r="402" ht="18">
      <c r="C402" s="46"/>
    </row>
    <row r="403" ht="18">
      <c r="C403" s="46"/>
    </row>
    <row r="404" ht="18">
      <c r="C404" s="46"/>
    </row>
    <row r="405" ht="18">
      <c r="C405" s="46"/>
    </row>
    <row r="406" ht="18">
      <c r="C406" s="46"/>
    </row>
    <row r="407" ht="18">
      <c r="C407" s="46"/>
    </row>
    <row r="408" ht="18">
      <c r="C408" s="46"/>
    </row>
    <row r="409" ht="18">
      <c r="C409" s="46"/>
    </row>
    <row r="410" ht="18">
      <c r="C410" s="46"/>
    </row>
    <row r="411" ht="18">
      <c r="C411" s="46"/>
    </row>
    <row r="412" ht="18">
      <c r="C412" s="46"/>
    </row>
    <row r="413" ht="18">
      <c r="C413" s="46"/>
    </row>
    <row r="414" ht="18">
      <c r="C414" s="46"/>
    </row>
    <row r="415" ht="18">
      <c r="C415" s="46"/>
    </row>
    <row r="416" ht="18">
      <c r="C416" s="46"/>
    </row>
    <row r="417" ht="18">
      <c r="C417" s="46"/>
    </row>
    <row r="418" ht="18">
      <c r="C418" s="46"/>
    </row>
    <row r="419" ht="18">
      <c r="C419" s="46"/>
    </row>
  </sheetData>
  <printOptions horizontalCentered="1"/>
  <pageMargins left="0.3937007874015748" right="0.3937007874015748" top="0.6692913385826772" bottom="0.4724409448818898" header="0.3937007874015748" footer="0.35433070866141736"/>
  <pageSetup firstPageNumber="37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2006-08-02T08:09:49Z</cp:lastPrinted>
  <dcterms:created xsi:type="dcterms:W3CDTF">1997-02-26T13:46:56Z</dcterms:created>
  <dcterms:modified xsi:type="dcterms:W3CDTF">2006-08-22T07:11:38Z</dcterms:modified>
  <cp:category/>
  <cp:version/>
  <cp:contentType/>
  <cp:contentStatus/>
</cp:coreProperties>
</file>