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doch RM" sheetId="1" r:id="rId1"/>
    <sheet name="Wyd RM" sheetId="2" r:id="rId2"/>
    <sheet name="inwest" sheetId="3" r:id="rId3"/>
    <sheet name="UE" sheetId="4" r:id="rId4"/>
    <sheet name="remonty" sheetId="5" r:id="rId5"/>
    <sheet name="pozabud" sheetId="6" r:id="rId6"/>
    <sheet name="doch Pr" sheetId="7" r:id="rId7"/>
    <sheet name="Wyd Pr" sheetId="8" r:id="rId8"/>
    <sheet name="jednostki" sheetId="9" r:id="rId9"/>
    <sheet name="szkoly" sheetId="10" r:id="rId10"/>
    <sheet name="Doch-harm" sheetId="11" r:id="rId11"/>
    <sheet name="Wyd-harm" sheetId="12" r:id="rId12"/>
    <sheet name="FGZGiK harm" sheetId="13" r:id="rId13"/>
    <sheet name="zlecone " sheetId="14" r:id="rId14"/>
  </sheets>
  <definedNames>
    <definedName name="_xlnm.Print_Titles" localSheetId="6">'doch Pr'!$7:$7</definedName>
    <definedName name="_xlnm.Print_Titles" localSheetId="0">'doch RM'!$7:$7</definedName>
    <definedName name="_xlnm.Print_Titles" localSheetId="2">'inwest'!$8:$8</definedName>
    <definedName name="_xlnm.Print_Titles" localSheetId="8">'jednostki'!$9:$9</definedName>
    <definedName name="_xlnm.Print_Titles" localSheetId="4">'remonty'!$9:$9</definedName>
    <definedName name="_xlnm.Print_Titles" localSheetId="9">'szkoly'!$3:$11</definedName>
    <definedName name="_xlnm.Print_Titles" localSheetId="7">'Wyd Pr'!$7:$7</definedName>
    <definedName name="_xlnm.Print_Titles" localSheetId="1">'Wyd RM'!$7:$7</definedName>
    <definedName name="_xlnm.Print_Titles" localSheetId="11">'Wyd-harm'!$7:$9</definedName>
    <definedName name="_xlnm.Print_Titles" localSheetId="13">'zlecone '!$8:$8</definedName>
  </definedNames>
  <calcPr fullCalcOnLoad="1"/>
</workbook>
</file>

<file path=xl/sharedStrings.xml><?xml version="1.0" encoding="utf-8"?>
<sst xmlns="http://schemas.openxmlformats.org/spreadsheetml/2006/main" count="1681" uniqueCount="696">
  <si>
    <t>MOPR</t>
  </si>
  <si>
    <t>Wydatki na 2006 rok
po zmianach</t>
  </si>
  <si>
    <t xml:space="preserve">rozwój partnerstwa edukacyjnego pomiędzy organizacjami partnerskimi z Niemiec, Austrii, Litwy i Polski polegający na wymianie doświadczeń </t>
  </si>
  <si>
    <t>Powiatowe urzędy pracy</t>
  </si>
  <si>
    <t>Drogi wewnetrzne</t>
  </si>
  <si>
    <t>Cmentarze</t>
  </si>
  <si>
    <t>Gospodarka nieruchomościami</t>
  </si>
  <si>
    <t xml:space="preserve">Wydatki na zadania realizowane na podstawie porozumień 
i umów </t>
  </si>
  <si>
    <t>Wynagrodzenia osobowe pracowników</t>
  </si>
  <si>
    <t xml:space="preserve">Wydatki na zadania realizowane na podstawie porozumień i umów </t>
  </si>
  <si>
    <t>Dział  854 - Edukacyjna opieka wychowawcza</t>
  </si>
  <si>
    <t>realizacja projektu "Fundusz stypendialny Miasta Lublin szansą ponadgimnazjalistów z terenów wiejskich"</t>
  </si>
  <si>
    <t>Zespól Szkół Energetycznych</t>
  </si>
  <si>
    <t>§ 3248</t>
  </si>
  <si>
    <t>§ 3249</t>
  </si>
  <si>
    <t>rozdz. 85401 - Świetlice szkolne</t>
  </si>
  <si>
    <t>Dotacje celowe otrzymane z budżetu państwa na realizację zadań bieżących z zakresu administracji rządowej oraz innych zadań zleconych gminie ustawami</t>
  </si>
  <si>
    <t>Kolonie i obozy oraz inne formy wypoczynku dzieci i młodzieży 
szkolnej, a także szkolenia młodzieży</t>
  </si>
  <si>
    <t xml:space="preserve">organizacja obozów szkoleniowych w okresie ferii zimowych </t>
  </si>
  <si>
    <t>organizacja obozów szkoleniowych i imprez sportowo-rekreacyjnych w okresie ferii zimowych i wakacji letnich, z tego:</t>
  </si>
  <si>
    <t>organizacja obozów szkoleniowych w okresie wakacji letnich</t>
  </si>
  <si>
    <t>wspieranie sportu kwalifikowanego</t>
  </si>
  <si>
    <t>Turystyka</t>
  </si>
  <si>
    <t>Ośrodki informacji turystycznej</t>
  </si>
  <si>
    <t>Zadania w zakresie upowszechniania turystyki</t>
  </si>
  <si>
    <t>Załącznik nr 12</t>
  </si>
  <si>
    <t>Harmonogram realizacji wydatków budżetu miasta w 2006 roku</t>
  </si>
  <si>
    <t>Prezydenta Miasta Lublin</t>
  </si>
  <si>
    <t>w złotych</t>
  </si>
  <si>
    <t>Treść</t>
  </si>
  <si>
    <t>Plan</t>
  </si>
  <si>
    <t>Miesiące</t>
  </si>
  <si>
    <t>Dział</t>
  </si>
  <si>
    <t>Rozdz.</t>
  </si>
  <si>
    <t>(nazwa działu, rozdziału)</t>
  </si>
  <si>
    <t>na 2006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</si>
  <si>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</si>
  <si>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</si>
  <si>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</si>
  <si>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</si>
  <si>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</si>
  <si>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</si>
  <si>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</si>
  <si>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</si>
  <si>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</si>
  <si>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</si>
  <si>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</si>
  <si>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</si>
  <si>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ogółem</t>
  </si>
  <si>
    <t>z tego:</t>
  </si>
  <si>
    <t>1. Urząd Miasta</t>
  </si>
  <si>
    <t>Wydatki na zadania własne</t>
  </si>
  <si>
    <t>Bezpieczeństwo publiczne i ochrona przeciwpożarowa</t>
  </si>
  <si>
    <t>Różne rozliczenia</t>
  </si>
  <si>
    <t>Rezerwy ogólne i celowe</t>
  </si>
  <si>
    <t>Transport i łączność</t>
  </si>
  <si>
    <t>Lokalny transport zbiorowy</t>
  </si>
  <si>
    <t>Pozostała działalność</t>
  </si>
  <si>
    <t>Oświata i wychowanie</t>
  </si>
  <si>
    <t>Pomoc społeczna</t>
  </si>
  <si>
    <t>Edukacyjna opieka wychowawcza</t>
  </si>
  <si>
    <t>Ochrona zdrowia</t>
  </si>
  <si>
    <t>Administracja publiczna</t>
  </si>
  <si>
    <t xml:space="preserve">Podział planowanych dochodów i wydatków budżetu miasta </t>
  </si>
  <si>
    <t>na 2006 rok według jednostek organizacyjnych realizujących budżet</t>
  </si>
  <si>
    <t xml:space="preserve">Rozdz.      </t>
  </si>
  <si>
    <t>§</t>
  </si>
  <si>
    <t xml:space="preserve">Treść   </t>
  </si>
  <si>
    <t>Dochody</t>
  </si>
  <si>
    <t>Wydatki</t>
  </si>
  <si>
    <t>Zmniejszenia</t>
  </si>
  <si>
    <t>Zwiększenia</t>
  </si>
  <si>
    <t>Ogółem</t>
  </si>
  <si>
    <t>1.1 Wydział Bezpieczeństwa Mieszkańców i Zarządzania  Kryzysowego</t>
  </si>
  <si>
    <t xml:space="preserve">Wydatki na zadania własne </t>
  </si>
  <si>
    <t>Zakup materiałów i wyposażenia</t>
  </si>
  <si>
    <t>Zakup usług pozostałych</t>
  </si>
  <si>
    <t>Rezerwy</t>
  </si>
  <si>
    <t>Urzędy miast i miast na prawach powiatu</t>
  </si>
  <si>
    <t>wydatki rzeczowe</t>
  </si>
  <si>
    <t>Wydatki budżetu miasta na 2006 rok</t>
  </si>
  <si>
    <t>Dz.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</si>
  <si>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</si>
  <si>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849/XXXVI/2005                              
Rady Miasta Lublin
z 29.12.2005 r. 
z późn. zm.                      </t>
  </si>
  <si>
    <t>Plan po zmianach</t>
  </si>
  <si>
    <t>Wydatki                                                                                                                               (nazwa działu, rozdziału, zadania)</t>
  </si>
  <si>
    <t>Przeciwdziałanie alkoholizmowi</t>
  </si>
  <si>
    <t>Wynagrodzenia bezosobowe</t>
  </si>
  <si>
    <t>Wydatki na zadania realizowane na podstawie porozumień i umów</t>
  </si>
  <si>
    <t>Wydatki na zadania zlecone, z tego:</t>
  </si>
  <si>
    <t>Wydatki na zadania ustawowo zlecone gminie</t>
  </si>
  <si>
    <t>Wydatki na zadania z zakresu administracji rządowej wykonywane przez powiat</t>
  </si>
  <si>
    <t>Gospodarka mieszkaniowa</t>
  </si>
  <si>
    <t>Gospodarka gruntami i nieruchomościami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</si>
  <si>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</si>
  <si>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</si>
  <si>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2006 rok</t>
  </si>
  <si>
    <t>Zmiany</t>
  </si>
  <si>
    <t>Plan wydatków 
po zmianach</t>
  </si>
  <si>
    <t>Rozdz.
§</t>
  </si>
  <si>
    <t>(nazwa działu, rozdziału, źródła dochodów, zadania, paragrafu)</t>
  </si>
  <si>
    <t>Zadania zlecone ogółem</t>
  </si>
  <si>
    <t>Zadania ustawowo zlecone gminie</t>
  </si>
  <si>
    <t>Zadania z zakresu administracji rządowej wykonywane przez powiat</t>
  </si>
  <si>
    <t>Pozostałe zadania w zakresie polityki społecznej</t>
  </si>
  <si>
    <t>pochodne od wynagrodzeń</t>
  </si>
  <si>
    <t>Wydatki
według uchwały    
nr 849XXXVI/2005                              
Rady Miasta Lublin
z 29.12.2005 r.
z późn. zm.</t>
  </si>
  <si>
    <t>Szkoły zawodowe</t>
  </si>
  <si>
    <t xml:space="preserve">Przedszkola </t>
  </si>
  <si>
    <t>Zakup usług remontowych - remonty przedszkoli</t>
  </si>
  <si>
    <t>Dodatkowe wynagrodzenie roczne</t>
  </si>
  <si>
    <t>inwestycyjne</t>
  </si>
  <si>
    <t>jednostek</t>
  </si>
  <si>
    <t>budżetowych</t>
  </si>
  <si>
    <t>Wydatki na zakupy inwestycyjne jednostek budżetowych</t>
  </si>
  <si>
    <t>§ 6060</t>
  </si>
  <si>
    <t>na zakupy</t>
  </si>
  <si>
    <t>remonty przedszkoli</t>
  </si>
  <si>
    <t xml:space="preserve">dotacje dla publicznych i niepublicznych przedszkoli </t>
  </si>
  <si>
    <t>Dotacja podmiotowa z budżetu dla niepublicznej jednostki systemu oświaty</t>
  </si>
  <si>
    <t>Przedszkole Niepubliczne z Oddziałami Integracyjnymi im. bł. Bolesławy Lament; Zgromadzenie Sióstr Misjonarek Św. Rodziny, ul. Słowackiego 11, 05-806 Komorów k. Warszawy</t>
  </si>
  <si>
    <t>Przedszkole Prywatne "JAGODY"; Jadwiga Puła, ul. Skierki 1/77, 20-601 Lublin</t>
  </si>
  <si>
    <t>Prywatne Przedszkole "STRUMYK" A. i W. Rożek nr 1; Anna i Wiesław Rożek, 
ul. Lwowska 24/34, 20-128 Lublin</t>
  </si>
  <si>
    <t>Prywatne Przedszkole "STRUMYK" A. i W. Rożek nr 2; Anna i Wiesław Rożek, 
ul. Lwowska 24/34, 20-128 Lublin</t>
  </si>
  <si>
    <t>Przedszkole Prywatne "PIOTRUŚ PAN 2"; Mirosława Kamienobrodzka, 
ul. Krasińskiego 3/53, 20-709 Lublin</t>
  </si>
  <si>
    <t>Przedszkole Prywatne "MARTYNKA - BIS"; 
Izabela Czechowska, ul. Urzędowska 150, 20-727 Lublin, 
Agnieszka Sałaga, ul. Radomska 8, 20-729 Lublin</t>
  </si>
  <si>
    <t>Poradnie psychologiczno - pedagogiczne, w tym poradnie specjalistyczne</t>
  </si>
  <si>
    <t>Podróże służbowe zagraniczne</t>
  </si>
  <si>
    <t>zajęcia sportowo - rekreacyjne w szkołach</t>
  </si>
  <si>
    <t>Placówki oświatowe - zmiany</t>
  </si>
  <si>
    <t>Inwestycje</t>
  </si>
  <si>
    <t>Pochodne od wynagrodzeń</t>
  </si>
  <si>
    <t>Wydatki rzeczowe</t>
  </si>
  <si>
    <t>Podróże</t>
  </si>
  <si>
    <t>Różne</t>
  </si>
  <si>
    <t>służbowe</t>
  </si>
  <si>
    <t>opłaty</t>
  </si>
  <si>
    <t>krajowe</t>
  </si>
  <si>
    <t>i składki</t>
  </si>
  <si>
    <t>OGÓŁEM</t>
  </si>
  <si>
    <t>Szkoła Podstawowa nr 30</t>
  </si>
  <si>
    <t>Przedszkole nr 28</t>
  </si>
  <si>
    <t>rozdz. 80110 - Gimnazja</t>
  </si>
  <si>
    <t>Gimnazjum nr 14</t>
  </si>
  <si>
    <t>Gimnazjum nr 15</t>
  </si>
  <si>
    <t>Gimnazjum nr 17</t>
  </si>
  <si>
    <t>rozdz. 80120 - Licea ogólnokształcące</t>
  </si>
  <si>
    <t>I Liceum Ogólnokształcące</t>
  </si>
  <si>
    <t>VII Liceum Ogólnokształcące</t>
  </si>
  <si>
    <t>Państwowe Szkoły Budownictwa i Geodezji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</si>
  <si>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</si>
  <si>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</si>
  <si>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</si>
  <si>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</si>
  <si>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</si>
  <si>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</si>
  <si>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</si>
  <si>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</si>
  <si>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</si>
  <si>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</si>
  <si>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</si>
  <si>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</si>
  <si>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Wpłaty na Państwowy Fundusz Rehabilitacji Osób Niepełnosprawnych</t>
  </si>
  <si>
    <t>Składki na ubezpieczenia społeczne</t>
  </si>
  <si>
    <t>Składki na Fundusz Pracy</t>
  </si>
  <si>
    <t>Ochotnicze straże pożarne</t>
  </si>
  <si>
    <t>wydatki ochotniczych straży pożarnych</t>
  </si>
  <si>
    <t>Zakup energii</t>
  </si>
  <si>
    <t>Zakup usług zdrowotnych</t>
  </si>
  <si>
    <t>Różne opłaty i składki</t>
  </si>
  <si>
    <t>Zakup usług remontowych - remonty obiektów</t>
  </si>
  <si>
    <t>zakup świadczeń zdrowotnych</t>
  </si>
  <si>
    <t>Programy polityki zdrowotnej</t>
  </si>
  <si>
    <t>programy zdrowotne</t>
  </si>
  <si>
    <t>Zwalczanie narkomanii</t>
  </si>
  <si>
    <t>pokrycie kosztów obsługi realizowanych zadań</t>
  </si>
  <si>
    <t>Podróże służbowe krajowe</t>
  </si>
  <si>
    <t>zadania realizowane w ramach Gminnego Programu Przeciwdziałania Narkomanii, w tym:</t>
  </si>
  <si>
    <t>Wpłaty jednostek na fundusz celowy</t>
  </si>
  <si>
    <t>zadania realizowane w ramach Gminnego Programu Profilaktyki i Rozwiązywania Problemów Alkoholowych, z tego:</t>
  </si>
  <si>
    <t>zwiększanie dostępności pomocy terapeutycznej
i rehabilitacyjnej dla osób uzależnionych od alkoholu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</si>
  <si>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</si>
  <si>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Zakup środków żywności</t>
  </si>
  <si>
    <t xml:space="preserve">realizacja zadań wynikających ze strategii działań na rzecz osób niepełnosprawnych, z tego: </t>
  </si>
  <si>
    <t>zadania realizowane w ramach Gminnego Programu Profilaktyki i Rozwiązywania Problemów Alkoholowych, w tym:</t>
  </si>
  <si>
    <t>rehabilitacja osób niepełnosprawnych zwiększająca 
ich samodzielność fizyczną i psychiczną</t>
  </si>
  <si>
    <t>prowadzenie innowacyjnych zajęć edukacyjnych dla dzieci 
i młodzieży niepełnosprawnej</t>
  </si>
  <si>
    <t>integracja osób niepełnosprawnych ze społecznością Lublina</t>
  </si>
  <si>
    <t xml:space="preserve">realizacja zadań wynikających ze strategii działań na rzecz osób niepełnosprawnych, w tym: </t>
  </si>
  <si>
    <t>rozdz. 85195 - Pozostała działalność</t>
  </si>
  <si>
    <t>rehabilitacja osób niepełnosprawnych zwiększająca ich samodzielność fizyczną i psychiczną</t>
  </si>
  <si>
    <t>prowadzenie innowacyjnych zajęć edukacyjnych dla dzieci i młodzieży niepełnosprawnej</t>
  </si>
  <si>
    <t>rozdz. 85154 - Przeciwdziałanie alkoholizmowi</t>
  </si>
  <si>
    <t>Zespół Szkół Transportowo - Komunikacyjnych</t>
  </si>
  <si>
    <t>zwiększanie dostępności pomocy terapeutycznej i rehabilitacyjnej dla osób uzależnionych od alkoholu</t>
  </si>
  <si>
    <t>realizacja programów zwiększających świadomość mieszkańców Lublina o przyczynach i skutkach powstawania niepełnosprawności oraz sposobach jej zapobiegania, w szczególności edukacja dzieci i młodzieży w tym zakresie</t>
  </si>
  <si>
    <t>środki w dyspozycji wydziału</t>
  </si>
  <si>
    <t>Dotacja celowa z budżetu na finansowanie lub dofinansowanie zadań zleconych do realizacji stowarzyszeniom</t>
  </si>
  <si>
    <t>Polskie Stowarzyszenie na Rzecz Osób z Upośledzeniem
Umysłowym "Koło" w Lublinie, ul. Rogowskiego 5, 20-840 Lublin</t>
  </si>
  <si>
    <t>Lubelskie Stowarzyszenie Ochrony Zdrowia Psychicznego;
ul. Gospodarcza 32, 20-213 Lublin</t>
  </si>
  <si>
    <t>Polski Związek Głuchych, ul. Leszczyńskiego 50, 20-069 Lublin</t>
  </si>
  <si>
    <t>Lubelskie Stowarzyszenie Alzheimerowskie, ul. Towarowa 19, 20-205 Lublin</t>
  </si>
  <si>
    <t>Stowarzyszenie Klub Kobiet po Mastektomii, ul. Organowa 2 A, 20-850 Lublin</t>
  </si>
  <si>
    <t>Stowarzyszenie Forum Edukacji i Terapii, ul. Królewska 13/22, 20-109 Lublin</t>
  </si>
  <si>
    <t>Stowarzyszenie Chorych na Astmę Oskrzelową, 
ul. Jaczewskiego 8, 20-090 Lublin</t>
  </si>
  <si>
    <t>Krajowe Towarzystwo Autyzmu Oddział w Lublinie, 
ul. Dr. Męcz. Majdanka 20, 20-319 Lublin</t>
  </si>
  <si>
    <t>Charytatywne Stowarzyszenie Niesienia Pomocy Chorym "Misericordia", 
ul. Abramowicka 2 , 20-442 Lublin</t>
  </si>
  <si>
    <t>świadczenie kompleksowego poradnictwa dla osób niepełnosprawnych i ich rodzin, w tym specjalistycznego poradnictwa z zakresu likwidacji barier architektonicznych, transportowych oraz w komunikowaniu się</t>
  </si>
  <si>
    <t xml:space="preserve">organizacja szkoleń i kursów przygotowujących do profesjonalnej pracy 
z osobami niepełnosprawnymi </t>
  </si>
  <si>
    <t>Lubelski Związek Inwalidów Narządu Ruchu, ul. Lubomelska 1/3, 20-072 Lublin</t>
  </si>
  <si>
    <t>Szkoła Podstawowa nr 27</t>
  </si>
  <si>
    <t>Szkoła Podstawowa nr 28</t>
  </si>
  <si>
    <t>Szkoła Podstawowa nr 29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</si>
  <si>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</si>
  <si>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</si>
  <si>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</si>
  <si>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</si>
  <si>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</si>
  <si>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</si>
  <si>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</si>
  <si>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</si>
  <si>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</si>
  <si>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</si>
  <si>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</si>
  <si>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</si>
  <si>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</si>
  <si>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</si>
  <si>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</si>
  <si>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</si>
  <si>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</si>
  <si>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</si>
  <si>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</si>
  <si>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</si>
  <si>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</si>
  <si>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</si>
  <si>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</si>
  <si>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</si>
  <si>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</si>
  <si>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16</t>
  </si>
  <si>
    <t>Gimnazjum nr 18</t>
  </si>
  <si>
    <t>Gimnazjum nr 19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</si>
  <si>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</si>
  <si>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</si>
  <si>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</si>
  <si>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</si>
  <si>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</si>
  <si>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VIII Liceum Ogólnokształcące</t>
  </si>
  <si>
    <t>IX Liceum Ogólnokształcące</t>
  </si>
  <si>
    <t>Zespół Szkół Ogólnokształcących nr 2</t>
  </si>
  <si>
    <t>Zespół Szkół Ogólnokształcących nr 4</t>
  </si>
  <si>
    <t>Zespół Szkół Ogólnokształcących nr 5</t>
  </si>
  <si>
    <t>Zespół Szkół Ogólnokształcących nr 6</t>
  </si>
  <si>
    <t>Zespół Szkół Odzieżowo-Włókienniczych</t>
  </si>
  <si>
    <t>Zespół Szkół Chemicznych i Przemysłu Spożywczego</t>
  </si>
  <si>
    <t>Zespół Szkół  nr 3</t>
  </si>
  <si>
    <t>Lubelskie Centrum Edukacji Zawodowej</t>
  </si>
  <si>
    <t>Dział 854 - Edukacyjna opieka wychowawcza</t>
  </si>
  <si>
    <t>Zespół Poradni nr 1</t>
  </si>
  <si>
    <t>Zespół Poradni nr 2</t>
  </si>
  <si>
    <t>Zespół Poradni nr 3</t>
  </si>
  <si>
    <t>Bursa Szkolna nr 2</t>
  </si>
  <si>
    <t>Bursa Szkolna nr 3</t>
  </si>
  <si>
    <t>Wydatki inwestycyjne jednostek budżetowych</t>
  </si>
  <si>
    <t>inwestycje</t>
  </si>
  <si>
    <t>Gospodarka komunalna i ochrona środowiska</t>
  </si>
  <si>
    <t>ogółem</t>
  </si>
  <si>
    <t xml:space="preserve">wynagrodzenia </t>
  </si>
  <si>
    <t>2. Komenda Straży Miejskiej</t>
  </si>
  <si>
    <t>Straż Miejska</t>
  </si>
  <si>
    <t>zagospodarowanie terenu wokół wielofunkcyjnej hali sportowo-widowiskowej przy ul. Kazimierza Wielkiego</t>
  </si>
  <si>
    <t>otwarte składane sztuczne lodowisko</t>
  </si>
  <si>
    <t>modernizacja ujęcia wody i hydroforni przy ul. Kazimierza Wielkiego</t>
  </si>
  <si>
    <t>Dotacje celowe z budżetu na finansowanie lub dofinansowanie kosztów realizacji inwestycji i zakupów inwestycyjnych zakładów budżetowych</t>
  </si>
  <si>
    <t>modernizacja hali sportowo - widowiskowej przy Al. Zygmuntowskich 4 - etap II</t>
  </si>
  <si>
    <t>dotacja dla MOSiR "Bystrzyca", w tym:</t>
  </si>
  <si>
    <t>inwestycje, w tym:</t>
  </si>
  <si>
    <t>Zestawienie przychodów i wydatków zakładów budżetowych, gospodarstw pomocniczych</t>
  </si>
  <si>
    <t>oraz rachunku dochodów własnych na 2006 rok</t>
  </si>
  <si>
    <t>w  złotych</t>
  </si>
  <si>
    <t>Przychody wg uchwały nr 849/XXXVI/2005 Rady Miasta Lublin z dnia 29.12.2005 r. 
z późn. zm.</t>
  </si>
  <si>
    <t>Przychody / Dochody 
po zmianach</t>
  </si>
  <si>
    <t>Wydatki wg uchwały nr 849/XXXVI/2005 Rady Miasta Lublin z dnia 29.12.2005 r. 
z późn. zm.</t>
  </si>
  <si>
    <t>Wydatki po zmianach</t>
  </si>
  <si>
    <t xml:space="preserve">w tym: dotacja
z budżetu                                </t>
  </si>
  <si>
    <t>Stawka dotacji</t>
  </si>
  <si>
    <t>w tym dotacja 
z budżetu</t>
  </si>
  <si>
    <t xml:space="preserve">Zakres dotacji </t>
  </si>
  <si>
    <t xml:space="preserve">w tym:             wynagrodzenia  </t>
  </si>
  <si>
    <t xml:space="preserve">Razem zakłady budżetowe </t>
  </si>
  <si>
    <t>dotacje celowe na inwestycje</t>
  </si>
  <si>
    <t>Miejski Ośrodek Sportu i Rekreacji "Bystrzyca"</t>
  </si>
  <si>
    <t>w tym:</t>
  </si>
  <si>
    <t>Razem gospodarstwa pomocnicze</t>
  </si>
  <si>
    <t>Razem rachunki dochodów własnych</t>
  </si>
  <si>
    <t>Lecznictwo ambulatoryjne</t>
  </si>
  <si>
    <t>wydatki związane z likwidacją Zespołu Opieki Zdrowotnej 
w Lublinie SP ZOZ</t>
  </si>
  <si>
    <t>wydatki związane z likwidacją Zespołu Opieki Zdrowotnej w Lublinie SP ZOZ</t>
  </si>
  <si>
    <t>modernizacje obiektów</t>
  </si>
  <si>
    <t>1.3 Wydział Organizacyjny</t>
  </si>
  <si>
    <t>1.4 Wydział Spraw Społecznych</t>
  </si>
  <si>
    <t>1.5 Wydział Strategii i Rozwoju</t>
  </si>
  <si>
    <t>dotacja celowa z budżetu państwa na pomoc materialną dla uczniów 
w ramach Narodowego Programu Stypendialnego</t>
  </si>
  <si>
    <t>pomoc materialna dla uczniów w ramach Narodowego Programu Stypendialnego</t>
  </si>
  <si>
    <t>Stypendia dla uczniów</t>
  </si>
  <si>
    <t>Inne formy pomocy dla uczniów</t>
  </si>
  <si>
    <t>1.4 Wydział Oświaty i Wychowania</t>
  </si>
  <si>
    <t>Wynagrodzenia</t>
  </si>
  <si>
    <t xml:space="preserve">       Nazwa</t>
  </si>
  <si>
    <t>§ 4040</t>
  </si>
  <si>
    <t>§ 4170</t>
  </si>
  <si>
    <t>§ 4110</t>
  </si>
  <si>
    <t>§ 4120</t>
  </si>
  <si>
    <t>§ 3240</t>
  </si>
  <si>
    <t>§ 3260</t>
  </si>
  <si>
    <t>§ 4140</t>
  </si>
  <si>
    <t>§ 4210</t>
  </si>
  <si>
    <t>§ 4220</t>
  </si>
  <si>
    <t>§ 4240</t>
  </si>
  <si>
    <t>§ 4260</t>
  </si>
  <si>
    <t>§ 4270</t>
  </si>
  <si>
    <t>§ 4300</t>
  </si>
  <si>
    <t xml:space="preserve">  § 4410</t>
  </si>
  <si>
    <t>§ 4420</t>
  </si>
  <si>
    <t>§ 4430</t>
  </si>
  <si>
    <t xml:space="preserve">           paragrafu</t>
  </si>
  <si>
    <t>Dodatkowe</t>
  </si>
  <si>
    <t>Wynagro-</t>
  </si>
  <si>
    <t>Składki na</t>
  </si>
  <si>
    <t>Składki</t>
  </si>
  <si>
    <t>Stypendia</t>
  </si>
  <si>
    <t>Inne formy</t>
  </si>
  <si>
    <t>Wpłaty na</t>
  </si>
  <si>
    <t>Zakup</t>
  </si>
  <si>
    <t>wynagr.</t>
  </si>
  <si>
    <t>dzenia</t>
  </si>
  <si>
    <t>ubezpiecz.</t>
  </si>
  <si>
    <t xml:space="preserve">na </t>
  </si>
  <si>
    <t>dla</t>
  </si>
  <si>
    <t>pomocy</t>
  </si>
  <si>
    <t>Państwowy</t>
  </si>
  <si>
    <t xml:space="preserve">materiałów </t>
  </si>
  <si>
    <t>środków</t>
  </si>
  <si>
    <t>energii</t>
  </si>
  <si>
    <t xml:space="preserve">usług </t>
  </si>
  <si>
    <t>usług</t>
  </si>
  <si>
    <t>roczne</t>
  </si>
  <si>
    <t>bezosobowe</t>
  </si>
  <si>
    <t>społeczne</t>
  </si>
  <si>
    <t>Fundusz</t>
  </si>
  <si>
    <t>uczniów</t>
  </si>
  <si>
    <t xml:space="preserve">dla </t>
  </si>
  <si>
    <t>i</t>
  </si>
  <si>
    <t>żywności</t>
  </si>
  <si>
    <t>naukowych,</t>
  </si>
  <si>
    <t>remontowych</t>
  </si>
  <si>
    <t>pozostałych</t>
  </si>
  <si>
    <t>zagran.</t>
  </si>
  <si>
    <t>Razem</t>
  </si>
  <si>
    <t>Pracy</t>
  </si>
  <si>
    <t>Rehabilitacji</t>
  </si>
  <si>
    <t>wyposażenia</t>
  </si>
  <si>
    <t>dydaktycznych</t>
  </si>
  <si>
    <t xml:space="preserve">Osób </t>
  </si>
  <si>
    <t>i książek</t>
  </si>
  <si>
    <t xml:space="preserve">       szkoły</t>
  </si>
  <si>
    <t>Niepełnospr.</t>
  </si>
  <si>
    <t>Dział 801 - Oświata i wychowanie</t>
  </si>
  <si>
    <t>Pogotowie Opiekuńcze (SP)</t>
  </si>
  <si>
    <t xml:space="preserve">rozdz. 80104 - Przedszkola </t>
  </si>
  <si>
    <t>rozdz. 80121 - Licea ogólnokształcące specjalne</t>
  </si>
  <si>
    <t xml:space="preserve">Zespół Szkół nr 3 </t>
  </si>
  <si>
    <t>rozdz. 80123 - Licea profilowane</t>
  </si>
  <si>
    <t>Zespół Szkół Odzieżowo-Włókienniczych (X LP)</t>
  </si>
  <si>
    <t>Zespół Szkół nr 3 (XI LP z Oddziałami Integracyjnymi)</t>
  </si>
  <si>
    <t>rozdz. 80130 - Szkoły zawodowe</t>
  </si>
  <si>
    <t>Zespół Szkół Budowlanych</t>
  </si>
  <si>
    <t>Zespół Szkół Ekonomicznych</t>
  </si>
  <si>
    <t>Zespół Szkół Elektronicznych</t>
  </si>
  <si>
    <t>Zespół Szkół Energetycznych</t>
  </si>
  <si>
    <t xml:space="preserve">Zespół Szkół Transportowo-Komunikacyjnych </t>
  </si>
  <si>
    <t>Zespół Szkół Samochodowych</t>
  </si>
  <si>
    <t>Zespół Szkół nr 1</t>
  </si>
  <si>
    <t>Zespół Szkół nr 3</t>
  </si>
  <si>
    <t>Zespół Szkół nr 5</t>
  </si>
  <si>
    <t>Zespół Szkół nr 6</t>
  </si>
  <si>
    <t>rozdz. 80132 - Szkoły artystyczne</t>
  </si>
  <si>
    <t>Szkoła Muzyczna I i II stopnia im. T. Szeligowskiego</t>
  </si>
  <si>
    <t xml:space="preserve">rozdz. 80134 - Szkoły zawodowe specjalne </t>
  </si>
  <si>
    <t>Zespół Szkół Ogólnokształcących nr 1</t>
  </si>
  <si>
    <t>Zespół Szkół nr 4</t>
  </si>
  <si>
    <t>Specjalny Ośrodek Szkolno - Wychowawczy dla Dzieci 
i Młodzieży Niesłyszącej i Słabo Słyszącej</t>
  </si>
  <si>
    <t>Poradnia Psychologiczno-Pedagogiczna nr 3</t>
  </si>
  <si>
    <t>rozdz. 85410 -  Internaty i bursy szkolne</t>
  </si>
  <si>
    <t>Zespół Szkół Transportowo-Komunikacyjnych</t>
  </si>
  <si>
    <t>rozdz. 85415 - Pomoc materialna dla uczniów</t>
  </si>
  <si>
    <t>Specjalny Ośrodek Szkolno -Wychowawczy nr 1</t>
  </si>
  <si>
    <t>rozdz. 85495 - Pozostała działalność (stołówki szkolne)</t>
  </si>
  <si>
    <t>Dział 926 - Kultura fizyczna i sport</t>
  </si>
  <si>
    <t>rozdz. 92605 - Zadania w zakresie kultury fizycznej 
i sportu</t>
  </si>
  <si>
    <t>zajęcia sportowo-rekreacyjne w szkołach</t>
  </si>
  <si>
    <t>Zespół Szkół Odzieżowo - Włókienniczych</t>
  </si>
  <si>
    <t>Dział 851 - Ochrona zdrowia</t>
  </si>
  <si>
    <t>Specjalny Ośrodek Szkolno -Wychowawczy nr 2</t>
  </si>
  <si>
    <t>dotacje celowa z budżetu państwa na realizację projektu "Podajmy sobie ręce"</t>
  </si>
  <si>
    <t>Dotacje celowe otrzymane z budżetu państwa na realizację zadań bieżących 
z zakresu administracji rządowej oraz innych zadań zleconych gminie ustawami</t>
  </si>
  <si>
    <t>realizacja projektu "Podajmy sobie ręce"</t>
  </si>
  <si>
    <t>Przedszkola</t>
  </si>
  <si>
    <t>Pomoc materialna dla uczniów</t>
  </si>
  <si>
    <t>Wydatki realizowane na podstawie porozumień i umów</t>
  </si>
  <si>
    <t>Szkoły podstawowe</t>
  </si>
  <si>
    <t>Gimnazja</t>
  </si>
  <si>
    <t>Licea ogólnokształcące</t>
  </si>
  <si>
    <t>Placówki wychowania pozaszkolnego</t>
  </si>
  <si>
    <t>Dokształcanie i doskonalenie nauczycieli</t>
  </si>
  <si>
    <t>Zakup pomocy naukowych, dydaktycznych i książek</t>
  </si>
  <si>
    <t>Drogi publiczne w miastach na prawach powiatu</t>
  </si>
  <si>
    <t>Dotacje celowe z budżetu państwa na zadania zlecone z zakresu administracji rządowej</t>
  </si>
  <si>
    <t>Dochody budżetu miasta na 2006 rok</t>
  </si>
  <si>
    <t>Dochody                                                                                                                                            (nazwa działu, rozdziału, źródła dochodów, paragrafu)</t>
  </si>
  <si>
    <t xml:space="preserve">Plan według uchwały    
nr 849/XXXVI/2005                              
Rady Miasta Lublin
z 29.12.2005 r.
z późn. zm.                    </t>
  </si>
  <si>
    <t>Dochody budżetu miasta ogółem</t>
  </si>
  <si>
    <t>Dochody własne</t>
  </si>
  <si>
    <t>Subwencje i dotacja rekompensująca</t>
  </si>
  <si>
    <t>Dotacje celowe i inne środki na zadania własne</t>
  </si>
  <si>
    <t>Dotacje celowe i inne środki na zadania realizowane na podstawie porozumień i umów</t>
  </si>
  <si>
    <t xml:space="preserve">Dotacje celowe z budżetu państwa na zadania zlecone z zakresu administracji rządowej </t>
  </si>
  <si>
    <t>Subwencje</t>
  </si>
  <si>
    <t>Domy pomocy społecznej</t>
  </si>
  <si>
    <t xml:space="preserve">Dotacje celowe z budżetu państwa na zadania z zakresu administracji rządowej </t>
  </si>
  <si>
    <r>
      <t>Dochody gminy ogółem,</t>
    </r>
    <r>
      <rPr>
        <sz val="10"/>
        <rFont val="Arial CE"/>
        <family val="2"/>
      </rPr>
      <t xml:space="preserve"> z tego:</t>
    </r>
  </si>
  <si>
    <t>Dochody                                                                                                                                            (nazwa działu, rozdziału, źródła dochodów)</t>
  </si>
  <si>
    <t>Dochody gminy, z tego:</t>
  </si>
  <si>
    <t>Harmonogram realizacji dochodów budżetu miasta  w 2006 roku</t>
  </si>
  <si>
    <t xml:space="preserve">Plan </t>
  </si>
  <si>
    <t xml:space="preserve">Rozdz. </t>
  </si>
  <si>
    <t xml:space="preserve"> (nazwa działu, rozdziału)</t>
  </si>
  <si>
    <t>Dochody ogółem</t>
  </si>
  <si>
    <t>1.1 Wydział Finansowy</t>
  </si>
  <si>
    <t>Internaty i bursy szkolne</t>
  </si>
  <si>
    <t>Przedszkole nr 34</t>
  </si>
  <si>
    <t>Przedszkole nr 44</t>
  </si>
  <si>
    <t>Zespół Szkół Włókienniczych</t>
  </si>
  <si>
    <t>Centra kształcenia ustawicznego 
i praktycznego oraz ośrodki dokształcania zawodowego</t>
  </si>
  <si>
    <t>Załącznik nr 1</t>
  </si>
  <si>
    <t>Załącznik nr 2</t>
  </si>
  <si>
    <t>Załącznik nr 3</t>
  </si>
  <si>
    <t>Załącznik nr 4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</si>
  <si>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</si>
  <si>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</si>
  <si>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</si>
  <si>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</si>
  <si>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</si>
  <si>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</si>
  <si>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</si>
  <si>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</si>
  <si>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</si>
  <si>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</si>
  <si>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</si>
  <si>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</si>
  <si>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</si>
  <si>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</si>
  <si>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</si>
  <si>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</si>
  <si>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</si>
  <si>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</si>
  <si>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31</t>
  </si>
  <si>
    <t>Przedszkole nr 32</t>
  </si>
  <si>
    <t>Przedszkole nr 33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</si>
  <si>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</si>
  <si>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</si>
  <si>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</si>
  <si>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</si>
  <si>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</si>
  <si>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</si>
  <si>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</si>
  <si>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</si>
  <si>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</si>
  <si>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</si>
  <si>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</si>
  <si>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</si>
  <si>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</si>
  <si>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</si>
  <si>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</si>
  <si>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</si>
  <si>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</si>
  <si>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</si>
  <si>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</si>
  <si>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</si>
  <si>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</si>
  <si>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</si>
  <si>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</si>
  <si>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</si>
  <si>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</si>
  <si>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</si>
  <si>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</si>
  <si>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</si>
  <si>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</si>
  <si>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</si>
  <si>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</si>
  <si>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</si>
  <si>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</si>
  <si>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</si>
  <si>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</si>
  <si>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</si>
  <si>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</si>
  <si>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Wydatki osobowe niezaliczone do wynagrodzeń</t>
  </si>
  <si>
    <t>Centra kształcenia ustawicznego i praktycznego oraz ośrodki 
dokształcania zawodowego</t>
  </si>
  <si>
    <t>Planowane wydatki majątkowe na 2006 rok</t>
  </si>
  <si>
    <t>Plan według uchwały    
nr 849/XXXVI/2005                              
Rady Miasta Lublin
z 29.12.2005 r.
z późn. zm.</t>
  </si>
  <si>
    <t>z tego ze środków: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</si>
  <si>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</si>
  <si>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</si>
  <si>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</si>
  <si>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</si>
  <si>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</si>
  <si>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</si>
  <si>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Ogółem wydatki majątkowe</t>
  </si>
  <si>
    <t>zakupy inwestycyjne</t>
  </si>
  <si>
    <t>Wydatki na zadania zlecone</t>
  </si>
  <si>
    <t>Plan remontów na 2006 rok</t>
  </si>
  <si>
    <t xml:space="preserve">Nazwa: działu, rozdziału, zadania </t>
  </si>
  <si>
    <t>Zmniejszenie</t>
  </si>
  <si>
    <t>Ogółem remonty</t>
  </si>
  <si>
    <t>Zadania własne</t>
  </si>
  <si>
    <t xml:space="preserve">Plan według uchwały    
nr 849/XXXVI/2005                             
Rady Miasta Lublin
z 29.12.2005 r.     
z późn. zm.            </t>
  </si>
  <si>
    <t>Drogi publiczne gminne</t>
  </si>
  <si>
    <t>Działalność usługowa</t>
  </si>
  <si>
    <t>Plany zagospodarowania przestrzennego</t>
  </si>
  <si>
    <t>Gospodarka ściekowa i ochrona wód</t>
  </si>
  <si>
    <t>Gospodarka odpadami</t>
  </si>
  <si>
    <t>Oczyszczanie miast i wsi</t>
  </si>
  <si>
    <t>Kultura i ochrona dziedzictwa narodowego</t>
  </si>
  <si>
    <t>Kultura fizyczna i sport</t>
  </si>
  <si>
    <t>Centra kultury i sztuki</t>
  </si>
  <si>
    <t>Instytucje kultury fizycznej</t>
  </si>
  <si>
    <t>rezerwa celowa na finansowanie projektów współfinansowanych ze środków Unii Europejskiej</t>
  </si>
  <si>
    <t>Pozostałe zadania w zakresie kultury</t>
  </si>
  <si>
    <t>dokształcanie i doskonalenie zawodowe nauczycieli</t>
  </si>
  <si>
    <t xml:space="preserve">1.2 Wydział Finansowy </t>
  </si>
  <si>
    <t>Usługi opiekuńcze i specjalistyczne usługi opiekuńcze</t>
  </si>
  <si>
    <t>Ośrodki pomocy społecznej</t>
  </si>
  <si>
    <t>Oddziały przedszkolne w szkołach podstawowych</t>
  </si>
  <si>
    <t>Szkoły podstawowe specjalne</t>
  </si>
  <si>
    <t>Przedszkola specjalne</t>
  </si>
  <si>
    <t>Gimnazja specjalne</t>
  </si>
  <si>
    <t>Dowożenie uczniów do szkół</t>
  </si>
  <si>
    <t>Licea ogólnokształcące specjalne</t>
  </si>
  <si>
    <t>Licea profilowane</t>
  </si>
  <si>
    <t>Licea profilowane specjalne</t>
  </si>
  <si>
    <t>Szkoły artystyczne</t>
  </si>
  <si>
    <t>Szkoły zawodowe specjalne</t>
  </si>
  <si>
    <t>Zadania w zakresie kultury fizycznej i sportu</t>
  </si>
  <si>
    <t>Świetlice szkolne</t>
  </si>
  <si>
    <t>Specjalne ośrodki szkolno-wychowawcze</t>
  </si>
  <si>
    <t>Poradnie psychologiczno - pedagogiczne, 
w tym poradnie specjalistyczne</t>
  </si>
  <si>
    <t>Szkolne schroniska młodzieżowe</t>
  </si>
  <si>
    <t>Młodzieżowe ośrodki socjoterapii</t>
  </si>
  <si>
    <t>Składki na ubezpieczenie zdrowotne oraz świadczenia dla osób nieobjętych obowiązkiem ubezpieczenia zdrowotnego</t>
  </si>
  <si>
    <t>Wydatki na zadania realizowane 
na podstawie porozumień i umów</t>
  </si>
  <si>
    <t>Dotacje celowe otrzymane z budżetu państwa na realizację własnych zadań bieżących gmin</t>
  </si>
  <si>
    <t>Placówki opiekuńczo-wychowawcze</t>
  </si>
  <si>
    <t>Załącznik nr 5</t>
  </si>
  <si>
    <t>Kary i odszkodowania wypłacane na rzecz osób fizycznych</t>
  </si>
  <si>
    <t>rezerwa budżetowa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</si>
  <si>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</si>
  <si>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</si>
  <si>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</si>
  <si>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</si>
  <si>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</si>
  <si>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</si>
  <si>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stołówki szkolne, w tym:</t>
  </si>
  <si>
    <t>Ochrona zabytków i opieka nad zabytkami</t>
  </si>
  <si>
    <t>Zadania zlecone</t>
  </si>
  <si>
    <t>Plan dochodów 
po zmianach</t>
  </si>
  <si>
    <t>Dochody
według uchwały    
nr 849/XXXVI/2005                              
Rady Miasta Lublin
z 29.12.2005 r.
z późn. zm.</t>
  </si>
  <si>
    <t>Centrum Kształcenia Ustawicznego nr 1</t>
  </si>
  <si>
    <t>Zakup usług remontowych - remonty szkół</t>
  </si>
  <si>
    <t xml:space="preserve">termomodernizacje obiektów </t>
  </si>
  <si>
    <t>remonty szkół</t>
  </si>
  <si>
    <t>remonty obiektów</t>
  </si>
  <si>
    <t>termomodernizacje obiektów</t>
  </si>
  <si>
    <t>rozdz. 80101 - Szkoły podstawowe</t>
  </si>
  <si>
    <t>Zespół Szkół Ogólnokształcących nr 5 (SP nr 22)</t>
  </si>
  <si>
    <t>85403 - Specjalne ośrodki szkolno-wychowawcze</t>
  </si>
  <si>
    <t>Specjalny Ośrodek Szkolno - Wychowawczy dla Dzieci 
i Młodzieży Słabo Widzącej</t>
  </si>
  <si>
    <t>Bursa Szkolna nr 1</t>
  </si>
  <si>
    <t>§ 6050</t>
  </si>
  <si>
    <t>Euroregiony</t>
  </si>
  <si>
    <t xml:space="preserve">realizacja projektu „Współpraca kulturalna Lublina, Brześcia i Łucka – działania informacyjne i artystyczne” </t>
  </si>
  <si>
    <t>modernizacje szkół</t>
  </si>
  <si>
    <t>Zasiłki i pomoc w naturze oraz składki
na ubezpieczenia emerytalne i rentowe</t>
  </si>
  <si>
    <t>,</t>
  </si>
  <si>
    <t>organizacja obozów szkoleniowych i imprez sportowo-rekreacyjnych w okresie ferii zimowych i wakacji letnich, w tym:</t>
  </si>
  <si>
    <t>Uczniowski Klub Sportowy "Skarpa"; ul. Radości 13, 20-533 Lublin</t>
  </si>
  <si>
    <t>Lubelski Klub Karate Kyokushin; ul. Głowackiego 35, 20-060 Lublin</t>
  </si>
  <si>
    <t>Kolejowy Klub Sportowy "Sygnał"; ul. Zemborzycka 3, 20-450 Lublin</t>
  </si>
  <si>
    <t>Uczniowskie Towarzystwo Sportowe "Orlik"; ul. Rzeckiego 10, 20-637 Lublin</t>
  </si>
  <si>
    <t>Klub Piłkarski "Wieniawa Lublin"; al. Piłsudskiego 22, 20-011 Lublin</t>
  </si>
  <si>
    <t>Budowlany Klub Sportowy; ul. Inżynierska 10, 20-484 Lublin</t>
  </si>
  <si>
    <t>Klub Sportowy "Budowlani"; ul. Krasińskiego 11, 20-709 Lublin</t>
  </si>
  <si>
    <t>Stowarzyszenie Lokalne "Kalina" SOS; ul. Kalinowszczyzna 3, 20-129 Lublin</t>
  </si>
  <si>
    <t>Lubelski Klub Piłkarski "Motor"; Al. Zygmuntowskie 5, 20-101 Lublin</t>
  </si>
  <si>
    <t>Towarzystwo Piłki Siatkowej; Al. Zygmuntowskie 5, 20-101 Lublin</t>
  </si>
  <si>
    <t>Uczniowski Klub Sportowy "WIDOK" SP nr 51; ul. Bursztynowa 22, 20-576 Lublin</t>
  </si>
  <si>
    <t>Uczniowski Osiedlowy Klub Sportowy "Sławin"; ul. Zbożowa 75, 20-857 Lublin</t>
  </si>
  <si>
    <t>MKS Towarzystwo Piłki Ręcznej; Al. Zygmuntowskie 5, 20-101 Lublin</t>
  </si>
  <si>
    <t>Lubelski Klub Oyamas Karate Kyokushinkai; ul. Nowowiejskiego 6/13, 20-880 Lublin</t>
  </si>
  <si>
    <t>Miejski Klub Sportowy "Start"; al. Piłsudskiego 22, 20-011 Lublin</t>
  </si>
  <si>
    <t>Integracyjne Centrum Sportu i Rehabilitacji "Start"; al. Piłsudskiego 22, 20-011 Lublin</t>
  </si>
  <si>
    <t>Stowarzyszenie Piłki Ręcznej; ul. Mełgiewska 2, 20-209 Lublin</t>
  </si>
  <si>
    <t>1.2 Wydział Organizacyjny</t>
  </si>
  <si>
    <t>1.3 Wydział Oświaty i Wychowania</t>
  </si>
  <si>
    <t>3. Dom Pomocy Społecznej dla Osób Niepełnosprawnych Fizycznie</t>
  </si>
  <si>
    <t>4. Zespół Dziennych Domów 
Pomocy Społecznej</t>
  </si>
  <si>
    <t>5. Miejski Ośrodek Pomocy Rodzinie</t>
  </si>
  <si>
    <t>6. Miejski Urząd Pracy</t>
  </si>
  <si>
    <t>1.5 Wydział Spraw Społecznych</t>
  </si>
  <si>
    <t>1.6 Wydział Strategii i Rozwoju</t>
  </si>
  <si>
    <t xml:space="preserve">1.7 Kancelaria Prezydenta Miasta </t>
  </si>
  <si>
    <t>2.  Zespół Dziennych Domów Pomocy Społecznej</t>
  </si>
  <si>
    <t>3.  Miejski Ośrodek Pomocy Rodzinie</t>
  </si>
  <si>
    <t>4.  Miejski Urząd Pracy</t>
  </si>
  <si>
    <t xml:space="preserve">realizacja zadań wynikających ze strategii działań na rzecz osób niepełnosprawnych, 
w tym: </t>
  </si>
  <si>
    <t>Dochody powiatu ogółem</t>
  </si>
  <si>
    <t>do zarządzenia nr 220/2006</t>
  </si>
  <si>
    <t>z dnia 31 maja 2006 roku</t>
  </si>
  <si>
    <t>w tym remonty</t>
  </si>
  <si>
    <t>w tym wynagrodzenia</t>
  </si>
  <si>
    <t>w tym inwestycje</t>
  </si>
  <si>
    <t xml:space="preserve">realizacja zadań wynikających ze strategii działań na rzecz osób niepełnosprawnych </t>
  </si>
  <si>
    <t>Dotacje celowe z budżetu państwa na zadania zlecone z zakresu 
administracji rządowej</t>
  </si>
  <si>
    <t>Dotacje celowe otrzymane z budżetu państwa na zadania bieżące z zakresu administracji rządowej oraz inne zadania zlecone ustawami realizowane przez powiat</t>
  </si>
  <si>
    <t>sfinansowanie kosztów wykonania zastępczego</t>
  </si>
  <si>
    <t>inwestycje, z tego:</t>
  </si>
  <si>
    <t>5. Powiatowy Inspektorat Nadzoru Budowlanego</t>
  </si>
  <si>
    <t>6. Szkoły i placówki oświatowe</t>
  </si>
  <si>
    <t>Dochody powiatu, z tego:</t>
  </si>
  <si>
    <t>rozdz. 80140 - Centra kształcenia ustawicznego i praktycznego oraz ośrodki dokształcania zawodowego</t>
  </si>
  <si>
    <t>rozdz. 80146 - Dokształcanie i doskonalenie nauczycieli</t>
  </si>
  <si>
    <t>Specjalny Ośrodek Szkolno-Wychowawczy dla Dzieci i Młodzieży Słabo Widzacej</t>
  </si>
  <si>
    <t>7. Powiatowy Inspektorat Nadzoru Budowlanego</t>
  </si>
  <si>
    <t>8.  Szkoły i placówki oświatowe</t>
  </si>
  <si>
    <t xml:space="preserve">Harmonogram realizacji przychodów i wydatków </t>
  </si>
  <si>
    <t xml:space="preserve">   Funduszu Gospodarki Zasobem Geodezyjnym i Kartograficznym</t>
  </si>
  <si>
    <t xml:space="preserve">Treść    </t>
  </si>
  <si>
    <t xml:space="preserve">Urząd Miasta - Wydział Geodezji 
i Gospodarki Nieruchomościami </t>
  </si>
  <si>
    <t>Fundusz Gospodarki Zasobem Geodezyjnym 
i Kartograficznym</t>
  </si>
  <si>
    <t>Załącznik nr 13</t>
  </si>
  <si>
    <t>Planowane wydatki na programy i projekty realizowane ze środków pochodzących z budżetu Unii Europejskiej</t>
  </si>
  <si>
    <t>Jednostka</t>
  </si>
  <si>
    <t>Wydatki na 2006 rok 
z tego ze środków:</t>
  </si>
  <si>
    <t>Wydatki na 2007 rok 
z tego ze środków:</t>
  </si>
  <si>
    <t>Wydatki na 2008 rok 
z tego ze środków: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</si>
  <si>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</si>
  <si>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</si>
  <si>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</si>
  <si>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</si>
  <si>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Łączne nakłady finansowe</t>
  </si>
  <si>
    <t>Zrealizowane nakłady finansowe</t>
  </si>
  <si>
    <t>Wydatki na 2006 rok</t>
  </si>
  <si>
    <t>budżetu państwa 
i innych bezzwrotnych</t>
  </si>
  <si>
    <t>Wydatki na 2007 rok</t>
  </si>
  <si>
    <t xml:space="preserve">Ogółem </t>
  </si>
  <si>
    <t>2005-2006</t>
  </si>
  <si>
    <t>realizacja projektu "Edupart. Partnerstwo na rzecz edukacji i pobudzania aktywności rodzin" w ramach programu SOCRATES: GRUNDTVIG 2</t>
  </si>
  <si>
    <t xml:space="preserve">termomodernizacja obiektu </t>
  </si>
  <si>
    <t>modernizacja obiektu</t>
  </si>
  <si>
    <t>realizacja projektu "Stereotypy a Rzeczywistość"</t>
  </si>
  <si>
    <t>dotacja celowa z budżetu państwa na realizację projektu "Podajmy sobie ręce"</t>
  </si>
  <si>
    <t>dotacja celowa z budżetu państwa na sfinansowanie kosztów wykonania zastępczego</t>
  </si>
  <si>
    <t>stołówki szkolne, z tego:</t>
  </si>
  <si>
    <t>zagospodarowanie terenu wokół wielofunkcyjnej hali sportowo-widowiskowej przy 
ul. Kazimierza Wielkiego</t>
  </si>
  <si>
    <t>Stowarzyszenie Grupa Aktywnej Rehabilitacji "Rekrteringsgruppen", 
Al. Racławickie 44 D, 20-043 Lublin</t>
  </si>
  <si>
    <t>realizacja projektu "Fundusz stypendialny Miasta Lublin szansą ponadgimnazjalistów 
z terenów wiejskich"</t>
  </si>
  <si>
    <t>Szkoła Muzyczna I i II stopnia 
im. T. Szeligowskiego</t>
  </si>
  <si>
    <t>rozdz. 85406 - Poradnie psychologiczno-pedagogiczne, 
w tym poradnie specjalistyczne</t>
  </si>
  <si>
    <t>Państwowe Szkoły Budownictwa
i Geodezji</t>
  </si>
  <si>
    <t>modenizacja obiektu</t>
  </si>
  <si>
    <t>termomodernizacja obiektu</t>
  </si>
  <si>
    <t>modernizacja ujęcia wody i hydroforni 
przy ul. Kazimierza Wielkiego</t>
  </si>
  <si>
    <t>modernizacja hali sportowo - widowiskowej przy 
Al. Zygmuntowskich 4 - etap II</t>
  </si>
  <si>
    <t>modernizacje obiektów*</t>
  </si>
  <si>
    <r>
      <t xml:space="preserve">* </t>
    </r>
    <r>
      <rPr>
        <sz val="9"/>
        <rFont val="Arial CE"/>
        <family val="0"/>
      </rPr>
      <t>rozszerzenie zakresu rzeczowego w ZPO-W "Pogodny Dom" o prace z zakresu przepisów przeciwpożarowych</t>
    </r>
  </si>
  <si>
    <t>zadania realizowane w ramach Gminnego Programu Profilaktyki 
i Rozwiązywania Problemów Alkoholowych</t>
  </si>
  <si>
    <t>remont OSP w Głusku</t>
  </si>
  <si>
    <t>Zakup usług remontowych - remont OSP w Głusku</t>
  </si>
  <si>
    <t xml:space="preserve">realizacja projektu "EduPart. Partnerstwo na rzecz edukacji i pobudzania aktywności rodzin" w ramach programu Socrates Grundtvig 2 </t>
  </si>
  <si>
    <t>Stowarzyszenie na Rzecz Dzieci i Młodzieży Niepełnosprawnej Ruchowo, 
ul. Doświadczalna 46, 20-280 Lublin</t>
  </si>
  <si>
    <t>Lubelskie Forum Organizacji Osób Niepełnosprawnych; ul. Rynek 13, 20-043 Lublin</t>
  </si>
  <si>
    <t>Stowarzyszenie Młodzieżowy Klub Sportowy "Viking Lublinianka"; 
ul. Leszczyńskiego 19, 20-068 Lublin</t>
  </si>
  <si>
    <t>Lubelski  Sportowy Klub Taekwon-do; ul. Nowowiejskiego 1/1, 20-880 Lublin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</si>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</sst>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\ &quot;zł&quot;"/>
    <numFmt numFmtId="174" formatCode="#,##0.0"/>
    <numFmt numFmtId="175" formatCode="0.0"/>
    <numFmt numFmtId="176" formatCode="#,##0.0000"/>
    <numFmt numFmtId="177" formatCode="###0"/>
    <numFmt numFmtId="178" formatCode="h:m"/>
    <numFmt numFmtId="179" formatCode="#,##0.00\ &quot;zł&quot;;[Red]#,##0.00\ &quot;zł&quot;"/>
    <numFmt numFmtId="180" formatCode="#,##0\ &quot;zł&quot;"/>
    <numFmt numFmtId="181" formatCode="#,##0.000"/>
    <numFmt numFmtId="182" formatCode="#,##0.00\ _z_ł"/>
    <numFmt numFmtId="183" formatCode="#,##0\ _z_ł"/>
    <numFmt numFmtId="184" formatCode="#,##0_ ;\-#,##0\ "/>
    <numFmt numFmtId="185" formatCode="#,##0_ ;[Red]\-#,##0\ 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\ h\ h:m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  <font>
      <b/>
      <i/>
      <u val="single"/>
      <sz val="12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  <font>
      <b/>
      <i/>
      <u val="single"/>
      <sz val="11"/>
      <name val="Arial CE"/>
      <family val="0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indexed="10"/>
      <name val="Arial CE"/>
      <family val="2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i/>
      <sz val="10"/>
      <color indexed="53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sz val="16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b/>
      <i/>
      <sz val="14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sz val="12"/>
      <color indexed="8"/>
      <name val="Arial CE"/>
      <family val="2"/>
    </font>
    <font>
      <b/>
      <vertAlign val="superscript"/>
      <sz val="9"/>
      <name val="Arial CE"/>
      <family val="0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"/>
    </border>
    <border>
      <left style="thin"/>
      <right style="thin"/>
      <top style="dashDot"/>
      <bottom style="dash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thin"/>
      <bottom style="dash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ashDotDot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dotted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dashDot"/>
      <bottom style="thin"/>
    </border>
    <border>
      <left style="thin"/>
      <right style="thin"/>
      <top style="dashDot"/>
      <bottom style="hair"/>
    </border>
    <border>
      <left style="thin"/>
      <right style="thin"/>
      <top style="dashDotDot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 horizontal="right"/>
    </xf>
    <xf numFmtId="3" fontId="13" fillId="0" borderId="1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3" fontId="15" fillId="4" borderId="16" xfId="0" applyNumberFormat="1" applyFont="1" applyFill="1" applyBorder="1" applyAlignment="1">
      <alignment wrapText="1"/>
    </xf>
    <xf numFmtId="3" fontId="15" fillId="4" borderId="16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 wrapText="1"/>
    </xf>
    <xf numFmtId="0" fontId="13" fillId="4" borderId="13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3" fontId="15" fillId="0" borderId="16" xfId="0" applyNumberFormat="1" applyFont="1" applyBorder="1" applyAlignment="1">
      <alignment horizontal="right"/>
    </xf>
    <xf numFmtId="0" fontId="13" fillId="2" borderId="1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5" fillId="4" borderId="16" xfId="0" applyFont="1" applyFill="1" applyBorder="1" applyAlignment="1">
      <alignment/>
    </xf>
    <xf numFmtId="0" fontId="13" fillId="2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3" fontId="13" fillId="2" borderId="15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12" fillId="0" borderId="13" xfId="0" applyFont="1" applyBorder="1" applyAlignment="1">
      <alignment vertical="top"/>
    </xf>
    <xf numFmtId="3" fontId="14" fillId="0" borderId="13" xfId="0" applyNumberFormat="1" applyFont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14" fillId="4" borderId="13" xfId="0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horizontal="right"/>
    </xf>
    <xf numFmtId="3" fontId="14" fillId="4" borderId="13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3" fontId="15" fillId="4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15" fillId="0" borderId="16" xfId="0" applyNumberFormat="1" applyFont="1" applyFill="1" applyBorder="1" applyAlignment="1">
      <alignment wrapText="1"/>
    </xf>
    <xf numFmtId="3" fontId="15" fillId="0" borderId="16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5" fillId="4" borderId="1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21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 wrapText="1"/>
    </xf>
    <xf numFmtId="3" fontId="13" fillId="0" borderId="17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3" fillId="2" borderId="17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13" fillId="3" borderId="17" xfId="0" applyFont="1" applyFill="1" applyBorder="1" applyAlignment="1">
      <alignment/>
    </xf>
    <xf numFmtId="3" fontId="13" fillId="3" borderId="17" xfId="0" applyNumberFormat="1" applyFont="1" applyFill="1" applyBorder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3" fontId="12" fillId="3" borderId="2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18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3" fontId="10" fillId="0" borderId="16" xfId="0" applyNumberFormat="1" applyFont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3" fillId="3" borderId="15" xfId="0" applyFont="1" applyFill="1" applyBorder="1" applyAlignment="1">
      <alignment/>
    </xf>
    <xf numFmtId="3" fontId="13" fillId="3" borderId="1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3" borderId="24" xfId="0" applyFont="1" applyFill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3" fontId="14" fillId="4" borderId="13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3" borderId="15" xfId="0" applyNumberFormat="1" applyFont="1" applyFill="1" applyBorder="1" applyAlignment="1">
      <alignment horizontal="right" wrapText="1"/>
    </xf>
    <xf numFmtId="0" fontId="13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4" borderId="16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wrapText="1"/>
    </xf>
    <xf numFmtId="0" fontId="13" fillId="2" borderId="29" xfId="0" applyFont="1" applyFill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3" fontId="12" fillId="4" borderId="25" xfId="0" applyNumberFormat="1" applyFont="1" applyFill="1" applyBorder="1" applyAlignment="1">
      <alignment horizontal="right"/>
    </xf>
    <xf numFmtId="3" fontId="15" fillId="4" borderId="16" xfId="0" applyNumberFormat="1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 wrapText="1"/>
    </xf>
    <xf numFmtId="3" fontId="13" fillId="2" borderId="29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/>
    </xf>
    <xf numFmtId="0" fontId="13" fillId="4" borderId="30" xfId="0" applyFont="1" applyFill="1" applyBorder="1" applyAlignment="1">
      <alignment horizontal="right"/>
    </xf>
    <xf numFmtId="3" fontId="13" fillId="4" borderId="30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0" fontId="13" fillId="4" borderId="31" xfId="0" applyFont="1" applyFill="1" applyBorder="1" applyAlignment="1">
      <alignment/>
    </xf>
    <xf numFmtId="3" fontId="13" fillId="4" borderId="31" xfId="0" applyNumberFormat="1" applyFont="1" applyFill="1" applyBorder="1" applyAlignment="1">
      <alignment horizontal="right"/>
    </xf>
    <xf numFmtId="0" fontId="15" fillId="4" borderId="32" xfId="0" applyFont="1" applyFill="1" applyBorder="1" applyAlignment="1">
      <alignment/>
    </xf>
    <xf numFmtId="3" fontId="15" fillId="4" borderId="32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wrapText="1"/>
    </xf>
    <xf numFmtId="3" fontId="15" fillId="3" borderId="16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 wrapText="1"/>
    </xf>
    <xf numFmtId="0" fontId="13" fillId="2" borderId="29" xfId="0" applyFont="1" applyFill="1" applyBorder="1" applyAlignment="1">
      <alignment/>
    </xf>
    <xf numFmtId="3" fontId="13" fillId="2" borderId="27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 horizontal="right"/>
    </xf>
    <xf numFmtId="0" fontId="13" fillId="3" borderId="27" xfId="0" applyFont="1" applyFill="1" applyBorder="1" applyAlignment="1">
      <alignment/>
    </xf>
    <xf numFmtId="3" fontId="13" fillId="3" borderId="27" xfId="0" applyNumberFormat="1" applyFont="1" applyFill="1" applyBorder="1" applyAlignment="1">
      <alignment horizontal="right" wrapText="1"/>
    </xf>
    <xf numFmtId="3" fontId="0" fillId="3" borderId="3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1" fontId="12" fillId="0" borderId="27" xfId="0" applyNumberFormat="1" applyFont="1" applyFill="1" applyBorder="1" applyAlignment="1">
      <alignment/>
    </xf>
    <xf numFmtId="3" fontId="12" fillId="4" borderId="15" xfId="0" applyNumberFormat="1" applyFont="1" applyFill="1" applyBorder="1" applyAlignment="1">
      <alignment wrapText="1"/>
    </xf>
    <xf numFmtId="0" fontId="13" fillId="6" borderId="13" xfId="0" applyFont="1" applyFill="1" applyBorder="1" applyAlignment="1">
      <alignment/>
    </xf>
    <xf numFmtId="0" fontId="15" fillId="6" borderId="16" xfId="0" applyFont="1" applyFill="1" applyBorder="1" applyAlignment="1">
      <alignment wrapText="1"/>
    </xf>
    <xf numFmtId="3" fontId="15" fillId="4" borderId="34" xfId="0" applyNumberFormat="1" applyFont="1" applyFill="1" applyBorder="1" applyAlignment="1">
      <alignment horizontal="right" wrapText="1"/>
    </xf>
    <xf numFmtId="3" fontId="13" fillId="0" borderId="3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3" fontId="15" fillId="0" borderId="34" xfId="0" applyNumberFormat="1" applyFont="1" applyFill="1" applyBorder="1" applyAlignment="1">
      <alignment horizontal="right" wrapText="1"/>
    </xf>
    <xf numFmtId="0" fontId="13" fillId="2" borderId="35" xfId="0" applyFont="1" applyFill="1" applyBorder="1" applyAlignment="1">
      <alignment horizontal="right" wrapText="1"/>
    </xf>
    <xf numFmtId="0" fontId="15" fillId="4" borderId="31" xfId="0" applyFont="1" applyFill="1" applyBorder="1" applyAlignment="1">
      <alignment horizontal="left"/>
    </xf>
    <xf numFmtId="3" fontId="15" fillId="4" borderId="31" xfId="0" applyNumberFormat="1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3" borderId="30" xfId="0" applyNumberFormat="1" applyFont="1" applyFill="1" applyBorder="1" applyAlignment="1">
      <alignment horizontal="right" wrapText="1"/>
    </xf>
    <xf numFmtId="3" fontId="5" fillId="3" borderId="13" xfId="0" applyNumberFormat="1" applyFont="1" applyFill="1" applyBorder="1" applyAlignment="1">
      <alignment horizontal="right" wrapText="1"/>
    </xf>
    <xf numFmtId="3" fontId="5" fillId="0" borderId="2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3" borderId="30" xfId="0" applyFont="1" applyFill="1" applyBorder="1" applyAlignment="1">
      <alignment horizontal="center" wrapText="1"/>
    </xf>
    <xf numFmtId="3" fontId="5" fillId="3" borderId="2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9" fillId="3" borderId="13" xfId="0" applyFont="1" applyFill="1" applyBorder="1" applyAlignment="1">
      <alignment horizontal="center" wrapText="1"/>
    </xf>
    <xf numFmtId="3" fontId="9" fillId="3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wrapText="1"/>
    </xf>
    <xf numFmtId="3" fontId="20" fillId="3" borderId="13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/>
    </xf>
    <xf numFmtId="0" fontId="10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2" borderId="35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3" fontId="13" fillId="2" borderId="35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/>
    </xf>
    <xf numFmtId="3" fontId="6" fillId="4" borderId="37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6" fillId="4" borderId="38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4" xfId="0" applyFont="1" applyFill="1" applyBorder="1" applyAlignment="1">
      <alignment wrapText="1"/>
    </xf>
    <xf numFmtId="3" fontId="0" fillId="0" borderId="39" xfId="0" applyNumberFormat="1" applyFont="1" applyFill="1" applyBorder="1" applyAlignment="1">
      <alignment/>
    </xf>
    <xf numFmtId="3" fontId="0" fillId="4" borderId="40" xfId="0" applyNumberFormat="1" applyFont="1" applyFill="1" applyBorder="1" applyAlignment="1">
      <alignment/>
    </xf>
    <xf numFmtId="3" fontId="0" fillId="4" borderId="41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4" borderId="7" xfId="0" applyNumberFormat="1" applyFont="1" applyFill="1" applyBorder="1" applyAlignment="1">
      <alignment/>
    </xf>
    <xf numFmtId="3" fontId="15" fillId="4" borderId="42" xfId="0" applyNumberFormat="1" applyFont="1" applyFill="1" applyBorder="1" applyAlignment="1">
      <alignment/>
    </xf>
    <xf numFmtId="3" fontId="15" fillId="4" borderId="16" xfId="0" applyNumberFormat="1" applyFont="1" applyFill="1" applyBorder="1" applyAlignment="1">
      <alignment/>
    </xf>
    <xf numFmtId="3" fontId="15" fillId="4" borderId="28" xfId="0" applyNumberFormat="1" applyFont="1" applyFill="1" applyBorder="1" applyAlignment="1">
      <alignment/>
    </xf>
    <xf numFmtId="1" fontId="13" fillId="3" borderId="43" xfId="0" applyNumberFormat="1" applyFont="1" applyFill="1" applyBorder="1" applyAlignment="1">
      <alignment/>
    </xf>
    <xf numFmtId="3" fontId="13" fillId="3" borderId="43" xfId="0" applyNumberFormat="1" applyFont="1" applyFill="1" applyBorder="1" applyAlignment="1">
      <alignment wrapText="1"/>
    </xf>
    <xf numFmtId="3" fontId="13" fillId="0" borderId="44" xfId="0" applyNumberFormat="1" applyFont="1" applyBorder="1" applyAlignment="1">
      <alignment wrapText="1"/>
    </xf>
    <xf numFmtId="3" fontId="13" fillId="0" borderId="45" xfId="0" applyNumberFormat="1" applyFont="1" applyBorder="1" applyAlignment="1">
      <alignment wrapText="1"/>
    </xf>
    <xf numFmtId="3" fontId="13" fillId="0" borderId="46" xfId="0" applyNumberFormat="1" applyFont="1" applyBorder="1" applyAlignment="1">
      <alignment wrapText="1"/>
    </xf>
    <xf numFmtId="3" fontId="13" fillId="0" borderId="43" xfId="0" applyNumberFormat="1" applyFont="1" applyBorder="1" applyAlignment="1">
      <alignment wrapText="1"/>
    </xf>
    <xf numFmtId="3" fontId="13" fillId="0" borderId="47" xfId="0" applyNumberFormat="1" applyFont="1" applyBorder="1" applyAlignment="1">
      <alignment wrapText="1"/>
    </xf>
    <xf numFmtId="1" fontId="13" fillId="3" borderId="13" xfId="0" applyNumberFormat="1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23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" fontId="13" fillId="0" borderId="48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49" xfId="0" applyNumberFormat="1" applyFont="1" applyBorder="1" applyAlignment="1">
      <alignment horizontal="right"/>
    </xf>
    <xf numFmtId="3" fontId="15" fillId="0" borderId="5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4" borderId="2" xfId="0" applyFont="1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3" fontId="13" fillId="2" borderId="17" xfId="0" applyNumberFormat="1" applyFont="1" applyFill="1" applyBorder="1" applyAlignment="1">
      <alignment horizontal="right" wrapText="1"/>
    </xf>
    <xf numFmtId="0" fontId="13" fillId="3" borderId="17" xfId="0" applyFont="1" applyFill="1" applyBorder="1" applyAlignment="1">
      <alignment horizontal="left" wrapText="1"/>
    </xf>
    <xf numFmtId="3" fontId="13" fillId="3" borderId="17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0" fillId="3" borderId="13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0" fontId="15" fillId="4" borderId="15" xfId="0" applyFont="1" applyFill="1" applyBorder="1" applyAlignment="1">
      <alignment/>
    </xf>
    <xf numFmtId="0" fontId="15" fillId="3" borderId="0" xfId="0" applyFont="1" applyFill="1" applyAlignment="1">
      <alignment/>
    </xf>
    <xf numFmtId="0" fontId="15" fillId="4" borderId="17" xfId="0" applyFont="1" applyFill="1" applyBorder="1" applyAlignment="1">
      <alignment wrapText="1"/>
    </xf>
    <xf numFmtId="3" fontId="15" fillId="4" borderId="17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51" xfId="0" applyNumberFormat="1" applyFont="1" applyBorder="1" applyAlignment="1">
      <alignment wrapText="1"/>
    </xf>
    <xf numFmtId="3" fontId="0" fillId="0" borderId="40" xfId="0" applyNumberFormat="1" applyFont="1" applyBorder="1" applyAlignment="1">
      <alignment wrapText="1"/>
    </xf>
    <xf numFmtId="3" fontId="0" fillId="0" borderId="41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3" fontId="0" fillId="0" borderId="54" xfId="0" applyNumberFormat="1" applyFont="1" applyBorder="1" applyAlignment="1">
      <alignment wrapText="1"/>
    </xf>
    <xf numFmtId="1" fontId="0" fillId="3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2" borderId="50" xfId="0" applyFont="1" applyFill="1" applyBorder="1" applyAlignment="1">
      <alignment wrapText="1"/>
    </xf>
    <xf numFmtId="3" fontId="13" fillId="0" borderId="29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13" fillId="2" borderId="15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3" fontId="15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3" fontId="10" fillId="0" borderId="34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13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4" borderId="2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12" fillId="0" borderId="15" xfId="0" applyFont="1" applyBorder="1" applyAlignment="1">
      <alignment vertical="top"/>
    </xf>
    <xf numFmtId="3" fontId="23" fillId="0" borderId="16" xfId="0" applyNumberFormat="1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56" xfId="0" applyNumberFormat="1" applyFont="1" applyFill="1" applyBorder="1" applyAlignment="1">
      <alignment horizontal="right"/>
    </xf>
    <xf numFmtId="3" fontId="12" fillId="0" borderId="57" xfId="0" applyNumberFormat="1" applyFont="1" applyFill="1" applyBorder="1" applyAlignment="1">
      <alignment horizontal="right"/>
    </xf>
    <xf numFmtId="0" fontId="0" fillId="0" borderId="2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3" fontId="12" fillId="0" borderId="58" xfId="0" applyNumberFormat="1" applyFont="1" applyFill="1" applyBorder="1" applyAlignment="1">
      <alignment horizontal="right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3" borderId="0" xfId="0" applyNumberFormat="1" applyFont="1" applyFill="1" applyAlignment="1">
      <alignment/>
    </xf>
    <xf numFmtId="0" fontId="24" fillId="3" borderId="0" xfId="0" applyFont="1" applyFill="1" applyAlignment="1">
      <alignment/>
    </xf>
    <xf numFmtId="3" fontId="26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6" fillId="0" borderId="2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12" fillId="3" borderId="15" xfId="0" applyFont="1" applyFill="1" applyBorder="1" applyAlignment="1">
      <alignment wrapText="1"/>
    </xf>
    <xf numFmtId="3" fontId="0" fillId="0" borderId="59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0" fillId="0" borderId="60" xfId="0" applyNumberFormat="1" applyFont="1" applyBorder="1" applyAlignment="1">
      <alignment wrapText="1"/>
    </xf>
    <xf numFmtId="3" fontId="0" fillId="0" borderId="61" xfId="0" applyNumberFormat="1" applyFont="1" applyBorder="1" applyAlignment="1">
      <alignment wrapText="1"/>
    </xf>
    <xf numFmtId="3" fontId="0" fillId="0" borderId="62" xfId="0" applyNumberFormat="1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3" fontId="13" fillId="0" borderId="64" xfId="0" applyNumberFormat="1" applyFont="1" applyBorder="1" applyAlignment="1">
      <alignment/>
    </xf>
    <xf numFmtId="3" fontId="13" fillId="0" borderId="65" xfId="0" applyNumberFormat="1" applyFont="1" applyBorder="1" applyAlignment="1">
      <alignment wrapText="1"/>
    </xf>
    <xf numFmtId="3" fontId="13" fillId="0" borderId="66" xfId="0" applyNumberFormat="1" applyFont="1" applyBorder="1" applyAlignment="1">
      <alignment wrapText="1"/>
    </xf>
    <xf numFmtId="3" fontId="13" fillId="0" borderId="67" xfId="0" applyNumberFormat="1" applyFont="1" applyBorder="1" applyAlignment="1">
      <alignment wrapText="1"/>
    </xf>
    <xf numFmtId="3" fontId="13" fillId="0" borderId="64" xfId="0" applyNumberFormat="1" applyFont="1" applyBorder="1" applyAlignment="1">
      <alignment wrapText="1"/>
    </xf>
    <xf numFmtId="3" fontId="13" fillId="0" borderId="68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Continuous"/>
    </xf>
    <xf numFmtId="0" fontId="19" fillId="0" borderId="69" xfId="0" applyFont="1" applyBorder="1" applyAlignment="1">
      <alignment horizontal="center"/>
    </xf>
    <xf numFmtId="0" fontId="19" fillId="0" borderId="69" xfId="0" applyNumberFormat="1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19" fillId="0" borderId="69" xfId="0" applyFont="1" applyBorder="1" applyAlignment="1">
      <alignment/>
    </xf>
    <xf numFmtId="0" fontId="19" fillId="0" borderId="6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28" fillId="2" borderId="17" xfId="0" applyNumberFormat="1" applyFont="1" applyFill="1" applyBorder="1" applyAlignment="1">
      <alignment horizontal="right"/>
    </xf>
    <xf numFmtId="0" fontId="28" fillId="2" borderId="17" xfId="0" applyNumberFormat="1" applyFont="1" applyFill="1" applyBorder="1" applyAlignment="1">
      <alignment horizontal="right"/>
    </xf>
    <xf numFmtId="0" fontId="30" fillId="2" borderId="29" xfId="0" applyFont="1" applyFill="1" applyBorder="1" applyAlignment="1">
      <alignment horizontal="center" wrapText="1"/>
    </xf>
    <xf numFmtId="3" fontId="30" fillId="2" borderId="17" xfId="0" applyNumberFormat="1" applyFont="1" applyFill="1" applyBorder="1" applyAlignment="1">
      <alignment horizontal="right"/>
    </xf>
    <xf numFmtId="3" fontId="30" fillId="2" borderId="15" xfId="0" applyNumberFormat="1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center" vertical="center" wrapText="1"/>
    </xf>
    <xf numFmtId="3" fontId="28" fillId="2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3" fontId="28" fillId="3" borderId="24" xfId="0" applyNumberFormat="1" applyFont="1" applyFill="1" applyBorder="1" applyAlignment="1">
      <alignment horizontal="right"/>
    </xf>
    <xf numFmtId="0" fontId="28" fillId="3" borderId="24" xfId="0" applyNumberFormat="1" applyFont="1" applyFill="1" applyBorder="1" applyAlignment="1">
      <alignment horizontal="right"/>
    </xf>
    <xf numFmtId="0" fontId="30" fillId="3" borderId="51" xfId="0" applyFont="1" applyFill="1" applyBorder="1" applyAlignment="1">
      <alignment horizontal="center" wrapText="1"/>
    </xf>
    <xf numFmtId="3" fontId="30" fillId="3" borderId="24" xfId="0" applyNumberFormat="1" applyFont="1" applyFill="1" applyBorder="1" applyAlignment="1">
      <alignment horizontal="right"/>
    </xf>
    <xf numFmtId="3" fontId="30" fillId="3" borderId="13" xfId="0" applyNumberFormat="1" applyFont="1" applyFill="1" applyBorder="1" applyAlignment="1">
      <alignment horizontal="right"/>
    </xf>
    <xf numFmtId="3" fontId="28" fillId="3" borderId="13" xfId="0" applyNumberFormat="1" applyFont="1" applyFill="1" applyBorder="1" applyAlignment="1">
      <alignment horizontal="center" vertical="center" wrapText="1"/>
    </xf>
    <xf numFmtId="3" fontId="28" fillId="3" borderId="24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Border="1" applyAlignment="1">
      <alignment/>
    </xf>
    <xf numFmtId="0" fontId="31" fillId="0" borderId="13" xfId="0" applyNumberFormat="1" applyFont="1" applyBorder="1" applyAlignment="1">
      <alignment/>
    </xf>
    <xf numFmtId="0" fontId="31" fillId="0" borderId="70" xfId="0" applyFont="1" applyBorder="1" applyAlignment="1">
      <alignment horizontal="left" wrapText="1"/>
    </xf>
    <xf numFmtId="3" fontId="31" fillId="0" borderId="35" xfId="0" applyNumberFormat="1" applyFont="1" applyBorder="1" applyAlignment="1">
      <alignment/>
    </xf>
    <xf numFmtId="3" fontId="31" fillId="0" borderId="3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3" fontId="30" fillId="4" borderId="29" xfId="0" applyNumberFormat="1" applyFont="1" applyFill="1" applyBorder="1" applyAlignment="1">
      <alignment vertical="center"/>
    </xf>
    <xf numFmtId="0" fontId="30" fillId="4" borderId="71" xfId="0" applyNumberFormat="1" applyFont="1" applyFill="1" applyBorder="1" applyAlignment="1">
      <alignment vertical="center"/>
    </xf>
    <xf numFmtId="0" fontId="30" fillId="4" borderId="71" xfId="0" applyFont="1" applyFill="1" applyBorder="1" applyAlignment="1">
      <alignment horizontal="center"/>
    </xf>
    <xf numFmtId="3" fontId="30" fillId="4" borderId="71" xfId="0" applyNumberFormat="1" applyFont="1" applyFill="1" applyBorder="1" applyAlignment="1">
      <alignment/>
    </xf>
    <xf numFmtId="3" fontId="30" fillId="4" borderId="71" xfId="0" applyNumberFormat="1" applyFont="1" applyFill="1" applyBorder="1" applyAlignment="1">
      <alignment horizontal="right"/>
    </xf>
    <xf numFmtId="3" fontId="6" fillId="4" borderId="71" xfId="0" applyNumberFormat="1" applyFont="1" applyFill="1" applyBorder="1" applyAlignment="1">
      <alignment horizontal="right"/>
    </xf>
    <xf numFmtId="3" fontId="30" fillId="4" borderId="55" xfId="0" applyNumberFormat="1" applyFont="1" applyFill="1" applyBorder="1" applyAlignment="1">
      <alignment horizontal="right"/>
    </xf>
    <xf numFmtId="3" fontId="19" fillId="0" borderId="1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3" fontId="19" fillId="0" borderId="2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3" fontId="29" fillId="0" borderId="15" xfId="0" applyNumberFormat="1" applyFont="1" applyBorder="1" applyAlignment="1">
      <alignment horizontal="center" vertical="center" wrapText="1"/>
    </xf>
    <xf numFmtId="3" fontId="31" fillId="3" borderId="17" xfId="0" applyNumberFormat="1" applyFont="1" applyFill="1" applyBorder="1" applyAlignment="1">
      <alignment/>
    </xf>
    <xf numFmtId="3" fontId="31" fillId="3" borderId="17" xfId="0" applyNumberFormat="1" applyFont="1" applyFill="1" applyBorder="1" applyAlignment="1">
      <alignment horizontal="center" vertical="center" wrapText="1"/>
    </xf>
    <xf numFmtId="3" fontId="31" fillId="3" borderId="15" xfId="0" applyNumberFormat="1" applyFont="1" applyFill="1" applyBorder="1" applyAlignment="1">
      <alignment/>
    </xf>
    <xf numFmtId="3" fontId="22" fillId="3" borderId="13" xfId="0" applyNumberFormat="1" applyFont="1" applyFill="1" applyBorder="1" applyAlignment="1" quotePrefix="1">
      <alignment horizontal="right"/>
    </xf>
    <xf numFmtId="0" fontId="22" fillId="3" borderId="13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 wrapText="1"/>
    </xf>
    <xf numFmtId="3" fontId="19" fillId="0" borderId="50" xfId="0" applyNumberFormat="1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3" fontId="0" fillId="0" borderId="21" xfId="0" applyNumberFormat="1" applyFont="1" applyBorder="1" applyAlignment="1">
      <alignment horizontal="right" wrapText="1"/>
    </xf>
    <xf numFmtId="0" fontId="12" fillId="0" borderId="56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12" fillId="0" borderId="56" xfId="0" applyNumberFormat="1" applyFont="1" applyBorder="1" applyAlignment="1">
      <alignment/>
    </xf>
    <xf numFmtId="0" fontId="13" fillId="2" borderId="27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3" fontId="12" fillId="0" borderId="27" xfId="0" applyNumberFormat="1" applyFont="1" applyFill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3" fontId="0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72" xfId="0" applyNumberFormat="1" applyFont="1" applyFill="1" applyBorder="1" applyAlignment="1">
      <alignment horizontal="left"/>
    </xf>
    <xf numFmtId="3" fontId="13" fillId="4" borderId="70" xfId="15" applyNumberFormat="1" applyFont="1" applyFill="1" applyBorder="1" applyAlignment="1">
      <alignment horizontal="center"/>
    </xf>
    <xf numFmtId="3" fontId="13" fillId="4" borderId="4" xfId="15" applyNumberFormat="1" applyFont="1" applyFill="1" applyBorder="1" applyAlignment="1">
      <alignment horizontal="center"/>
    </xf>
    <xf numFmtId="3" fontId="13" fillId="4" borderId="73" xfId="15" applyNumberFormat="1" applyFont="1" applyFill="1" applyBorder="1" applyAlignment="1">
      <alignment horizontal="center"/>
    </xf>
    <xf numFmtId="3" fontId="0" fillId="4" borderId="74" xfId="0" applyNumberFormat="1" applyFont="1" applyFill="1" applyBorder="1" applyAlignment="1">
      <alignment/>
    </xf>
    <xf numFmtId="3" fontId="0" fillId="4" borderId="48" xfId="0" applyNumberFormat="1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75" xfId="0" applyNumberFormat="1" applyFont="1" applyFill="1" applyBorder="1" applyAlignment="1">
      <alignment horizontal="center"/>
    </xf>
    <xf numFmtId="3" fontId="17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vertical="center"/>
    </xf>
    <xf numFmtId="3" fontId="17" fillId="4" borderId="13" xfId="0" applyNumberFormat="1" applyFont="1" applyFill="1" applyBorder="1" applyAlignment="1">
      <alignment horizontal="center"/>
    </xf>
    <xf numFmtId="3" fontId="0" fillId="4" borderId="75" xfId="0" applyNumberFormat="1" applyFont="1" applyFill="1" applyBorder="1" applyAlignment="1">
      <alignment horizontal="left"/>
    </xf>
    <xf numFmtId="3" fontId="0" fillId="4" borderId="27" xfId="0" applyNumberFormat="1" applyFont="1" applyFill="1" applyBorder="1" applyAlignment="1">
      <alignment horizontal="center"/>
    </xf>
    <xf numFmtId="3" fontId="17" fillId="4" borderId="27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7" fillId="4" borderId="76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77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13" fillId="4" borderId="78" xfId="0" applyNumberFormat="1" applyFont="1" applyFill="1" applyBorder="1" applyAlignment="1">
      <alignment horizontal="center" vertical="center"/>
    </xf>
    <xf numFmtId="3" fontId="15" fillId="4" borderId="79" xfId="0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/>
    </xf>
    <xf numFmtId="3" fontId="0" fillId="4" borderId="80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13" fillId="4" borderId="81" xfId="0" applyNumberFormat="1" applyFont="1" applyFill="1" applyBorder="1" applyAlignment="1">
      <alignment horizontal="left" vertical="center" wrapText="1"/>
    </xf>
    <xf numFmtId="3" fontId="0" fillId="4" borderId="79" xfId="0" applyNumberFormat="1" applyFont="1" applyFill="1" applyBorder="1" applyAlignment="1">
      <alignment vertical="center"/>
    </xf>
    <xf numFmtId="3" fontId="0" fillId="6" borderId="80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vertical="center"/>
    </xf>
    <xf numFmtId="3" fontId="0" fillId="4" borderId="79" xfId="0" applyNumberFormat="1" applyFont="1" applyFill="1" applyBorder="1" applyAlignment="1">
      <alignment vertical="center" wrapText="1"/>
    </xf>
    <xf numFmtId="1" fontId="0" fillId="4" borderId="79" xfId="0" applyNumberFormat="1" applyFont="1" applyFill="1" applyBorder="1" applyAlignment="1">
      <alignment vertical="center" wrapText="1"/>
    </xf>
    <xf numFmtId="1" fontId="0" fillId="4" borderId="80" xfId="0" applyNumberFormat="1" applyFont="1" applyFill="1" applyBorder="1" applyAlignment="1">
      <alignment vertical="center" wrapText="1"/>
    </xf>
    <xf numFmtId="3" fontId="13" fillId="4" borderId="82" xfId="0" applyNumberFormat="1" applyFont="1" applyFill="1" applyBorder="1" applyAlignment="1">
      <alignment horizontal="left" vertical="center" wrapText="1"/>
    </xf>
    <xf numFmtId="0" fontId="0" fillId="4" borderId="80" xfId="0" applyFont="1" applyFill="1" applyBorder="1" applyAlignment="1">
      <alignment horizontal="left" wrapText="1"/>
    </xf>
    <xf numFmtId="0" fontId="13" fillId="4" borderId="82" xfId="0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0" fontId="13" fillId="4" borderId="82" xfId="0" applyNumberFormat="1" applyFont="1" applyFill="1" applyBorder="1" applyAlignment="1">
      <alignment vertical="center" wrapText="1"/>
    </xf>
    <xf numFmtId="0" fontId="15" fillId="4" borderId="83" xfId="0" applyNumberFormat="1" applyFont="1" applyFill="1" applyBorder="1" applyAlignment="1">
      <alignment vertical="center" wrapText="1"/>
    </xf>
    <xf numFmtId="3" fontId="8" fillId="4" borderId="13" xfId="0" applyNumberFormat="1" applyFont="1" applyFill="1" applyBorder="1" applyAlignment="1">
      <alignment/>
    </xf>
    <xf numFmtId="3" fontId="8" fillId="4" borderId="84" xfId="0" applyNumberFormat="1" applyFont="1" applyFill="1" applyBorder="1" applyAlignment="1">
      <alignment/>
    </xf>
    <xf numFmtId="0" fontId="15" fillId="4" borderId="79" xfId="0" applyNumberFormat="1" applyFont="1" applyFill="1" applyBorder="1" applyAlignment="1">
      <alignment vertical="center" wrapText="1"/>
    </xf>
    <xf numFmtId="3" fontId="32" fillId="0" borderId="17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15" fillId="4" borderId="85" xfId="0" applyNumberFormat="1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2" fillId="0" borderId="24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3" fontId="13" fillId="2" borderId="17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left"/>
    </xf>
    <xf numFmtId="3" fontId="13" fillId="3" borderId="17" xfId="0" applyNumberFormat="1" applyFont="1" applyFill="1" applyBorder="1" applyAlignment="1">
      <alignment horizontal="left"/>
    </xf>
    <xf numFmtId="3" fontId="0" fillId="3" borderId="22" xfId="0" applyNumberFormat="1" applyFont="1" applyFill="1" applyBorder="1" applyAlignment="1">
      <alignment horizontal="left" wrapText="1"/>
    </xf>
    <xf numFmtId="3" fontId="12" fillId="3" borderId="25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/>
    </xf>
    <xf numFmtId="0" fontId="0" fillId="0" borderId="86" xfId="0" applyFont="1" applyBorder="1" applyAlignment="1">
      <alignment wrapText="1"/>
    </xf>
    <xf numFmtId="3" fontId="0" fillId="0" borderId="86" xfId="0" applyNumberFormat="1" applyFont="1" applyBorder="1" applyAlignment="1">
      <alignment horizontal="right" wrapText="1"/>
    </xf>
    <xf numFmtId="0" fontId="0" fillId="0" borderId="87" xfId="0" applyFont="1" applyBorder="1" applyAlignment="1">
      <alignment wrapText="1"/>
    </xf>
    <xf numFmtId="3" fontId="0" fillId="0" borderId="87" xfId="0" applyNumberFormat="1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89" xfId="0" applyFont="1" applyBorder="1" applyAlignment="1">
      <alignment wrapText="1"/>
    </xf>
    <xf numFmtId="3" fontId="0" fillId="0" borderId="89" xfId="0" applyNumberFormat="1" applyFont="1" applyBorder="1" applyAlignment="1">
      <alignment horizontal="right" wrapText="1"/>
    </xf>
    <xf numFmtId="0" fontId="0" fillId="0" borderId="90" xfId="0" applyFont="1" applyBorder="1" applyAlignment="1">
      <alignment wrapText="1"/>
    </xf>
    <xf numFmtId="3" fontId="0" fillId="0" borderId="90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3" borderId="15" xfId="0" applyFont="1" applyFill="1" applyBorder="1" applyAlignment="1">
      <alignment/>
    </xf>
    <xf numFmtId="3" fontId="33" fillId="0" borderId="86" xfId="18" applyNumberFormat="1" applyFont="1" applyFill="1" applyBorder="1" applyAlignment="1">
      <alignment/>
      <protection/>
    </xf>
    <xf numFmtId="3" fontId="33" fillId="0" borderId="86" xfId="18" applyNumberFormat="1" applyFont="1" applyFill="1" applyBorder="1" applyAlignment="1">
      <alignment horizontal="right"/>
      <protection/>
    </xf>
    <xf numFmtId="3" fontId="33" fillId="0" borderId="0" xfId="18" applyNumberFormat="1" applyFont="1" applyBorder="1">
      <alignment/>
      <protection/>
    </xf>
    <xf numFmtId="0" fontId="12" fillId="0" borderId="87" xfId="0" applyFont="1" applyFill="1" applyBorder="1" applyAlignment="1">
      <alignment wrapText="1"/>
    </xf>
    <xf numFmtId="3" fontId="34" fillId="0" borderId="91" xfId="18" applyNumberFormat="1" applyFont="1" applyFill="1" applyBorder="1" applyAlignment="1">
      <alignment/>
      <protection/>
    </xf>
    <xf numFmtId="3" fontId="22" fillId="0" borderId="0" xfId="18" applyNumberFormat="1" applyFont="1" applyBorder="1">
      <alignment/>
      <protection/>
    </xf>
    <xf numFmtId="3" fontId="19" fillId="0" borderId="0" xfId="18" applyNumberFormat="1" applyFont="1" applyBorder="1">
      <alignment/>
      <protection/>
    </xf>
    <xf numFmtId="0" fontId="0" fillId="0" borderId="17" xfId="0" applyFont="1" applyFill="1" applyBorder="1" applyAlignment="1">
      <alignment wrapText="1"/>
    </xf>
    <xf numFmtId="3" fontId="33" fillId="0" borderId="55" xfId="18" applyNumberFormat="1" applyFont="1" applyFill="1" applyBorder="1" applyAlignment="1">
      <alignment/>
      <protection/>
    </xf>
    <xf numFmtId="3" fontId="33" fillId="0" borderId="55" xfId="18" applyNumberFormat="1" applyFont="1" applyFill="1" applyBorder="1" applyAlignment="1">
      <alignment horizontal="center"/>
      <protection/>
    </xf>
    <xf numFmtId="3" fontId="33" fillId="0" borderId="55" xfId="18" applyNumberFormat="1" applyFont="1" applyFill="1" applyBorder="1" applyAlignment="1">
      <alignment horizontal="right"/>
      <protection/>
    </xf>
    <xf numFmtId="3" fontId="35" fillId="0" borderId="29" xfId="18" applyNumberFormat="1" applyFont="1" applyFill="1" applyBorder="1" applyAlignment="1">
      <alignment wrapText="1"/>
      <protection/>
    </xf>
    <xf numFmtId="3" fontId="35" fillId="0" borderId="29" xfId="18" applyNumberFormat="1" applyFont="1" applyFill="1" applyBorder="1" applyAlignment="1">
      <alignment/>
      <protection/>
    </xf>
    <xf numFmtId="3" fontId="35" fillId="0" borderId="17" xfId="18" applyNumberFormat="1" applyFont="1" applyFill="1" applyBorder="1" applyAlignment="1">
      <alignment/>
      <protection/>
    </xf>
    <xf numFmtId="3" fontId="35" fillId="0" borderId="17" xfId="18" applyNumberFormat="1" applyFont="1" applyFill="1" applyBorder="1" applyAlignment="1">
      <alignment horizontal="right"/>
      <protection/>
    </xf>
    <xf numFmtId="3" fontId="33" fillId="0" borderId="92" xfId="18" applyNumberFormat="1" applyFont="1" applyFill="1" applyBorder="1" applyAlignment="1">
      <alignment/>
      <protection/>
    </xf>
    <xf numFmtId="3" fontId="33" fillId="0" borderId="92" xfId="18" applyNumberFormat="1" applyFont="1" applyFill="1" applyBorder="1" applyAlignment="1">
      <alignment horizontal="right"/>
      <protection/>
    </xf>
    <xf numFmtId="3" fontId="12" fillId="0" borderId="22" xfId="0" applyNumberFormat="1" applyFont="1" applyBorder="1" applyAlignment="1">
      <alignment wrapText="1"/>
    </xf>
    <xf numFmtId="3" fontId="34" fillId="0" borderId="21" xfId="18" applyNumberFormat="1" applyFont="1" applyFill="1" applyBorder="1" applyAlignment="1">
      <alignment/>
      <protection/>
    </xf>
    <xf numFmtId="3" fontId="34" fillId="0" borderId="21" xfId="18" applyNumberFormat="1" applyFont="1" applyFill="1" applyBorder="1" applyAlignment="1">
      <alignment horizontal="center"/>
      <protection/>
    </xf>
    <xf numFmtId="3" fontId="34" fillId="0" borderId="21" xfId="18" applyNumberFormat="1" applyFont="1" applyFill="1" applyBorder="1" applyAlignment="1">
      <alignment horizontal="right"/>
      <protection/>
    </xf>
    <xf numFmtId="3" fontId="0" fillId="4" borderId="15" xfId="0" applyNumberFormat="1" applyFont="1" applyFill="1" applyBorder="1" applyAlignment="1">
      <alignment wrapText="1"/>
    </xf>
    <xf numFmtId="3" fontId="33" fillId="0" borderId="15" xfId="18" applyNumberFormat="1" applyFont="1" applyFill="1" applyBorder="1" applyAlignment="1">
      <alignment/>
      <protection/>
    </xf>
    <xf numFmtId="3" fontId="33" fillId="0" borderId="15" xfId="18" applyNumberFormat="1" applyFont="1" applyFill="1" applyBorder="1" applyAlignment="1">
      <alignment horizontal="center"/>
      <protection/>
    </xf>
    <xf numFmtId="3" fontId="33" fillId="0" borderId="15" xfId="18" applyNumberFormat="1" applyFont="1" applyFill="1" applyBorder="1" applyAlignment="1">
      <alignment horizontal="right"/>
      <protection/>
    </xf>
    <xf numFmtId="3" fontId="19" fillId="0" borderId="0" xfId="18" applyNumberFormat="1" applyBorder="1" applyAlignment="1">
      <alignment vertical="center"/>
      <protection/>
    </xf>
    <xf numFmtId="3" fontId="35" fillId="0" borderId="27" xfId="18" applyNumberFormat="1" applyFont="1" applyFill="1" applyBorder="1" applyAlignment="1">
      <alignment wrapText="1"/>
      <protection/>
    </xf>
    <xf numFmtId="3" fontId="35" fillId="0" borderId="27" xfId="18" applyNumberFormat="1" applyFont="1" applyFill="1" applyBorder="1" applyAlignment="1">
      <alignment/>
      <protection/>
    </xf>
    <xf numFmtId="3" fontId="35" fillId="0" borderId="15" xfId="18" applyNumberFormat="1" applyFont="1" applyFill="1" applyBorder="1" applyAlignment="1">
      <alignment horizontal="right"/>
      <protection/>
    </xf>
    <xf numFmtId="0" fontId="6" fillId="0" borderId="93" xfId="18" applyFont="1" applyFill="1" applyBorder="1" applyAlignment="1">
      <alignment horizontal="left" wrapText="1"/>
      <protection/>
    </xf>
    <xf numFmtId="3" fontId="36" fillId="0" borderId="93" xfId="18" applyNumberFormat="1" applyFont="1" applyFill="1" applyBorder="1" applyAlignment="1">
      <alignment horizontal="right" wrapText="1"/>
      <protection/>
    </xf>
    <xf numFmtId="3" fontId="12" fillId="0" borderId="15" xfId="0" applyNumberFormat="1" applyFont="1" applyBorder="1" applyAlignment="1">
      <alignment horizontal="right"/>
    </xf>
    <xf numFmtId="0" fontId="12" fillId="0" borderId="58" xfId="0" applyFont="1" applyBorder="1" applyAlignment="1">
      <alignment wrapText="1"/>
    </xf>
    <xf numFmtId="3" fontId="12" fillId="0" borderId="58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right" wrapText="1"/>
    </xf>
    <xf numFmtId="0" fontId="22" fillId="0" borderId="58" xfId="0" applyFont="1" applyBorder="1" applyAlignment="1">
      <alignment wrapText="1"/>
    </xf>
    <xf numFmtId="3" fontId="22" fillId="0" borderId="58" xfId="0" applyNumberFormat="1" applyFont="1" applyBorder="1" applyAlignment="1">
      <alignment horizontal="right" wrapText="1"/>
    </xf>
    <xf numFmtId="0" fontId="12" fillId="0" borderId="56" xfId="0" applyFont="1" applyBorder="1" applyAlignment="1">
      <alignment/>
    </xf>
    <xf numFmtId="3" fontId="0" fillId="0" borderId="88" xfId="0" applyNumberFormat="1" applyFont="1" applyBorder="1" applyAlignment="1">
      <alignment horizontal="right"/>
    </xf>
    <xf numFmtId="3" fontId="17" fillId="4" borderId="0" xfId="0" applyNumberFormat="1" applyFont="1" applyFill="1" applyBorder="1" applyAlignment="1">
      <alignment horizontal="center"/>
    </xf>
    <xf numFmtId="3" fontId="0" fillId="4" borderId="9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Border="1" applyAlignment="1">
      <alignment wrapText="1"/>
    </xf>
    <xf numFmtId="0" fontId="12" fillId="3" borderId="13" xfId="0" applyFont="1" applyFill="1" applyBorder="1" applyAlignment="1">
      <alignment wrapText="1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58" xfId="0" applyNumberFormat="1" applyFont="1" applyBorder="1" applyAlignment="1">
      <alignment wrapText="1"/>
    </xf>
    <xf numFmtId="3" fontId="12" fillId="0" borderId="58" xfId="0" applyNumberFormat="1" applyFont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0" fillId="0" borderId="95" xfId="0" applyNumberFormat="1" applyFont="1" applyBorder="1" applyAlignment="1">
      <alignment wrapText="1"/>
    </xf>
    <xf numFmtId="3" fontId="0" fillId="0" borderId="96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0" fontId="0" fillId="0" borderId="97" xfId="0" applyFont="1" applyBorder="1" applyAlignment="1">
      <alignment/>
    </xf>
    <xf numFmtId="3" fontId="0" fillId="0" borderId="97" xfId="0" applyNumberFormat="1" applyFont="1" applyFill="1" applyBorder="1" applyAlignment="1">
      <alignment horizontal="right"/>
    </xf>
    <xf numFmtId="3" fontId="0" fillId="0" borderId="9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0" fillId="3" borderId="88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wrapText="1"/>
    </xf>
    <xf numFmtId="3" fontId="34" fillId="0" borderId="87" xfId="18" applyNumberFormat="1" applyFont="1" applyFill="1" applyBorder="1" applyAlignment="1">
      <alignment horizontal="right"/>
      <protection/>
    </xf>
    <xf numFmtId="3" fontId="33" fillId="0" borderId="17" xfId="18" applyNumberFormat="1" applyFont="1" applyFill="1" applyBorder="1" applyAlignment="1">
      <alignment horizontal="right"/>
      <protection/>
    </xf>
    <xf numFmtId="0" fontId="13" fillId="4" borderId="98" xfId="0" applyFont="1" applyFill="1" applyBorder="1" applyAlignment="1">
      <alignment horizontal="center"/>
    </xf>
    <xf numFmtId="0" fontId="0" fillId="4" borderId="98" xfId="0" applyFont="1" applyFill="1" applyBorder="1" applyAlignment="1">
      <alignment horizontal="center"/>
    </xf>
    <xf numFmtId="0" fontId="0" fillId="4" borderId="99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3" fontId="22" fillId="0" borderId="0" xfId="18" applyNumberFormat="1" applyFont="1" applyBorder="1">
      <alignment/>
      <protection/>
    </xf>
    <xf numFmtId="3" fontId="37" fillId="4" borderId="4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3" fontId="0" fillId="4" borderId="98" xfId="0" applyNumberFormat="1" applyFont="1" applyFill="1" applyBorder="1" applyAlignment="1">
      <alignment horizontal="center"/>
    </xf>
    <xf numFmtId="3" fontId="17" fillId="4" borderId="98" xfId="0" applyNumberFormat="1" applyFont="1" applyFill="1" applyBorder="1" applyAlignment="1">
      <alignment horizontal="center"/>
    </xf>
    <xf numFmtId="3" fontId="7" fillId="4" borderId="98" xfId="0" applyNumberFormat="1" applyFont="1" applyFill="1" applyBorder="1" applyAlignment="1">
      <alignment horizontal="center"/>
    </xf>
    <xf numFmtId="3" fontId="7" fillId="4" borderId="99" xfId="0" applyNumberFormat="1" applyFont="1" applyFill="1" applyBorder="1" applyAlignment="1">
      <alignment horizontal="center"/>
    </xf>
    <xf numFmtId="3" fontId="17" fillId="4" borderId="99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50" xfId="0" applyNumberFormat="1" applyFont="1" applyFill="1" applyBorder="1" applyAlignment="1">
      <alignment horizontal="center"/>
    </xf>
    <xf numFmtId="3" fontId="13" fillId="4" borderId="5" xfId="15" applyNumberFormat="1" applyFont="1" applyFill="1" applyBorder="1" applyAlignment="1">
      <alignment horizontal="center"/>
    </xf>
    <xf numFmtId="3" fontId="0" fillId="4" borderId="99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/>
    </xf>
    <xf numFmtId="3" fontId="13" fillId="2" borderId="15" xfId="0" applyNumberFormat="1" applyFont="1" applyFill="1" applyBorder="1" applyAlignment="1">
      <alignment wrapText="1"/>
    </xf>
    <xf numFmtId="0" fontId="12" fillId="0" borderId="100" xfId="0" applyFont="1" applyFill="1" applyBorder="1" applyAlignment="1">
      <alignment wrapText="1"/>
    </xf>
    <xf numFmtId="3" fontId="12" fillId="0" borderId="100" xfId="0" applyNumberFormat="1" applyFont="1" applyFill="1" applyBorder="1" applyAlignment="1">
      <alignment horizontal="right" wrapText="1"/>
    </xf>
    <xf numFmtId="0" fontId="0" fillId="0" borderId="101" xfId="0" applyFont="1" applyBorder="1" applyAlignment="1">
      <alignment wrapText="1"/>
    </xf>
    <xf numFmtId="0" fontId="19" fillId="0" borderId="80" xfId="0" applyFont="1" applyBorder="1" applyAlignment="1">
      <alignment horizontal="left" wrapText="1"/>
    </xf>
    <xf numFmtId="3" fontId="0" fillId="4" borderId="24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4" borderId="94" xfId="0" applyNumberFormat="1" applyFont="1" applyFill="1" applyBorder="1" applyAlignment="1">
      <alignment horizontal="center"/>
    </xf>
    <xf numFmtId="3" fontId="18" fillId="4" borderId="102" xfId="0" applyNumberFormat="1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/>
    </xf>
    <xf numFmtId="3" fontId="0" fillId="4" borderId="80" xfId="0" applyNumberFormat="1" applyFont="1" applyFill="1" applyBorder="1" applyAlignment="1">
      <alignment vertical="center" wrapText="1"/>
    </xf>
    <xf numFmtId="0" fontId="0" fillId="4" borderId="79" xfId="0" applyFont="1" applyFill="1" applyBorder="1" applyAlignment="1">
      <alignment vertical="center" wrapText="1"/>
    </xf>
    <xf numFmtId="0" fontId="0" fillId="4" borderId="82" xfId="0" applyFont="1" applyFill="1" applyBorder="1" applyAlignment="1">
      <alignment vertical="center" wrapText="1"/>
    </xf>
    <xf numFmtId="3" fontId="0" fillId="4" borderId="80" xfId="0" applyNumberFormat="1" applyFont="1" applyFill="1" applyBorder="1" applyAlignment="1">
      <alignment horizontal="left" vertical="center" wrapText="1"/>
    </xf>
    <xf numFmtId="0" fontId="6" fillId="4" borderId="103" xfId="0" applyFont="1" applyFill="1" applyBorder="1" applyAlignment="1">
      <alignment horizontal="left" vertical="center" wrapText="1"/>
    </xf>
    <xf numFmtId="0" fontId="0" fillId="4" borderId="80" xfId="0" applyFont="1" applyFill="1" applyBorder="1" applyAlignment="1">
      <alignment vertical="center" wrapText="1"/>
    </xf>
    <xf numFmtId="3" fontId="0" fillId="4" borderId="85" xfId="0" applyNumberFormat="1" applyFont="1" applyFill="1" applyBorder="1" applyAlignment="1">
      <alignment vertical="center" wrapText="1"/>
    </xf>
    <xf numFmtId="0" fontId="6" fillId="4" borderId="104" xfId="0" applyFont="1" applyFill="1" applyBorder="1" applyAlignment="1">
      <alignment horizontal="left" vertical="center" wrapText="1"/>
    </xf>
    <xf numFmtId="3" fontId="6" fillId="4" borderId="104" xfId="0" applyNumberFormat="1" applyFont="1" applyFill="1" applyBorder="1" applyAlignment="1">
      <alignment vertical="center" wrapText="1"/>
    </xf>
    <xf numFmtId="0" fontId="19" fillId="0" borderId="79" xfId="0" applyFont="1" applyBorder="1" applyAlignment="1">
      <alignment horizontal="left" wrapText="1"/>
    </xf>
    <xf numFmtId="3" fontId="0" fillId="4" borderId="0" xfId="0" applyNumberFormat="1" applyFont="1" applyFill="1" applyAlignment="1">
      <alignment wrapText="1"/>
    </xf>
    <xf numFmtId="3" fontId="13" fillId="4" borderId="105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3" fontId="13" fillId="4" borderId="106" xfId="0" applyNumberFormat="1" applyFont="1" applyFill="1" applyBorder="1" applyAlignment="1">
      <alignment vertical="center" wrapText="1"/>
    </xf>
    <xf numFmtId="3" fontId="13" fillId="4" borderId="0" xfId="0" applyNumberFormat="1" applyFont="1" applyFill="1" applyBorder="1" applyAlignment="1">
      <alignment/>
    </xf>
    <xf numFmtId="3" fontId="22" fillId="3" borderId="15" xfId="0" applyNumberFormat="1" applyFont="1" applyFill="1" applyBorder="1" applyAlignment="1" quotePrefix="1">
      <alignment horizontal="right"/>
    </xf>
    <xf numFmtId="0" fontId="22" fillId="3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 wrapText="1"/>
    </xf>
    <xf numFmtId="3" fontId="13" fillId="0" borderId="15" xfId="0" applyNumberFormat="1" applyFont="1" applyFill="1" applyBorder="1" applyAlignment="1">
      <alignment horizontal="right" wrapText="1"/>
    </xf>
    <xf numFmtId="3" fontId="13" fillId="0" borderId="15" xfId="0" applyNumberFormat="1" applyFont="1" applyBorder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3" borderId="0" xfId="0" applyFont="1" applyFill="1" applyAlignment="1">
      <alignment wrapText="1"/>
    </xf>
    <xf numFmtId="3" fontId="0" fillId="3" borderId="0" xfId="0" applyNumberFormat="1" applyFont="1" applyFill="1" applyAlignment="1">
      <alignment wrapText="1"/>
    </xf>
    <xf numFmtId="0" fontId="0" fillId="3" borderId="1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3" fontId="12" fillId="0" borderId="0" xfId="0" applyNumberFormat="1" applyFont="1" applyFill="1" applyAlignment="1">
      <alignment wrapText="1"/>
    </xf>
    <xf numFmtId="0" fontId="12" fillId="3" borderId="0" xfId="0" applyFont="1" applyFill="1" applyAlignment="1">
      <alignment wrapText="1"/>
    </xf>
    <xf numFmtId="3" fontId="12" fillId="3" borderId="0" xfId="0" applyNumberFormat="1" applyFont="1" applyFill="1" applyAlignment="1">
      <alignment wrapText="1"/>
    </xf>
    <xf numFmtId="3" fontId="0" fillId="0" borderId="24" xfId="0" applyNumberFormat="1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0" fontId="12" fillId="0" borderId="87" xfId="0" applyFont="1" applyBorder="1" applyAlignment="1">
      <alignment wrapText="1"/>
    </xf>
    <xf numFmtId="3" fontId="12" fillId="0" borderId="87" xfId="0" applyNumberFormat="1" applyFont="1" applyFill="1" applyBorder="1" applyAlignment="1">
      <alignment horizontal="right" wrapText="1"/>
    </xf>
    <xf numFmtId="3" fontId="12" fillId="0" borderId="87" xfId="0" applyNumberFormat="1" applyFont="1" applyBorder="1" applyAlignment="1">
      <alignment horizontal="right" wrapText="1"/>
    </xf>
    <xf numFmtId="0" fontId="12" fillId="3" borderId="13" xfId="0" applyFont="1" applyFill="1" applyBorder="1" applyAlignment="1">
      <alignment wrapText="1"/>
    </xf>
    <xf numFmtId="0" fontId="12" fillId="0" borderId="87" xfId="0" applyFont="1" applyBorder="1" applyAlignment="1">
      <alignment wrapText="1"/>
    </xf>
    <xf numFmtId="3" fontId="12" fillId="0" borderId="87" xfId="0" applyNumberFormat="1" applyFont="1" applyBorder="1" applyAlignment="1">
      <alignment horizontal="right" wrapText="1"/>
    </xf>
    <xf numFmtId="3" fontId="12" fillId="0" borderId="0" xfId="0" applyNumberFormat="1" applyFont="1" applyFill="1" applyAlignment="1">
      <alignment wrapText="1"/>
    </xf>
    <xf numFmtId="0" fontId="12" fillId="3" borderId="0" xfId="0" applyFont="1" applyFill="1" applyAlignment="1">
      <alignment wrapText="1"/>
    </xf>
    <xf numFmtId="3" fontId="12" fillId="3" borderId="0" xfId="0" applyNumberFormat="1" applyFont="1" applyFill="1" applyAlignment="1">
      <alignment wrapText="1"/>
    </xf>
    <xf numFmtId="0" fontId="0" fillId="3" borderId="17" xfId="0" applyFont="1" applyFill="1" applyBorder="1" applyAlignment="1">
      <alignment horizontal="lef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3" fontId="8" fillId="4" borderId="23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0" fontId="38" fillId="3" borderId="13" xfId="0" applyFont="1" applyFill="1" applyBorder="1" applyAlignment="1">
      <alignment/>
    </xf>
    <xf numFmtId="3" fontId="38" fillId="0" borderId="25" xfId="0" applyNumberFormat="1" applyFont="1" applyFill="1" applyBorder="1" applyAlignment="1">
      <alignment horizontal="right"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12" fillId="0" borderId="58" xfId="0" applyFont="1" applyBorder="1" applyAlignment="1">
      <alignment/>
    </xf>
    <xf numFmtId="0" fontId="12" fillId="0" borderId="58" xfId="0" applyFont="1" applyBorder="1" applyAlignment="1">
      <alignment/>
    </xf>
    <xf numFmtId="3" fontId="12" fillId="0" borderId="58" xfId="0" applyNumberFormat="1" applyFont="1" applyBorder="1" applyAlignment="1">
      <alignment/>
    </xf>
    <xf numFmtId="3" fontId="0" fillId="0" borderId="27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0" borderId="107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108" xfId="0" applyNumberFormat="1" applyFont="1" applyBorder="1" applyAlignment="1">
      <alignment wrapText="1"/>
    </xf>
    <xf numFmtId="3" fontId="0" fillId="0" borderId="109" xfId="0" applyNumberFormat="1" applyFont="1" applyBorder="1" applyAlignment="1">
      <alignment wrapText="1"/>
    </xf>
    <xf numFmtId="3" fontId="0" fillId="0" borderId="110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/>
    </xf>
    <xf numFmtId="0" fontId="34" fillId="0" borderId="58" xfId="0" applyFont="1" applyBorder="1" applyAlignment="1">
      <alignment wrapText="1"/>
    </xf>
    <xf numFmtId="0" fontId="3" fillId="0" borderId="111" xfId="0" applyFont="1" applyFill="1" applyBorder="1" applyAlignment="1">
      <alignment/>
    </xf>
    <xf numFmtId="0" fontId="3" fillId="0" borderId="111" xfId="0" applyFont="1" applyFill="1" applyBorder="1" applyAlignment="1">
      <alignment wrapText="1"/>
    </xf>
    <xf numFmtId="3" fontId="3" fillId="0" borderId="1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0" fillId="4" borderId="25" xfId="0" applyNumberFormat="1" applyFont="1" applyFill="1" applyBorder="1" applyAlignment="1">
      <alignment wrapText="1"/>
    </xf>
    <xf numFmtId="3" fontId="33" fillId="0" borderId="25" xfId="18" applyNumberFormat="1" applyFont="1" applyFill="1" applyBorder="1" applyAlignment="1">
      <alignment/>
      <protection/>
    </xf>
    <xf numFmtId="3" fontId="33" fillId="0" borderId="25" xfId="18" applyNumberFormat="1" applyFont="1" applyFill="1" applyBorder="1" applyAlignment="1">
      <alignment horizontal="center"/>
      <protection/>
    </xf>
    <xf numFmtId="3" fontId="33" fillId="0" borderId="25" xfId="18" applyNumberFormat="1" applyFont="1" applyFill="1" applyBorder="1" applyAlignment="1">
      <alignment horizontal="right"/>
      <protection/>
    </xf>
    <xf numFmtId="0" fontId="13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0" fontId="12" fillId="3" borderId="111" xfId="0" applyFont="1" applyFill="1" applyBorder="1" applyAlignment="1">
      <alignment/>
    </xf>
    <xf numFmtId="0" fontId="12" fillId="0" borderId="111" xfId="0" applyFont="1" applyBorder="1" applyAlignment="1">
      <alignment/>
    </xf>
    <xf numFmtId="0" fontId="0" fillId="0" borderId="112" xfId="0" applyFont="1" applyBorder="1" applyAlignment="1">
      <alignment wrapText="1"/>
    </xf>
    <xf numFmtId="3" fontId="0" fillId="0" borderId="112" xfId="0" applyNumberFormat="1" applyFont="1" applyBorder="1" applyAlignment="1">
      <alignment horizontal="right" wrapText="1"/>
    </xf>
    <xf numFmtId="0" fontId="12" fillId="0" borderId="113" xfId="0" applyFont="1" applyBorder="1" applyAlignment="1">
      <alignment wrapText="1"/>
    </xf>
    <xf numFmtId="3" fontId="12" fillId="0" borderId="113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/>
    </xf>
    <xf numFmtId="0" fontId="12" fillId="0" borderId="100" xfId="0" applyFont="1" applyBorder="1" applyAlignment="1">
      <alignment wrapText="1"/>
    </xf>
    <xf numFmtId="3" fontId="12" fillId="0" borderId="100" xfId="0" applyNumberFormat="1" applyFont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right"/>
    </xf>
    <xf numFmtId="0" fontId="0" fillId="3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12" fillId="0" borderId="111" xfId="0" applyNumberFormat="1" applyFont="1" applyFill="1" applyBorder="1" applyAlignment="1">
      <alignment horizontal="right"/>
    </xf>
    <xf numFmtId="3" fontId="12" fillId="0" borderId="57" xfId="0" applyNumberFormat="1" applyFont="1" applyFill="1" applyBorder="1" applyAlignment="1">
      <alignment horizontal="right"/>
    </xf>
    <xf numFmtId="0" fontId="12" fillId="0" borderId="111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12" fillId="0" borderId="56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12" fillId="0" borderId="88" xfId="0" applyFont="1" applyBorder="1" applyAlignment="1">
      <alignment/>
    </xf>
    <xf numFmtId="3" fontId="12" fillId="0" borderId="88" xfId="0" applyNumberFormat="1" applyFont="1" applyFill="1" applyBorder="1" applyAlignment="1">
      <alignment horizontal="right"/>
    </xf>
    <xf numFmtId="3" fontId="12" fillId="0" borderId="88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4" xfId="0" applyFont="1" applyBorder="1" applyAlignment="1">
      <alignment wrapText="1"/>
    </xf>
    <xf numFmtId="3" fontId="12" fillId="0" borderId="114" xfId="0" applyNumberFormat="1" applyFont="1" applyBorder="1" applyAlignment="1">
      <alignment horizontal="right" wrapText="1"/>
    </xf>
    <xf numFmtId="0" fontId="12" fillId="0" borderId="115" xfId="0" applyFont="1" applyBorder="1" applyAlignment="1">
      <alignment wrapText="1"/>
    </xf>
    <xf numFmtId="3" fontId="12" fillId="0" borderId="115" xfId="0" applyNumberFormat="1" applyFont="1" applyBorder="1" applyAlignment="1">
      <alignment horizontal="right" wrapText="1"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12" fillId="0" borderId="56" xfId="0" applyFont="1" applyFill="1" applyBorder="1" applyAlignment="1">
      <alignment wrapText="1"/>
    </xf>
    <xf numFmtId="3" fontId="12" fillId="0" borderId="56" xfId="0" applyNumberFormat="1" applyFont="1" applyBorder="1" applyAlignment="1">
      <alignment horizontal="right"/>
    </xf>
    <xf numFmtId="0" fontId="0" fillId="0" borderId="88" xfId="0" applyFont="1" applyBorder="1" applyAlignment="1">
      <alignment/>
    </xf>
    <xf numFmtId="3" fontId="0" fillId="0" borderId="88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0" fontId="0" fillId="0" borderId="116" xfId="0" applyFont="1" applyBorder="1" applyAlignment="1">
      <alignment/>
    </xf>
    <xf numFmtId="3" fontId="0" fillId="0" borderId="116" xfId="0" applyNumberFormat="1" applyFont="1" applyFill="1" applyBorder="1" applyAlignment="1">
      <alignment horizontal="right"/>
    </xf>
    <xf numFmtId="3" fontId="0" fillId="0" borderId="116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12" fillId="3" borderId="56" xfId="0" applyFont="1" applyFill="1" applyBorder="1" applyAlignment="1">
      <alignment wrapText="1"/>
    </xf>
    <xf numFmtId="0" fontId="0" fillId="3" borderId="117" xfId="0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0" fontId="15" fillId="0" borderId="15" xfId="0" applyFont="1" applyBorder="1" applyAlignment="1">
      <alignment wrapText="1"/>
    </xf>
    <xf numFmtId="3" fontId="15" fillId="0" borderId="15" xfId="0" applyNumberFormat="1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0" fontId="15" fillId="4" borderId="32" xfId="0" applyFont="1" applyFill="1" applyBorder="1" applyAlignment="1">
      <alignment wrapText="1"/>
    </xf>
    <xf numFmtId="3" fontId="13" fillId="3" borderId="16" xfId="0" applyNumberFormat="1" applyFont="1" applyFill="1" applyBorder="1" applyAlignment="1">
      <alignment horizontal="right"/>
    </xf>
    <xf numFmtId="0" fontId="15" fillId="4" borderId="30" xfId="0" applyFont="1" applyFill="1" applyBorder="1" applyAlignment="1">
      <alignment wrapText="1"/>
    </xf>
    <xf numFmtId="3" fontId="15" fillId="0" borderId="30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/>
    </xf>
    <xf numFmtId="3" fontId="13" fillId="2" borderId="35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 wrapText="1"/>
    </xf>
    <xf numFmtId="3" fontId="0" fillId="4" borderId="15" xfId="0" applyNumberFormat="1" applyFont="1" applyFill="1" applyBorder="1" applyAlignment="1">
      <alignment horizontal="right" wrapText="1"/>
    </xf>
    <xf numFmtId="0" fontId="0" fillId="3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0" fontId="13" fillId="2" borderId="27" xfId="0" applyFont="1" applyFill="1" applyBorder="1" applyAlignment="1">
      <alignment horizontal="left" wrapText="1"/>
    </xf>
    <xf numFmtId="3" fontId="15" fillId="4" borderId="15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13" fillId="0" borderId="43" xfId="0" applyNumberFormat="1" applyFont="1" applyFill="1" applyBorder="1" applyAlignment="1">
      <alignment horizontal="right"/>
    </xf>
    <xf numFmtId="3" fontId="13" fillId="4" borderId="43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 wrapText="1"/>
    </xf>
    <xf numFmtId="3" fontId="15" fillId="4" borderId="13" xfId="0" applyNumberFormat="1" applyFont="1" applyFill="1" applyBorder="1" applyAlignment="1">
      <alignment horizontal="right"/>
    </xf>
    <xf numFmtId="0" fontId="15" fillId="4" borderId="3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3" fontId="15" fillId="0" borderId="15" xfId="0" applyNumberFormat="1" applyFont="1" applyFill="1" applyBorder="1" applyAlignment="1">
      <alignment horizontal="right"/>
    </xf>
    <xf numFmtId="0" fontId="15" fillId="4" borderId="15" xfId="0" applyFont="1" applyFill="1" applyBorder="1" applyAlignment="1">
      <alignment wrapText="1"/>
    </xf>
    <xf numFmtId="0" fontId="15" fillId="0" borderId="3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3" borderId="111" xfId="0" applyFont="1" applyFill="1" applyBorder="1" applyAlignment="1">
      <alignment/>
    </xf>
    <xf numFmtId="0" fontId="0" fillId="0" borderId="111" xfId="0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111" xfId="0" applyNumberFormat="1" applyFont="1" applyFill="1" applyBorder="1" applyAlignment="1">
      <alignment horizontal="right"/>
    </xf>
    <xf numFmtId="3" fontId="0" fillId="0" borderId="111" xfId="0" applyNumberFormat="1" applyFont="1" applyBorder="1" applyAlignment="1">
      <alignment horizontal="right"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60" xfId="0" applyNumberFormat="1" applyFont="1" applyBorder="1" applyAlignment="1">
      <alignment wrapText="1"/>
    </xf>
    <xf numFmtId="3" fontId="0" fillId="0" borderId="61" xfId="0" applyNumberFormat="1" applyFont="1" applyBorder="1" applyAlignment="1">
      <alignment wrapText="1"/>
    </xf>
    <xf numFmtId="3" fontId="0" fillId="0" borderId="118" xfId="0" applyNumberFormat="1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horizontal="right"/>
    </xf>
    <xf numFmtId="3" fontId="12" fillId="0" borderId="25" xfId="0" applyNumberFormat="1" applyFont="1" applyFill="1" applyBorder="1" applyAlignment="1">
      <alignment horizontal="right" wrapText="1"/>
    </xf>
    <xf numFmtId="0" fontId="12" fillId="0" borderId="22" xfId="0" applyFont="1" applyBorder="1" applyAlignment="1">
      <alignment wrapText="1"/>
    </xf>
    <xf numFmtId="3" fontId="12" fillId="0" borderId="22" xfId="0" applyNumberFormat="1" applyFont="1" applyBorder="1" applyAlignment="1">
      <alignment horizontal="right" wrapText="1"/>
    </xf>
    <xf numFmtId="0" fontId="0" fillId="3" borderId="22" xfId="0" applyFont="1" applyFill="1" applyBorder="1" applyAlignment="1">
      <alignment/>
    </xf>
    <xf numFmtId="3" fontId="17" fillId="4" borderId="80" xfId="0" applyNumberFormat="1" applyFont="1" applyFill="1" applyBorder="1" applyAlignment="1">
      <alignment horizontal="left" vertical="center"/>
    </xf>
    <xf numFmtId="3" fontId="0" fillId="4" borderId="119" xfId="0" applyNumberFormat="1" applyFont="1" applyFill="1" applyBorder="1" applyAlignment="1">
      <alignment vertical="center" wrapText="1"/>
    </xf>
    <xf numFmtId="3" fontId="0" fillId="4" borderId="64" xfId="0" applyNumberFormat="1" applyFont="1" applyFill="1" applyBorder="1" applyAlignment="1">
      <alignment/>
    </xf>
    <xf numFmtId="3" fontId="0" fillId="4" borderId="65" xfId="0" applyNumberFormat="1" applyFont="1" applyFill="1" applyBorder="1" applyAlignment="1">
      <alignment/>
    </xf>
    <xf numFmtId="3" fontId="0" fillId="4" borderId="111" xfId="0" applyNumberFormat="1" applyFont="1" applyFill="1" applyBorder="1" applyAlignment="1">
      <alignment wrapText="1"/>
    </xf>
    <xf numFmtId="3" fontId="33" fillId="0" borderId="111" xfId="18" applyNumberFormat="1" applyFont="1" applyFill="1" applyBorder="1" applyAlignment="1">
      <alignment/>
      <protection/>
    </xf>
    <xf numFmtId="3" fontId="33" fillId="0" borderId="111" xfId="18" applyNumberFormat="1" applyFont="1" applyFill="1" applyBorder="1" applyAlignment="1">
      <alignment horizontal="center"/>
      <protection/>
    </xf>
    <xf numFmtId="3" fontId="33" fillId="0" borderId="111" xfId="18" applyNumberFormat="1" applyFont="1" applyFill="1" applyBorder="1" applyAlignment="1">
      <alignment horizontal="right"/>
      <protection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3" fontId="11" fillId="0" borderId="1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0" fillId="0" borderId="16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7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2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/>
    </xf>
    <xf numFmtId="0" fontId="42" fillId="0" borderId="0" xfId="0" applyFont="1" applyAlignment="1">
      <alignment vertical="center"/>
    </xf>
    <xf numFmtId="0" fontId="43" fillId="4" borderId="13" xfId="0" applyFont="1" applyFill="1" applyBorder="1" applyAlignment="1">
      <alignment/>
    </xf>
    <xf numFmtId="0" fontId="44" fillId="4" borderId="12" xfId="0" applyFont="1" applyFill="1" applyBorder="1" applyAlignment="1">
      <alignment horizontal="left" wrapText="1"/>
    </xf>
    <xf numFmtId="0" fontId="44" fillId="4" borderId="12" xfId="0" applyFont="1" applyFill="1" applyBorder="1" applyAlignment="1">
      <alignment wrapText="1"/>
    </xf>
    <xf numFmtId="0" fontId="44" fillId="4" borderId="12" xfId="0" applyFont="1" applyFill="1" applyBorder="1" applyAlignment="1">
      <alignment horizontal="center" wrapText="1"/>
    </xf>
    <xf numFmtId="3" fontId="44" fillId="4" borderId="12" xfId="0" applyNumberFormat="1" applyFont="1" applyFill="1" applyBorder="1" applyAlignment="1">
      <alignment horizontal="right"/>
    </xf>
    <xf numFmtId="0" fontId="43" fillId="0" borderId="0" xfId="0" applyFont="1" applyAlignment="1">
      <alignment vertical="center"/>
    </xf>
    <xf numFmtId="0" fontId="4" fillId="2" borderId="17" xfId="0" applyFont="1" applyFill="1" applyBorder="1" applyAlignment="1">
      <alignment/>
    </xf>
    <xf numFmtId="1" fontId="42" fillId="2" borderId="17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horizontal="center" wrapText="1"/>
    </xf>
    <xf numFmtId="3" fontId="4" fillId="2" borderId="17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" fillId="0" borderId="13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42" fillId="0" borderId="13" xfId="0" applyNumberFormat="1" applyFont="1" applyBorder="1" applyAlignment="1">
      <alignment/>
    </xf>
    <xf numFmtId="0" fontId="42" fillId="0" borderId="88" xfId="0" applyFont="1" applyBorder="1" applyAlignment="1">
      <alignment horizontal="left" wrapText="1"/>
    </xf>
    <xf numFmtId="0" fontId="42" fillId="0" borderId="88" xfId="0" applyFont="1" applyBorder="1" applyAlignment="1">
      <alignment horizontal="center" wrapText="1"/>
    </xf>
    <xf numFmtId="0" fontId="42" fillId="0" borderId="88" xfId="0" applyFont="1" applyBorder="1" applyAlignment="1">
      <alignment wrapText="1"/>
    </xf>
    <xf numFmtId="3" fontId="42" fillId="0" borderId="88" xfId="0" applyNumberFormat="1" applyFont="1" applyBorder="1" applyAlignment="1">
      <alignment horizontal="right" wrapText="1"/>
    </xf>
    <xf numFmtId="3" fontId="42" fillId="0" borderId="88" xfId="0" applyNumberFormat="1" applyFont="1" applyBorder="1" applyAlignment="1">
      <alignment/>
    </xf>
    <xf numFmtId="0" fontId="43" fillId="4" borderId="31" xfId="0" applyFont="1" applyFill="1" applyBorder="1" applyAlignment="1">
      <alignment/>
    </xf>
    <xf numFmtId="0" fontId="44" fillId="4" borderId="43" xfId="0" applyFont="1" applyFill="1" applyBorder="1" applyAlignment="1">
      <alignment horizontal="left" wrapText="1"/>
    </xf>
    <xf numFmtId="0" fontId="44" fillId="4" borderId="43" xfId="0" applyFont="1" applyFill="1" applyBorder="1" applyAlignment="1">
      <alignment wrapText="1"/>
    </xf>
    <xf numFmtId="0" fontId="44" fillId="4" borderId="43" xfId="0" applyFont="1" applyFill="1" applyBorder="1" applyAlignment="1">
      <alignment horizontal="center" wrapText="1"/>
    </xf>
    <xf numFmtId="3" fontId="44" fillId="4" borderId="43" xfId="0" applyNumberFormat="1" applyFont="1" applyFill="1" applyBorder="1" applyAlignment="1">
      <alignment horizontal="right"/>
    </xf>
    <xf numFmtId="3" fontId="44" fillId="4" borderId="13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3" fontId="47" fillId="0" borderId="17" xfId="0" applyNumberFormat="1" applyFont="1" applyFill="1" applyBorder="1" applyAlignment="1">
      <alignment/>
    </xf>
    <xf numFmtId="0" fontId="15" fillId="4" borderId="16" xfId="0" applyFont="1" applyFill="1" applyBorder="1" applyAlignment="1">
      <alignment horizontal="left" wrapText="1"/>
    </xf>
    <xf numFmtId="0" fontId="12" fillId="0" borderId="21" xfId="0" applyFont="1" applyBorder="1" applyAlignment="1">
      <alignment wrapText="1"/>
    </xf>
    <xf numFmtId="3" fontId="12" fillId="0" borderId="21" xfId="0" applyNumberFormat="1" applyFont="1" applyBorder="1" applyAlignment="1">
      <alignment horizontal="right" wrapText="1"/>
    </xf>
    <xf numFmtId="3" fontId="22" fillId="0" borderId="113" xfId="0" applyNumberFormat="1" applyFont="1" applyBorder="1" applyAlignment="1">
      <alignment horizontal="right" wrapText="1"/>
    </xf>
    <xf numFmtId="0" fontId="22" fillId="0" borderId="100" xfId="0" applyFont="1" applyBorder="1" applyAlignment="1">
      <alignment wrapText="1"/>
    </xf>
    <xf numFmtId="3" fontId="22" fillId="0" borderId="100" xfId="0" applyNumberFormat="1" applyFont="1" applyBorder="1" applyAlignment="1">
      <alignment horizontal="right" wrapText="1"/>
    </xf>
    <xf numFmtId="0" fontId="12" fillId="0" borderId="113" xfId="0" applyFont="1" applyBorder="1" applyAlignment="1">
      <alignment wrapText="1"/>
    </xf>
    <xf numFmtId="3" fontId="12" fillId="0" borderId="113" xfId="0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13" fillId="4" borderId="47" xfId="0" applyNumberFormat="1" applyFont="1" applyFill="1" applyBorder="1" applyAlignment="1">
      <alignment horizontal="right"/>
    </xf>
    <xf numFmtId="3" fontId="13" fillId="4" borderId="43" xfId="15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/>
    </xf>
    <xf numFmtId="3" fontId="13" fillId="4" borderId="17" xfId="0" applyNumberFormat="1" applyFont="1" applyFill="1" applyBorder="1" applyAlignment="1">
      <alignment horizontal="right"/>
    </xf>
    <xf numFmtId="3" fontId="13" fillId="4" borderId="17" xfId="15" applyNumberFormat="1" applyFont="1" applyFill="1" applyBorder="1" applyAlignment="1">
      <alignment horizontal="right"/>
    </xf>
    <xf numFmtId="3" fontId="13" fillId="4" borderId="31" xfId="0" applyNumberFormat="1" applyFont="1" applyFill="1" applyBorder="1" applyAlignment="1">
      <alignment/>
    </xf>
    <xf numFmtId="3" fontId="13" fillId="4" borderId="31" xfId="15" applyNumberFormat="1" applyFont="1" applyFill="1" applyBorder="1" applyAlignment="1">
      <alignment horizontal="right"/>
    </xf>
    <xf numFmtId="3" fontId="24" fillId="4" borderId="17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3" fontId="0" fillId="4" borderId="15" xfId="15" applyNumberFormat="1" applyFont="1" applyFill="1" applyBorder="1" applyAlignment="1">
      <alignment horizontal="right"/>
    </xf>
    <xf numFmtId="3" fontId="0" fillId="4" borderId="15" xfId="0" applyNumberFormat="1" applyFont="1" applyFill="1" applyBorder="1" applyAlignment="1">
      <alignment/>
    </xf>
    <xf numFmtId="3" fontId="0" fillId="4" borderId="51" xfId="0" applyNumberFormat="1" applyFont="1" applyFill="1" applyBorder="1" applyAlignment="1">
      <alignment/>
    </xf>
    <xf numFmtId="3" fontId="0" fillId="4" borderId="43" xfId="15" applyNumberFormat="1" applyFont="1" applyFill="1" applyBorder="1" applyAlignment="1">
      <alignment horizontal="right"/>
    </xf>
    <xf numFmtId="3" fontId="13" fillId="4" borderId="93" xfId="0" applyNumberFormat="1" applyFont="1" applyFill="1" applyBorder="1" applyAlignment="1">
      <alignment/>
    </xf>
    <xf numFmtId="3" fontId="13" fillId="4" borderId="93" xfId="15" applyNumberFormat="1" applyFont="1" applyFill="1" applyBorder="1" applyAlignment="1">
      <alignment horizontal="right"/>
    </xf>
    <xf numFmtId="3" fontId="0" fillId="4" borderId="15" xfId="15" applyNumberFormat="1" applyFont="1" applyFill="1" applyBorder="1" applyAlignment="1">
      <alignment horizontal="right"/>
    </xf>
    <xf numFmtId="3" fontId="0" fillId="4" borderId="27" xfId="15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0" fillId="4" borderId="29" xfId="15" applyNumberFormat="1" applyFont="1" applyFill="1" applyBorder="1" applyAlignment="1">
      <alignment horizontal="right"/>
    </xf>
    <xf numFmtId="3" fontId="0" fillId="4" borderId="64" xfId="15" applyNumberFormat="1" applyFont="1" applyFill="1" applyBorder="1" applyAlignment="1">
      <alignment horizontal="right"/>
    </xf>
    <xf numFmtId="3" fontId="0" fillId="4" borderId="93" xfId="15" applyNumberFormat="1" applyFont="1" applyFill="1" applyBorder="1" applyAlignment="1">
      <alignment horizontal="right"/>
    </xf>
    <xf numFmtId="3" fontId="0" fillId="4" borderId="121" xfId="15" applyNumberFormat="1" applyFont="1" applyFill="1" applyBorder="1" applyAlignment="1">
      <alignment horizontal="right"/>
    </xf>
    <xf numFmtId="3" fontId="0" fillId="4" borderId="93" xfId="15" applyNumberFormat="1" applyFont="1" applyFill="1" applyBorder="1" applyAlignment="1">
      <alignment horizontal="right"/>
    </xf>
    <xf numFmtId="3" fontId="0" fillId="4" borderId="51" xfId="15" applyNumberFormat="1" applyFont="1" applyFill="1" applyBorder="1" applyAlignment="1">
      <alignment horizontal="right"/>
    </xf>
    <xf numFmtId="3" fontId="0" fillId="4" borderId="93" xfId="0" applyNumberFormat="1" applyFont="1" applyFill="1" applyBorder="1" applyAlignment="1">
      <alignment/>
    </xf>
    <xf numFmtId="3" fontId="6" fillId="4" borderId="28" xfId="15" applyNumberFormat="1" applyFont="1" applyFill="1" applyBorder="1" applyAlignment="1">
      <alignment horizontal="right"/>
    </xf>
    <xf numFmtId="3" fontId="13" fillId="4" borderId="16" xfId="15" applyNumberFormat="1" applyFont="1" applyFill="1" applyBorder="1" applyAlignment="1">
      <alignment horizontal="right"/>
    </xf>
    <xf numFmtId="3" fontId="0" fillId="4" borderId="44" xfId="15" applyNumberFormat="1" applyFont="1" applyFill="1" applyBorder="1" applyAlignment="1">
      <alignment horizontal="right"/>
    </xf>
    <xf numFmtId="3" fontId="13" fillId="4" borderId="93" xfId="0" applyNumberFormat="1" applyFont="1" applyFill="1" applyBorder="1" applyAlignment="1">
      <alignment horizontal="right"/>
    </xf>
    <xf numFmtId="3" fontId="13" fillId="4" borderId="15" xfId="15" applyNumberFormat="1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3" fontId="0" fillId="4" borderId="31" xfId="15" applyNumberFormat="1" applyFont="1" applyFill="1" applyBorder="1" applyAlignment="1">
      <alignment horizontal="right"/>
    </xf>
    <xf numFmtId="3" fontId="6" fillId="4" borderId="30" xfId="15" applyNumberFormat="1" applyFont="1" applyFill="1" applyBorder="1" applyAlignment="1">
      <alignment horizontal="right"/>
    </xf>
    <xf numFmtId="3" fontId="13" fillId="4" borderId="30" xfId="15" applyNumberFormat="1" applyFont="1" applyFill="1" applyBorder="1" applyAlignment="1">
      <alignment horizontal="right"/>
    </xf>
    <xf numFmtId="3" fontId="13" fillId="4" borderId="64" xfId="0" applyNumberFormat="1" applyFont="1" applyFill="1" applyBorder="1" applyAlignment="1">
      <alignment horizontal="right"/>
    </xf>
    <xf numFmtId="3" fontId="15" fillId="4" borderId="15" xfId="15" applyNumberFormat="1" applyFont="1" applyFill="1" applyBorder="1" applyAlignment="1">
      <alignment horizontal="right"/>
    </xf>
    <xf numFmtId="3" fontId="0" fillId="4" borderId="17" xfId="0" applyNumberFormat="1" applyFont="1" applyFill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3" fontId="6" fillId="4" borderId="34" xfId="0" applyNumberFormat="1" applyFont="1" applyFill="1" applyBorder="1" applyAlignment="1">
      <alignment horizontal="right"/>
    </xf>
    <xf numFmtId="3" fontId="18" fillId="4" borderId="34" xfId="0" applyNumberFormat="1" applyFont="1" applyFill="1" applyBorder="1" applyAlignment="1">
      <alignment horizontal="right"/>
    </xf>
    <xf numFmtId="3" fontId="6" fillId="4" borderId="30" xfId="0" applyNumberFormat="1" applyFont="1" applyFill="1" applyBorder="1" applyAlignment="1">
      <alignment horizontal="right"/>
    </xf>
    <xf numFmtId="3" fontId="6" fillId="4" borderId="30" xfId="0" applyNumberFormat="1" applyFont="1" applyFill="1" applyBorder="1" applyAlignment="1">
      <alignment horizontal="right"/>
    </xf>
    <xf numFmtId="3" fontId="13" fillId="4" borderId="12" xfId="0" applyNumberFormat="1" applyFont="1" applyFill="1" applyBorder="1" applyAlignment="1">
      <alignment horizontal="right"/>
    </xf>
    <xf numFmtId="3" fontId="0" fillId="4" borderId="122" xfId="0" applyNumberFormat="1" applyFont="1" applyFill="1" applyBorder="1" applyAlignment="1">
      <alignment horizontal="right"/>
    </xf>
    <xf numFmtId="3" fontId="0" fillId="4" borderId="123" xfId="0" applyNumberFormat="1" applyFont="1" applyFill="1" applyBorder="1" applyAlignment="1">
      <alignment horizontal="right"/>
    </xf>
    <xf numFmtId="3" fontId="0" fillId="4" borderId="122" xfId="0" applyNumberFormat="1" applyFont="1" applyFill="1" applyBorder="1" applyAlignment="1">
      <alignment horizontal="right"/>
    </xf>
    <xf numFmtId="3" fontId="0" fillId="4" borderId="15" xfId="0" applyNumberFormat="1" applyFont="1" applyFill="1" applyBorder="1" applyAlignment="1">
      <alignment horizontal="right"/>
    </xf>
    <xf numFmtId="3" fontId="19" fillId="0" borderId="15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0" fillId="4" borderId="15" xfId="0" applyNumberFormat="1" applyFont="1" applyFill="1" applyBorder="1" applyAlignment="1">
      <alignment horizontal="right"/>
    </xf>
    <xf numFmtId="3" fontId="19" fillId="0" borderId="17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0" fillId="4" borderId="17" xfId="0" applyNumberFormat="1" applyFont="1" applyFill="1" applyBorder="1" applyAlignment="1">
      <alignment horizontal="right"/>
    </xf>
    <xf numFmtId="3" fontId="15" fillId="4" borderId="13" xfId="0" applyNumberFormat="1" applyFont="1" applyFill="1" applyBorder="1" applyAlignment="1">
      <alignment horizontal="right"/>
    </xf>
    <xf numFmtId="3" fontId="15" fillId="4" borderId="16" xfId="15" applyNumberFormat="1" applyFont="1" applyFill="1" applyBorder="1" applyAlignment="1">
      <alignment horizontal="right"/>
    </xf>
    <xf numFmtId="0" fontId="0" fillId="4" borderId="15" xfId="0" applyFont="1" applyFill="1" applyBorder="1" applyAlignment="1">
      <alignment horizontal="right"/>
    </xf>
    <xf numFmtId="0" fontId="0" fillId="4" borderId="27" xfId="0" applyFont="1" applyFill="1" applyBorder="1" applyAlignment="1">
      <alignment horizontal="right"/>
    </xf>
    <xf numFmtId="3" fontId="0" fillId="0" borderId="23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/>
    </xf>
    <xf numFmtId="3" fontId="13" fillId="0" borderId="15" xfId="0" applyNumberFormat="1" applyFont="1" applyBorder="1" applyAlignment="1">
      <alignment wrapText="1"/>
    </xf>
    <xf numFmtId="3" fontId="13" fillId="0" borderId="29" xfId="0" applyNumberFormat="1" applyFont="1" applyBorder="1" applyAlignment="1">
      <alignment wrapText="1"/>
    </xf>
    <xf numFmtId="3" fontId="13" fillId="0" borderId="95" xfId="0" applyNumberFormat="1" applyFont="1" applyBorder="1" applyAlignment="1">
      <alignment wrapText="1"/>
    </xf>
    <xf numFmtId="3" fontId="13" fillId="0" borderId="96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3" fillId="0" borderId="55" xfId="0" applyNumberFormat="1" applyFont="1" applyBorder="1" applyAlignment="1">
      <alignment wrapText="1"/>
    </xf>
    <xf numFmtId="0" fontId="48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Fill="1" applyBorder="1" applyAlignment="1">
      <alignment horizontal="right"/>
    </xf>
    <xf numFmtId="0" fontId="15" fillId="0" borderId="34" xfId="0" applyFont="1" applyBorder="1" applyAlignment="1">
      <alignment wrapText="1"/>
    </xf>
    <xf numFmtId="3" fontId="15" fillId="0" borderId="34" xfId="0" applyNumberFormat="1" applyFont="1" applyBorder="1" applyAlignment="1">
      <alignment/>
    </xf>
    <xf numFmtId="0" fontId="13" fillId="3" borderId="15" xfId="0" applyFont="1" applyFill="1" applyBorder="1" applyAlignment="1">
      <alignment/>
    </xf>
    <xf numFmtId="0" fontId="13" fillId="3" borderId="15" xfId="0" applyFont="1" applyFill="1" applyBorder="1" applyAlignment="1">
      <alignment horizontal="left" wrapText="1"/>
    </xf>
    <xf numFmtId="3" fontId="13" fillId="3" borderId="15" xfId="0" applyNumberFormat="1" applyFont="1" applyFill="1" applyBorder="1" applyAlignment="1">
      <alignment horizontal="right" wrapText="1"/>
    </xf>
    <xf numFmtId="0" fontId="0" fillId="3" borderId="17" xfId="0" applyFont="1" applyFill="1" applyBorder="1" applyAlignment="1">
      <alignment/>
    </xf>
    <xf numFmtId="0" fontId="6" fillId="0" borderId="124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15" fillId="3" borderId="125" xfId="0" applyFont="1" applyFill="1" applyBorder="1" applyAlignment="1">
      <alignment horizontal="left" wrapText="1"/>
    </xf>
    <xf numFmtId="3" fontId="15" fillId="3" borderId="16" xfId="0" applyNumberFormat="1" applyFont="1" applyFill="1" applyBorder="1" applyAlignment="1">
      <alignment horizontal="right" wrapText="1"/>
    </xf>
    <xf numFmtId="3" fontId="15" fillId="0" borderId="17" xfId="0" applyNumberFormat="1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33" fillId="3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13" fillId="3" borderId="31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 wrapText="1"/>
    </xf>
    <xf numFmtId="3" fontId="13" fillId="0" borderId="84" xfId="0" applyNumberFormat="1" applyFont="1" applyBorder="1" applyAlignment="1">
      <alignment wrapText="1"/>
    </xf>
    <xf numFmtId="3" fontId="13" fillId="0" borderId="126" xfId="0" applyNumberFormat="1" applyFont="1" applyBorder="1" applyAlignment="1">
      <alignment wrapText="1"/>
    </xf>
    <xf numFmtId="3" fontId="13" fillId="0" borderId="127" xfId="0" applyNumberFormat="1" applyFont="1" applyBorder="1" applyAlignment="1">
      <alignment wrapText="1"/>
    </xf>
    <xf numFmtId="3" fontId="13" fillId="0" borderId="31" xfId="0" applyNumberFormat="1" applyFont="1" applyBorder="1" applyAlignment="1">
      <alignment wrapText="1"/>
    </xf>
    <xf numFmtId="3" fontId="13" fillId="0" borderId="128" xfId="0" applyNumberFormat="1" applyFont="1" applyBorder="1" applyAlignment="1">
      <alignment wrapText="1"/>
    </xf>
    <xf numFmtId="1" fontId="13" fillId="3" borderId="111" xfId="0" applyNumberFormat="1" applyFont="1" applyFill="1" applyBorder="1" applyAlignment="1">
      <alignment/>
    </xf>
    <xf numFmtId="1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 wrapText="1"/>
    </xf>
    <xf numFmtId="3" fontId="0" fillId="0" borderId="111" xfId="0" applyNumberFormat="1" applyFont="1" applyBorder="1" applyAlignment="1">
      <alignment/>
    </xf>
    <xf numFmtId="1" fontId="13" fillId="3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88" xfId="0" applyNumberFormat="1" applyFont="1" applyBorder="1" applyAlignment="1">
      <alignment wrapText="1"/>
    </xf>
    <xf numFmtId="3" fontId="0" fillId="0" borderId="129" xfId="0" applyNumberFormat="1" applyFont="1" applyBorder="1" applyAlignment="1">
      <alignment wrapText="1"/>
    </xf>
    <xf numFmtId="3" fontId="0" fillId="0" borderId="130" xfId="0" applyNumberFormat="1" applyFont="1" applyBorder="1" applyAlignment="1">
      <alignment wrapText="1"/>
    </xf>
    <xf numFmtId="3" fontId="0" fillId="0" borderId="131" xfId="0" applyNumberFormat="1" applyFont="1" applyBorder="1" applyAlignment="1">
      <alignment wrapText="1"/>
    </xf>
    <xf numFmtId="3" fontId="0" fillId="0" borderId="132" xfId="0" applyNumberFormat="1" applyFont="1" applyBorder="1" applyAlignment="1">
      <alignment wrapText="1"/>
    </xf>
    <xf numFmtId="3" fontId="15" fillId="0" borderId="34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11" xfId="0" applyFont="1" applyFill="1" applyBorder="1" applyAlignment="1">
      <alignment/>
    </xf>
    <xf numFmtId="0" fontId="12" fillId="0" borderId="1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" borderId="111" xfId="0" applyFont="1" applyFill="1" applyBorder="1" applyAlignment="1">
      <alignment wrapText="1"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0" fontId="12" fillId="3" borderId="17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12" fillId="0" borderId="57" xfId="0" applyNumberFormat="1" applyFont="1" applyBorder="1" applyAlignment="1">
      <alignment horizontal="right"/>
    </xf>
    <xf numFmtId="0" fontId="12" fillId="0" borderId="111" xfId="0" applyFont="1" applyBorder="1" applyAlignment="1">
      <alignment wrapText="1"/>
    </xf>
    <xf numFmtId="3" fontId="12" fillId="0" borderId="111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2" fillId="0" borderId="88" xfId="0" applyFont="1" applyBorder="1" applyAlignment="1">
      <alignment/>
    </xf>
    <xf numFmtId="3" fontId="12" fillId="0" borderId="88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13" fillId="4" borderId="70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133" xfId="0" applyFont="1" applyFill="1" applyBorder="1" applyAlignment="1">
      <alignment horizontal="left" vertical="center" wrapText="1"/>
    </xf>
    <xf numFmtId="0" fontId="0" fillId="0" borderId="134" xfId="0" applyBorder="1" applyAlignment="1">
      <alignment horizontal="left" wrapText="1"/>
    </xf>
    <xf numFmtId="0" fontId="0" fillId="0" borderId="120" xfId="0" applyBorder="1" applyAlignment="1">
      <alignment horizontal="left" wrapText="1"/>
    </xf>
    <xf numFmtId="0" fontId="5" fillId="4" borderId="133" xfId="0" applyFont="1" applyFill="1" applyBorder="1" applyAlignment="1">
      <alignment horizontal="left" vertical="center" wrapText="1"/>
    </xf>
    <xf numFmtId="0" fontId="5" fillId="4" borderId="134" xfId="0" applyFont="1" applyFill="1" applyBorder="1" applyAlignment="1">
      <alignment horizontal="left" vertical="center" wrapText="1"/>
    </xf>
    <xf numFmtId="0" fontId="5" fillId="4" borderId="12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13" fillId="4" borderId="7" xfId="0" applyFont="1" applyFill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0" fillId="0" borderId="120" xfId="0" applyBorder="1" applyAlignment="1">
      <alignment horizontal="center" wrapText="1"/>
    </xf>
    <xf numFmtId="0" fontId="0" fillId="0" borderId="134" xfId="0" applyBorder="1" applyAlignment="1">
      <alignment horizontal="center" wrapText="1"/>
    </xf>
    <xf numFmtId="0" fontId="28" fillId="0" borderId="133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98" xfId="0" applyFont="1" applyFill="1" applyBorder="1" applyAlignment="1">
      <alignment horizontal="center" vertical="center"/>
    </xf>
    <xf numFmtId="0" fontId="0" fillId="0" borderId="135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mniejszenia-zwiększen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4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5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6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7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8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9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0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1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2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3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4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5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6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7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8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9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0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1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2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3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4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5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6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7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8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9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0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1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2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3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4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5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6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7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8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9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0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1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2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3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4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5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6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7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8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9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0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1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2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3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4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5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6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7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8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9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0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1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2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3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4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5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6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7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8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9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0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1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2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3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4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5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6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7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8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9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0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1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2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3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4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5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6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7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8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9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0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1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2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3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4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5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6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7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8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9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0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1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2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3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4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5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6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7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8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9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0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1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2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3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4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5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6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7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8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9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0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1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2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3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4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5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6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7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8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9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0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1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3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5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7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9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1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3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5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8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0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2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4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6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8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0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2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4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6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2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4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6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8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0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2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4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6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8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0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2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4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6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7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8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9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0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1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2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3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4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5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6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7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8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9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0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1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2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3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4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5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6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7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8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9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0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1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2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3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4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5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6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7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8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9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0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1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2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3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4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5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6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7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8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9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0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1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2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3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4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6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8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0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2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4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6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8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0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2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4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6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8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0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2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4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6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8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0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2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6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8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0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2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4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5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6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7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8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9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0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1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2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3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4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5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6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7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8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9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0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1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2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3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4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5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6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7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8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9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0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1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2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3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4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5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6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7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8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9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0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1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2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3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4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5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6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7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8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9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0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1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2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3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4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5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6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7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8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9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0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1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2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3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4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5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6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7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8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9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0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1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2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3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4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5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6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7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8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9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0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1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2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3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4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5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6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7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8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9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0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1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2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3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4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5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6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7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8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9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0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1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2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3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4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5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6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7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8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9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0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1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2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3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4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5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6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7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8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9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0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1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2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3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4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5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6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7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8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9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0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1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2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3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4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5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6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7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8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9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0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1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2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3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4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5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6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7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8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0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2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4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6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8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0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2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5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7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9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1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3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5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7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9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1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3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9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1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3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5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7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9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1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3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5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7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9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1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3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5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7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9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1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3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5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7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9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1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3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5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7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9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1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3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5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7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9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1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3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5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7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9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1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3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5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1577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9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1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3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5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7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9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1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3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5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7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9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1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3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5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7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9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1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3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5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7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9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1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3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5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7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9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1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3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5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7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9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1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3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5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7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9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1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3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5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7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9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1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2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3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4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6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8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0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2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4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6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8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0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2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4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6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8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0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2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4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6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8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0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2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4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6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8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0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2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4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6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8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0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2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4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6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8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0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2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4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6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8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0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2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4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6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8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0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2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3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4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6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8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0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2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4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6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8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0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2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4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6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8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0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2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4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6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8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0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2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4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6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8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0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2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4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6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8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0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2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4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6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8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0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2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4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6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8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0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2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4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6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8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0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2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3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4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6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8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0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2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4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6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8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0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2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4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6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8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0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2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4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6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8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0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2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4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6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8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0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2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4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6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8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2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4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6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8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0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2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4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6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8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0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2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4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6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8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0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2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3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4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6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8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0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2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4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6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8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0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2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4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6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8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0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2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4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6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8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0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2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5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7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9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1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3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5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7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9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1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3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9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1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3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5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7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9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1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3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5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7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9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1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3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4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5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6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7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8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9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0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1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2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3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4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5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6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7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8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9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0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1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2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3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4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5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6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7" name="Line 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48" name="Line 1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2049" name="Line 2"/>
        <xdr:cNvSpPr>
          <a:spLocks/>
        </xdr:cNvSpPr>
      </xdr:nvSpPr>
      <xdr:spPr>
        <a:xfrm>
          <a:off x="38100" y="17735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0" name="Line 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2051" name="Line 4"/>
        <xdr:cNvSpPr>
          <a:spLocks/>
        </xdr:cNvSpPr>
      </xdr:nvSpPr>
      <xdr:spPr>
        <a:xfrm>
          <a:off x="38100" y="17735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2052" name="Line 5"/>
        <xdr:cNvSpPr>
          <a:spLocks/>
        </xdr:cNvSpPr>
      </xdr:nvSpPr>
      <xdr:spPr>
        <a:xfrm>
          <a:off x="38100" y="18421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3" name="Line 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54" name="Line 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5" name="Line 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2056" name="Line 9"/>
        <xdr:cNvSpPr>
          <a:spLocks/>
        </xdr:cNvSpPr>
      </xdr:nvSpPr>
      <xdr:spPr>
        <a:xfrm>
          <a:off x="38100" y="18421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2057" name="Line 10"/>
        <xdr:cNvSpPr>
          <a:spLocks/>
        </xdr:cNvSpPr>
      </xdr:nvSpPr>
      <xdr:spPr>
        <a:xfrm>
          <a:off x="38100" y="18421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58" name="Line 1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59" name="Line 1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60" name="Line 1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61" name="Line 1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62" name="Line 1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63" name="Line 16"/>
        <xdr:cNvSpPr>
          <a:spLocks/>
        </xdr:cNvSpPr>
      </xdr:nvSpPr>
      <xdr:spPr>
        <a:xfrm>
          <a:off x="38100" y="3981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64" name="Line 17"/>
        <xdr:cNvSpPr>
          <a:spLocks/>
        </xdr:cNvSpPr>
      </xdr:nvSpPr>
      <xdr:spPr>
        <a:xfrm>
          <a:off x="38100" y="3981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65" name="Line 18"/>
        <xdr:cNvSpPr>
          <a:spLocks/>
        </xdr:cNvSpPr>
      </xdr:nvSpPr>
      <xdr:spPr>
        <a:xfrm>
          <a:off x="38100" y="3981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066" name="Line 19"/>
        <xdr:cNvSpPr>
          <a:spLocks/>
        </xdr:cNvSpPr>
      </xdr:nvSpPr>
      <xdr:spPr>
        <a:xfrm>
          <a:off x="38100" y="43719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067" name="Line 20"/>
        <xdr:cNvSpPr>
          <a:spLocks/>
        </xdr:cNvSpPr>
      </xdr:nvSpPr>
      <xdr:spPr>
        <a:xfrm>
          <a:off x="38100" y="43719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068" name="Line 21"/>
        <xdr:cNvSpPr>
          <a:spLocks/>
        </xdr:cNvSpPr>
      </xdr:nvSpPr>
      <xdr:spPr>
        <a:xfrm>
          <a:off x="38100" y="43719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69" name="Line 22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2070" name="Line 23"/>
        <xdr:cNvSpPr>
          <a:spLocks/>
        </xdr:cNvSpPr>
      </xdr:nvSpPr>
      <xdr:spPr>
        <a:xfrm>
          <a:off x="38100" y="17735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1" name="Line 2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2072" name="Line 25"/>
        <xdr:cNvSpPr>
          <a:spLocks/>
        </xdr:cNvSpPr>
      </xdr:nvSpPr>
      <xdr:spPr>
        <a:xfrm>
          <a:off x="38100" y="17735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2073" name="Line 26"/>
        <xdr:cNvSpPr>
          <a:spLocks/>
        </xdr:cNvSpPr>
      </xdr:nvSpPr>
      <xdr:spPr>
        <a:xfrm>
          <a:off x="38100" y="18421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4" name="Line 2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75" name="Line 2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6" name="Line 2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2077" name="Line 30"/>
        <xdr:cNvSpPr>
          <a:spLocks/>
        </xdr:cNvSpPr>
      </xdr:nvSpPr>
      <xdr:spPr>
        <a:xfrm>
          <a:off x="38100" y="18421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2078" name="Line 31"/>
        <xdr:cNvSpPr>
          <a:spLocks/>
        </xdr:cNvSpPr>
      </xdr:nvSpPr>
      <xdr:spPr>
        <a:xfrm>
          <a:off x="38100" y="18421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79" name="Line 3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80" name="Line 3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81" name="Line 3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82" name="Line 3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083" name="Line 3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84" name="Line 37"/>
        <xdr:cNvSpPr>
          <a:spLocks/>
        </xdr:cNvSpPr>
      </xdr:nvSpPr>
      <xdr:spPr>
        <a:xfrm>
          <a:off x="38100" y="3981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85" name="Line 38"/>
        <xdr:cNvSpPr>
          <a:spLocks/>
        </xdr:cNvSpPr>
      </xdr:nvSpPr>
      <xdr:spPr>
        <a:xfrm>
          <a:off x="38100" y="3981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2086" name="Line 39"/>
        <xdr:cNvSpPr>
          <a:spLocks/>
        </xdr:cNvSpPr>
      </xdr:nvSpPr>
      <xdr:spPr>
        <a:xfrm>
          <a:off x="38100" y="3981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087" name="Line 40"/>
        <xdr:cNvSpPr>
          <a:spLocks/>
        </xdr:cNvSpPr>
      </xdr:nvSpPr>
      <xdr:spPr>
        <a:xfrm>
          <a:off x="38100" y="43719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088" name="Line 41"/>
        <xdr:cNvSpPr>
          <a:spLocks/>
        </xdr:cNvSpPr>
      </xdr:nvSpPr>
      <xdr:spPr>
        <a:xfrm>
          <a:off x="38100" y="43719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089" name="Line 42"/>
        <xdr:cNvSpPr>
          <a:spLocks/>
        </xdr:cNvSpPr>
      </xdr:nvSpPr>
      <xdr:spPr>
        <a:xfrm>
          <a:off x="38100" y="43719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90" name="Line 43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1" name="Line 4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2" name="Line 4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3" name="Line 4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4" name="Line 4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5" name="Line 4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096" name="Line 49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7" name="Line 5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8" name="Line 5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9" name="Line 5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00" name="Line 53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01" name="Line 54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2" name="Line 5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3" name="Line 5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4" name="Line 5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5" name="Line 5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6" name="Line 5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7" name="Line 6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8" name="Line 6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09" name="Line 6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10" name="Line 6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1" name="Line 64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2" name="Line 6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3" name="Line 6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4" name="Line 6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5" name="Line 6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6" name="Line 6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17" name="Line 70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8" name="Line 7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9" name="Line 7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20" name="Line 7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21" name="Line 74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22" name="Line 75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3" name="Line 7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4" name="Line 7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5" name="Line 7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6" name="Line 7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7" name="Line 8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8" name="Line 8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29" name="Line 8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30" name="Line 8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31" name="Line 8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32" name="Line 85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3" name="Line 8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4" name="Line 8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5" name="Line 8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6" name="Line 8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7" name="Line 9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38" name="Line 91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9" name="Line 9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0" name="Line 9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1" name="Line 9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42" name="Line 95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43" name="Line 96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44" name="Line 9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45" name="Line 9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46" name="Line 9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47" name="Line 10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48" name="Line 10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49" name="Line 10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50" name="Line 10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51" name="Line 10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52" name="Line 10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53" name="Line 106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4" name="Line 10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5" name="Line 10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6" name="Line 10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7" name="Line 11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8" name="Line 11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59" name="Line 112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0" name="Line 11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1" name="Line 11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2" name="Line 11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63" name="Line 116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64" name="Line 117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65" name="Line 11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66" name="Line 11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21107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87" name="Line 14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88" name="Line 14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89" name="Line 14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90" name="Line 14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91" name="Line 14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92" name="Line 14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93" name="Line 14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94" name="Line 14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95" name="Line 148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6" name="Line 14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7" name="Line 15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8" name="Line 15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199" name="Line 152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0" name="Line 15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01" name="Line 154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2" name="Line 15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03" name="Line 15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04" name="Line 15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05" name="Line 158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06" name="Line 159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07" name="Line 160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08" name="Line 161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09" name="Line 162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10" name="Line 163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11" name="Line 164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12" name="Line 165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13" name="Line 166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14" name="Line 16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15" name="Line 168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16" name="Line 169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7" name="Line 17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8" name="Line 17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9" name="Line 17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20" name="Line 173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1" name="Line 17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22" name="Line 175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3" name="Line 17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24" name="Line 177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25" name="Line 17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26" name="Line 179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27" name="Line 180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28" name="Line 181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29" name="Line 182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30" name="Line 183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31" name="Line 184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32" name="Line 185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33" name="Line 186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34" name="Line 18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35" name="Line 188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36" name="Line 189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37" name="Line 190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8" name="Line 19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9" name="Line 19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0" name="Line 19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41" name="Line 194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2" name="Line 19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43" name="Line 196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4" name="Line 19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45" name="Line 198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46" name="Line 19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47" name="Line 200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48" name="Line 201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49" name="Line 202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50" name="Line 203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226123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65370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66446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24936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2343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2343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2343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2343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2343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2343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1" name="Line 43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2" name="Line 43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3" name="Line 43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4" name="Line 43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5" name="Line 43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6" name="Line 43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7" name="Line 44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8" name="Line 44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399" name="Line 44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0" name="Line 44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1" name="Line 44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2" name="Line 44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3" name="Line 44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4" name="Line 44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5" name="Line 44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6" name="Line 44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7" name="Line 45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8" name="Line 45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09" name="Line 45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0" name="Line 45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1" name="Line 45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2" name="Line 45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3" name="Line 45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4" name="Line 45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5" name="Line 45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6" name="Line 45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7" name="Line 46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8" name="Line 46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19" name="Line 46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0" name="Line 46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1" name="Line 46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2" name="Line 46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3" name="Line 46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4" name="Line 46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5" name="Line 46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6" name="Line 46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7" name="Line 47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8" name="Line 47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29" name="Line 47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0" name="Line 47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1" name="Line 47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2" name="Line 47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3" name="Line 47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4" name="Line 47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5" name="Line 47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6" name="Line 47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7" name="Line 48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8" name="Line 48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39" name="Line 48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0" name="Line 48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1" name="Line 48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2" name="Line 48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3" name="Line 48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4" name="Line 48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5" name="Line 48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6" name="Line 48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7" name="Line 49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8" name="Line 49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49" name="Line 49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0" name="Line 49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1" name="Line 49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2" name="Line 49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3" name="Line 49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4" name="Line 49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5" name="Line 49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6" name="Line 49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7" name="Line 50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8" name="Line 50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59" name="Line 50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0" name="Line 50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1" name="Line 50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2" name="Line 50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3" name="Line 50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4" name="Line 50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5" name="Line 50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6" name="Line 50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7" name="Line 51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8" name="Line 51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69" name="Line 51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0" name="Line 51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1" name="Line 514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2" name="Line 515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3" name="Line 516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4" name="Line 517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5" name="Line 518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6" name="Line 519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7" name="Line 520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8" name="Line 521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79" name="Line 522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480" name="Line 523"/>
        <xdr:cNvSpPr>
          <a:spLocks/>
        </xdr:cNvSpPr>
      </xdr:nvSpPr>
      <xdr:spPr>
        <a:xfrm>
          <a:off x="38100" y="25793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8956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8956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I36"/>
  <sheetViews>
    <sheetView tabSelected="1" zoomScale="90" zoomScaleNormal="90" zoomScaleSheetLayoutView="75" workbookViewId="0" topLeftCell="A1">
      <selection activeCell="B4" sqref="B4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66.625" style="22" customWidth="1"/>
    <col min="4" max="4" width="22.75390625" style="22" customWidth="1"/>
    <col min="5" max="5" width="19.00390625" style="22" customWidth="1"/>
    <col min="6" max="6" width="20.375" style="22" customWidth="1"/>
    <col min="7" max="7" width="12.00390625" style="22" customWidth="1"/>
    <col min="8" max="8" width="11.125" style="22" customWidth="1"/>
    <col min="9" max="9" width="15.25390625" style="22" customWidth="1"/>
    <col min="10" max="16384" width="9.125" style="22" customWidth="1"/>
  </cols>
  <sheetData>
    <row r="1" spans="2:5" ht="15" customHeight="1">
      <c r="B1" s="248"/>
      <c r="E1" s="50" t="s">
        <v>443</v>
      </c>
    </row>
    <row r="2" ht="15" customHeight="1">
      <c r="E2" s="22" t="s">
        <v>624</v>
      </c>
    </row>
    <row r="3" spans="3:5" ht="15" customHeight="1">
      <c r="C3" s="3" t="s">
        <v>417</v>
      </c>
      <c r="E3" s="22" t="s">
        <v>27</v>
      </c>
    </row>
    <row r="4" ht="15" customHeight="1">
      <c r="E4" s="22" t="s">
        <v>625</v>
      </c>
    </row>
    <row r="5" ht="17.25" customHeight="1" thickBot="1">
      <c r="F5" s="54" t="s">
        <v>28</v>
      </c>
    </row>
    <row r="6" spans="1:6" ht="67.5" customHeight="1" thickBot="1" thickTop="1">
      <c r="A6" s="249" t="s">
        <v>81</v>
      </c>
      <c r="B6" s="249" t="s">
        <v>33</v>
      </c>
      <c r="C6" s="118" t="s">
        <v>430</v>
      </c>
      <c r="D6" s="118" t="s">
        <v>419</v>
      </c>
      <c r="E6" s="118" t="s">
        <v>97</v>
      </c>
      <c r="F6" s="117" t="s">
        <v>84</v>
      </c>
    </row>
    <row r="7" spans="1:6" s="251" customFormat="1" ht="15.75" customHeight="1" thickBot="1" thickTop="1">
      <c r="A7" s="250">
        <v>1</v>
      </c>
      <c r="B7" s="250">
        <v>2</v>
      </c>
      <c r="C7" s="250">
        <v>3</v>
      </c>
      <c r="D7" s="250">
        <v>4</v>
      </c>
      <c r="E7" s="250">
        <v>5</v>
      </c>
      <c r="F7" s="215">
        <v>6</v>
      </c>
    </row>
    <row r="8" spans="1:9" ht="24" customHeight="1" thickBot="1" thickTop="1">
      <c r="A8" s="252"/>
      <c r="B8" s="252"/>
      <c r="C8" s="253" t="s">
        <v>420</v>
      </c>
      <c r="D8" s="275">
        <f>D10+D22</f>
        <v>879589177</v>
      </c>
      <c r="E8" s="254">
        <f>E10+E22</f>
        <v>784926</v>
      </c>
      <c r="F8" s="254">
        <f>D8+E8</f>
        <v>880374103</v>
      </c>
      <c r="G8" s="47"/>
      <c r="H8" s="47"/>
      <c r="I8" s="47"/>
    </row>
    <row r="9" spans="1:6" ht="13.5" customHeight="1" thickTop="1">
      <c r="A9" s="67"/>
      <c r="B9" s="67"/>
      <c r="C9" s="67" t="s">
        <v>49</v>
      </c>
      <c r="D9" s="276"/>
      <c r="E9" s="255"/>
      <c r="F9" s="255"/>
    </row>
    <row r="10" spans="1:9" ht="19.5" customHeight="1" thickBot="1">
      <c r="A10" s="67"/>
      <c r="B10" s="67"/>
      <c r="C10" s="256" t="s">
        <v>429</v>
      </c>
      <c r="D10" s="277">
        <f>D11+D12+D13+D17+D18</f>
        <v>603656173</v>
      </c>
      <c r="E10" s="257">
        <f>E11+E12+E13+E17+E18</f>
        <v>773589</v>
      </c>
      <c r="F10" s="257">
        <f aca="true" t="shared" si="0" ref="F10:F21">D10+E10</f>
        <v>604429762</v>
      </c>
      <c r="G10" s="47"/>
      <c r="I10" s="47"/>
    </row>
    <row r="11" spans="1:6" s="248" customFormat="1" ht="19.5" customHeight="1" thickBot="1">
      <c r="A11" s="85"/>
      <c r="B11" s="85"/>
      <c r="C11" s="258" t="s">
        <v>421</v>
      </c>
      <c r="D11" s="115">
        <v>403289173</v>
      </c>
      <c r="E11" s="71"/>
      <c r="F11" s="259">
        <f t="shared" si="0"/>
        <v>403289173</v>
      </c>
    </row>
    <row r="12" spans="1:6" s="248" customFormat="1" ht="19.5" customHeight="1" thickBot="1" thickTop="1">
      <c r="A12" s="85"/>
      <c r="B12" s="85"/>
      <c r="C12" s="260" t="s">
        <v>422</v>
      </c>
      <c r="D12" s="153">
        <v>107503206</v>
      </c>
      <c r="E12" s="261"/>
      <c r="F12" s="71">
        <f t="shared" si="0"/>
        <v>107503206</v>
      </c>
    </row>
    <row r="13" spans="1:6" s="248" customFormat="1" ht="19.5" customHeight="1" thickBot="1" thickTop="1">
      <c r="A13" s="85"/>
      <c r="B13" s="85"/>
      <c r="C13" s="260" t="s">
        <v>423</v>
      </c>
      <c r="D13" s="115">
        <v>14861598</v>
      </c>
      <c r="E13" s="71">
        <f>E14</f>
        <v>769089</v>
      </c>
      <c r="F13" s="262">
        <f t="shared" si="0"/>
        <v>15630687</v>
      </c>
    </row>
    <row r="14" spans="1:6" ht="19.5" customHeight="1" thickTop="1">
      <c r="A14" s="187">
        <v>854</v>
      </c>
      <c r="B14" s="72"/>
      <c r="C14" s="614" t="s">
        <v>60</v>
      </c>
      <c r="D14" s="246">
        <v>294428</v>
      </c>
      <c r="E14" s="264">
        <f>E15</f>
        <v>769089</v>
      </c>
      <c r="F14" s="87">
        <f t="shared" si="0"/>
        <v>1063517</v>
      </c>
    </row>
    <row r="15" spans="1:6" ht="20.25" customHeight="1">
      <c r="A15" s="265"/>
      <c r="B15" s="234">
        <v>85415</v>
      </c>
      <c r="C15" s="615" t="s">
        <v>407</v>
      </c>
      <c r="D15" s="452">
        <v>294428</v>
      </c>
      <c r="E15" s="267">
        <f>E16</f>
        <v>769089</v>
      </c>
      <c r="F15" s="233">
        <f t="shared" si="0"/>
        <v>1063517</v>
      </c>
    </row>
    <row r="16" spans="1:6" ht="28.5" customHeight="1">
      <c r="A16" s="188"/>
      <c r="B16" s="76"/>
      <c r="C16" s="852" t="s">
        <v>301</v>
      </c>
      <c r="D16" s="438">
        <v>294428</v>
      </c>
      <c r="E16" s="268">
        <v>769089</v>
      </c>
      <c r="F16" s="269">
        <f t="shared" si="0"/>
        <v>1063517</v>
      </c>
    </row>
    <row r="17" spans="1:6" s="248" customFormat="1" ht="26.25" customHeight="1" thickBot="1">
      <c r="A17" s="272"/>
      <c r="B17" s="272"/>
      <c r="C17" s="273" t="s">
        <v>424</v>
      </c>
      <c r="D17" s="278">
        <v>821200</v>
      </c>
      <c r="E17" s="274"/>
      <c r="F17" s="274">
        <f t="shared" si="0"/>
        <v>821200</v>
      </c>
    </row>
    <row r="18" spans="1:6" s="248" customFormat="1" ht="31.5" customHeight="1" thickBot="1" thickTop="1">
      <c r="A18" s="272"/>
      <c r="B18" s="272"/>
      <c r="C18" s="273" t="s">
        <v>425</v>
      </c>
      <c r="D18" s="115">
        <v>77180996</v>
      </c>
      <c r="E18" s="71">
        <f>E19</f>
        <v>4500</v>
      </c>
      <c r="F18" s="71">
        <f t="shared" si="0"/>
        <v>77185496</v>
      </c>
    </row>
    <row r="19" spans="1:6" ht="21" customHeight="1" thickTop="1">
      <c r="A19" s="187">
        <v>854</v>
      </c>
      <c r="B19" s="72"/>
      <c r="C19" s="240" t="s">
        <v>60</v>
      </c>
      <c r="D19" s="264"/>
      <c r="E19" s="264">
        <f>E20</f>
        <v>4500</v>
      </c>
      <c r="F19" s="87">
        <f t="shared" si="0"/>
        <v>4500</v>
      </c>
    </row>
    <row r="20" spans="1:6" ht="21" customHeight="1">
      <c r="A20" s="265"/>
      <c r="B20" s="234">
        <v>85401</v>
      </c>
      <c r="C20" s="239" t="s">
        <v>552</v>
      </c>
      <c r="D20" s="267"/>
      <c r="E20" s="267">
        <f>E21</f>
        <v>4500</v>
      </c>
      <c r="F20" s="233">
        <f t="shared" si="0"/>
        <v>4500</v>
      </c>
    </row>
    <row r="21" spans="1:6" ht="18" customHeight="1">
      <c r="A21" s="188"/>
      <c r="B21" s="76"/>
      <c r="C21" s="964" t="s">
        <v>668</v>
      </c>
      <c r="D21" s="268"/>
      <c r="E21" s="268">
        <v>4500</v>
      </c>
      <c r="F21" s="269">
        <f t="shared" si="0"/>
        <v>4500</v>
      </c>
    </row>
    <row r="22" spans="1:6" s="248" customFormat="1" ht="20.25" customHeight="1" thickBot="1">
      <c r="A22" s="67"/>
      <c r="B22" s="67"/>
      <c r="C22" s="86" t="s">
        <v>623</v>
      </c>
      <c r="D22" s="955">
        <v>275933004</v>
      </c>
      <c r="E22" s="956">
        <f>E23+E24+E25+E26+E27</f>
        <v>11337</v>
      </c>
      <c r="F22" s="956">
        <f>D22+E22</f>
        <v>275944341</v>
      </c>
    </row>
    <row r="23" spans="1:6" s="248" customFormat="1" ht="18.75" customHeight="1" thickBot="1">
      <c r="A23" s="85"/>
      <c r="B23" s="85"/>
      <c r="C23" s="942" t="s">
        <v>421</v>
      </c>
      <c r="D23" s="153">
        <v>72360210</v>
      </c>
      <c r="E23" s="943"/>
      <c r="F23" s="106">
        <f aca="true" t="shared" si="1" ref="F23:F30">D23+E23</f>
        <v>72360210</v>
      </c>
    </row>
    <row r="24" spans="1:6" s="248" customFormat="1" ht="20.25" customHeight="1" thickBot="1" thickTop="1">
      <c r="A24" s="85"/>
      <c r="B24" s="85"/>
      <c r="C24" s="260" t="s">
        <v>426</v>
      </c>
      <c r="D24" s="153">
        <v>132320759</v>
      </c>
      <c r="E24" s="106"/>
      <c r="F24" s="106">
        <f t="shared" si="1"/>
        <v>132320759</v>
      </c>
    </row>
    <row r="25" spans="1:6" s="248" customFormat="1" ht="20.25" customHeight="1" thickBot="1" thickTop="1">
      <c r="A25" s="85"/>
      <c r="B25" s="85"/>
      <c r="C25" s="944" t="s">
        <v>423</v>
      </c>
      <c r="D25" s="945">
        <v>46056546</v>
      </c>
      <c r="E25" s="946"/>
      <c r="F25" s="946">
        <f t="shared" si="1"/>
        <v>46056546</v>
      </c>
    </row>
    <row r="26" spans="1:6" ht="28.5" customHeight="1" thickTop="1">
      <c r="A26" s="86"/>
      <c r="B26" s="86"/>
      <c r="C26" s="962" t="s">
        <v>424</v>
      </c>
      <c r="D26" s="961">
        <v>3699025</v>
      </c>
      <c r="E26" s="953"/>
      <c r="F26" s="953">
        <f t="shared" si="1"/>
        <v>3699025</v>
      </c>
    </row>
    <row r="27" spans="1:6" ht="27.75" customHeight="1" thickBot="1">
      <c r="A27" s="86"/>
      <c r="B27" s="86"/>
      <c r="C27" s="260" t="s">
        <v>428</v>
      </c>
      <c r="D27" s="153">
        <v>21496464</v>
      </c>
      <c r="E27" s="106">
        <f>E28</f>
        <v>11337</v>
      </c>
      <c r="F27" s="106">
        <f t="shared" si="1"/>
        <v>21507801</v>
      </c>
    </row>
    <row r="28" spans="1:6" s="248" customFormat="1" ht="19.5" customHeight="1" thickTop="1">
      <c r="A28" s="187">
        <v>710</v>
      </c>
      <c r="B28" s="72"/>
      <c r="C28" s="240" t="s">
        <v>526</v>
      </c>
      <c r="D28" s="264">
        <v>551168</v>
      </c>
      <c r="E28" s="246">
        <f>E29</f>
        <v>11337</v>
      </c>
      <c r="F28" s="947">
        <f t="shared" si="1"/>
        <v>562505</v>
      </c>
    </row>
    <row r="29" spans="1:6" s="248" customFormat="1" ht="19.5" customHeight="1">
      <c r="A29" s="265"/>
      <c r="B29" s="234">
        <v>71095</v>
      </c>
      <c r="C29" s="239" t="s">
        <v>57</v>
      </c>
      <c r="D29" s="267"/>
      <c r="E29" s="948">
        <f>E30</f>
        <v>11337</v>
      </c>
      <c r="F29" s="948">
        <f t="shared" si="1"/>
        <v>11337</v>
      </c>
    </row>
    <row r="30" spans="1:6" s="248" customFormat="1" ht="28.5" customHeight="1">
      <c r="A30" s="950"/>
      <c r="B30" s="234"/>
      <c r="C30" s="951" t="s">
        <v>669</v>
      </c>
      <c r="D30" s="853"/>
      <c r="E30" s="949">
        <v>11337</v>
      </c>
      <c r="F30" s="949">
        <f t="shared" si="1"/>
        <v>11337</v>
      </c>
    </row>
    <row r="34" spans="3:4" ht="12.75">
      <c r="C34" s="22" t="s">
        <v>691</v>
      </c>
      <c r="D34" s="22" t="s">
        <v>692</v>
      </c>
    </row>
    <row r="35" spans="3:4" ht="12.75">
      <c r="C35" s="22" t="s">
        <v>693</v>
      </c>
      <c r="D35" s="22" t="s">
        <v>694</v>
      </c>
    </row>
    <row r="36" ht="12.75">
      <c r="D36" s="22" t="s">
        <v>695</v>
      </c>
    </row>
  </sheetData>
  <printOptions horizontalCentered="1"/>
  <pageMargins left="0.4724409448818898" right="0.4724409448818898" top="0.55" bottom="0.64" header="0.5118110236220472" footer="0.25"/>
  <pageSetup firstPageNumber="5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41"/>
  <sheetViews>
    <sheetView zoomScale="80" zoomScaleNormal="80" workbookViewId="0" topLeftCell="A10">
      <pane ySplit="1095" topLeftCell="BM244" activePane="bottomLeft" state="split"/>
      <selection pane="topLeft" activeCell="T5" sqref="T5"/>
      <selection pane="bottomLeft" activeCell="B249" sqref="B249"/>
    </sheetView>
  </sheetViews>
  <sheetFormatPr defaultColWidth="9.00390625" defaultRowHeight="12.75"/>
  <cols>
    <col min="1" max="1" width="32.25390625" style="620" customWidth="1"/>
    <col min="2" max="2" width="10.125" style="620" bestFit="1" customWidth="1"/>
    <col min="3" max="3" width="9.75390625" style="620" customWidth="1"/>
    <col min="4" max="4" width="10.625" style="620" customWidth="1"/>
    <col min="5" max="5" width="12.625" style="620" customWidth="1"/>
    <col min="6" max="6" width="10.875" style="620" customWidth="1"/>
    <col min="7" max="8" width="9.00390625" style="620" customWidth="1"/>
    <col min="9" max="9" width="9.00390625" style="622" customWidth="1"/>
    <col min="10" max="10" width="10.625" style="620" customWidth="1"/>
    <col min="11" max="11" width="11.75390625" style="620" customWidth="1"/>
    <col min="12" max="12" width="10.25390625" style="620" customWidth="1"/>
    <col min="13" max="13" width="12.125" style="620" customWidth="1"/>
    <col min="14" max="14" width="9.625" style="620" customWidth="1"/>
    <col min="15" max="15" width="10.875" style="620" customWidth="1"/>
    <col min="16" max="16" width="10.625" style="620" customWidth="1"/>
    <col min="17" max="18" width="8.125" style="620" customWidth="1"/>
    <col min="19" max="19" width="7.875" style="620" customWidth="1"/>
    <col min="20" max="21" width="13.375" style="620" customWidth="1"/>
    <col min="22" max="22" width="10.00390625" style="623" customWidth="1"/>
    <col min="23" max="23" width="11.75390625" style="624" customWidth="1"/>
    <col min="24" max="16384" width="9.125" style="624" customWidth="1"/>
  </cols>
  <sheetData>
    <row r="1" spans="1:22" ht="15.75" customHeight="1">
      <c r="A1" s="788" t="s">
        <v>129</v>
      </c>
      <c r="C1" s="621"/>
      <c r="D1" s="621"/>
      <c r="E1" s="621"/>
      <c r="J1" s="621"/>
      <c r="K1" s="621"/>
      <c r="V1" s="620"/>
    </row>
    <row r="2" ht="13.5" thickBot="1">
      <c r="V2" s="789" t="s">
        <v>28</v>
      </c>
    </row>
    <row r="3" spans="1:22" ht="14.25" customHeight="1" thickTop="1">
      <c r="A3" s="625"/>
      <c r="B3" s="1229" t="s">
        <v>306</v>
      </c>
      <c r="C3" s="1230"/>
      <c r="D3" s="790" t="s">
        <v>131</v>
      </c>
      <c r="E3" s="791"/>
      <c r="F3" s="627"/>
      <c r="G3" s="627"/>
      <c r="H3" s="627"/>
      <c r="I3" s="627"/>
      <c r="J3" s="626" t="s">
        <v>132</v>
      </c>
      <c r="K3" s="627"/>
      <c r="L3" s="627"/>
      <c r="M3" s="627"/>
      <c r="N3" s="627"/>
      <c r="O3" s="627"/>
      <c r="P3" s="627"/>
      <c r="Q3" s="627"/>
      <c r="R3" s="627"/>
      <c r="S3" s="800"/>
      <c r="T3" s="628" t="s">
        <v>130</v>
      </c>
      <c r="U3" s="628"/>
      <c r="V3" s="629"/>
    </row>
    <row r="4" spans="1:22" s="632" customFormat="1" ht="12.75">
      <c r="A4" s="630" t="s">
        <v>307</v>
      </c>
      <c r="B4" s="631" t="s">
        <v>308</v>
      </c>
      <c r="C4" s="792" t="s">
        <v>309</v>
      </c>
      <c r="D4" s="632" t="s">
        <v>310</v>
      </c>
      <c r="E4" s="792" t="s">
        <v>311</v>
      </c>
      <c r="F4" s="632" t="s">
        <v>312</v>
      </c>
      <c r="G4" s="808" t="s">
        <v>13</v>
      </c>
      <c r="H4" s="808" t="s">
        <v>14</v>
      </c>
      <c r="I4" s="631" t="s">
        <v>313</v>
      </c>
      <c r="J4" s="631" t="s">
        <v>314</v>
      </c>
      <c r="K4" s="631" t="s">
        <v>315</v>
      </c>
      <c r="L4" s="631" t="s">
        <v>316</v>
      </c>
      <c r="M4" s="631" t="s">
        <v>317</v>
      </c>
      <c r="N4" s="631" t="s">
        <v>318</v>
      </c>
      <c r="O4" s="631" t="s">
        <v>319</v>
      </c>
      <c r="P4" s="631" t="s">
        <v>320</v>
      </c>
      <c r="Q4" s="631" t="s">
        <v>321</v>
      </c>
      <c r="R4" s="631" t="s">
        <v>322</v>
      </c>
      <c r="S4" s="792" t="s">
        <v>323</v>
      </c>
      <c r="T4" s="797" t="s">
        <v>586</v>
      </c>
      <c r="U4" s="797" t="s">
        <v>115</v>
      </c>
      <c r="V4" s="785"/>
    </row>
    <row r="5" spans="1:22" s="632" customFormat="1" ht="12.75">
      <c r="A5" s="633" t="s">
        <v>324</v>
      </c>
      <c r="B5" s="631" t="s">
        <v>325</v>
      </c>
      <c r="C5" s="793" t="s">
        <v>326</v>
      </c>
      <c r="D5" s="740" t="s">
        <v>327</v>
      </c>
      <c r="E5" s="793" t="s">
        <v>328</v>
      </c>
      <c r="F5" s="740" t="s">
        <v>329</v>
      </c>
      <c r="G5" s="636" t="s">
        <v>329</v>
      </c>
      <c r="H5" s="636" t="s">
        <v>329</v>
      </c>
      <c r="I5" s="634" t="s">
        <v>330</v>
      </c>
      <c r="J5" s="634" t="s">
        <v>331</v>
      </c>
      <c r="K5" s="631" t="s">
        <v>332</v>
      </c>
      <c r="L5" s="631" t="s">
        <v>332</v>
      </c>
      <c r="M5" s="634" t="s">
        <v>332</v>
      </c>
      <c r="N5" s="631" t="s">
        <v>332</v>
      </c>
      <c r="O5" s="631" t="s">
        <v>332</v>
      </c>
      <c r="P5" s="631" t="s">
        <v>332</v>
      </c>
      <c r="Q5" s="631" t="s">
        <v>133</v>
      </c>
      <c r="R5" s="631" t="s">
        <v>133</v>
      </c>
      <c r="S5" s="792" t="s">
        <v>134</v>
      </c>
      <c r="T5" s="798" t="s">
        <v>69</v>
      </c>
      <c r="U5" s="798" t="s">
        <v>69</v>
      </c>
      <c r="V5" s="786"/>
    </row>
    <row r="6" spans="1:22" s="632" customFormat="1" ht="12.75">
      <c r="A6" s="633"/>
      <c r="B6" s="631" t="s">
        <v>333</v>
      </c>
      <c r="C6" s="793" t="s">
        <v>334</v>
      </c>
      <c r="D6" s="740" t="s">
        <v>335</v>
      </c>
      <c r="E6" s="793" t="s">
        <v>336</v>
      </c>
      <c r="F6" s="740" t="s">
        <v>337</v>
      </c>
      <c r="G6" s="636" t="s">
        <v>337</v>
      </c>
      <c r="H6" s="636" t="s">
        <v>337</v>
      </c>
      <c r="I6" s="634" t="s">
        <v>338</v>
      </c>
      <c r="J6" s="634" t="s">
        <v>339</v>
      </c>
      <c r="K6" s="631" t="s">
        <v>340</v>
      </c>
      <c r="L6" s="631" t="s">
        <v>341</v>
      </c>
      <c r="M6" s="634" t="s">
        <v>338</v>
      </c>
      <c r="N6" s="631" t="s">
        <v>342</v>
      </c>
      <c r="O6" s="631" t="s">
        <v>343</v>
      </c>
      <c r="P6" s="631" t="s">
        <v>344</v>
      </c>
      <c r="Q6" s="631" t="s">
        <v>135</v>
      </c>
      <c r="R6" s="631" t="s">
        <v>135</v>
      </c>
      <c r="S6" s="792" t="s">
        <v>136</v>
      </c>
      <c r="T6" s="798" t="s">
        <v>111</v>
      </c>
      <c r="U6" s="798" t="s">
        <v>116</v>
      </c>
      <c r="V6" s="786"/>
    </row>
    <row r="7" spans="1:22" s="632" customFormat="1" ht="12.75">
      <c r="A7" s="633"/>
      <c r="B7" s="631" t="s">
        <v>345</v>
      </c>
      <c r="C7" s="793" t="s">
        <v>346</v>
      </c>
      <c r="D7" s="740" t="s">
        <v>347</v>
      </c>
      <c r="E7" s="793" t="s">
        <v>348</v>
      </c>
      <c r="F7" s="740" t="s">
        <v>349</v>
      </c>
      <c r="G7" s="636" t="s">
        <v>349</v>
      </c>
      <c r="H7" s="636" t="s">
        <v>349</v>
      </c>
      <c r="I7" s="636" t="s">
        <v>350</v>
      </c>
      <c r="J7" s="634" t="s">
        <v>348</v>
      </c>
      <c r="K7" s="631" t="s">
        <v>351</v>
      </c>
      <c r="L7" s="631" t="s">
        <v>352</v>
      </c>
      <c r="M7" s="634" t="s">
        <v>353</v>
      </c>
      <c r="N7" s="631"/>
      <c r="O7" s="634" t="s">
        <v>354</v>
      </c>
      <c r="P7" s="631" t="s">
        <v>355</v>
      </c>
      <c r="Q7" s="631" t="s">
        <v>137</v>
      </c>
      <c r="R7" s="631" t="s">
        <v>356</v>
      </c>
      <c r="S7" s="792" t="s">
        <v>138</v>
      </c>
      <c r="T7" s="798" t="s">
        <v>112</v>
      </c>
      <c r="U7" s="798" t="s">
        <v>111</v>
      </c>
      <c r="V7" s="785" t="s">
        <v>357</v>
      </c>
    </row>
    <row r="8" spans="1:22" s="632" customFormat="1" ht="12.75">
      <c r="A8" s="637" t="s">
        <v>307</v>
      </c>
      <c r="B8" s="631"/>
      <c r="C8" s="794"/>
      <c r="E8" s="793" t="s">
        <v>358</v>
      </c>
      <c r="F8" s="645"/>
      <c r="G8" s="809"/>
      <c r="H8" s="809"/>
      <c r="I8" s="636" t="s">
        <v>349</v>
      </c>
      <c r="J8" s="634" t="s">
        <v>359</v>
      </c>
      <c r="K8" s="631" t="s">
        <v>360</v>
      </c>
      <c r="L8" s="631"/>
      <c r="M8" s="634" t="s">
        <v>361</v>
      </c>
      <c r="N8" s="631"/>
      <c r="O8" s="631"/>
      <c r="P8" s="631"/>
      <c r="Q8" s="631"/>
      <c r="R8" s="631"/>
      <c r="S8" s="792"/>
      <c r="T8" s="798" t="s">
        <v>113</v>
      </c>
      <c r="U8" s="798" t="s">
        <v>112</v>
      </c>
      <c r="V8" s="786"/>
    </row>
    <row r="9" spans="1:22" s="632" customFormat="1" ht="12.75">
      <c r="A9" s="637"/>
      <c r="B9" s="631"/>
      <c r="C9" s="794"/>
      <c r="E9" s="793"/>
      <c r="F9" s="645"/>
      <c r="G9" s="809"/>
      <c r="H9" s="809"/>
      <c r="I9" s="636"/>
      <c r="J9" s="634" t="s">
        <v>362</v>
      </c>
      <c r="K9" s="631"/>
      <c r="L9" s="631"/>
      <c r="M9" s="636" t="s">
        <v>363</v>
      </c>
      <c r="N9" s="631"/>
      <c r="O9" s="631"/>
      <c r="P9" s="631"/>
      <c r="Q9" s="631"/>
      <c r="R9" s="631"/>
      <c r="S9" s="792"/>
      <c r="T9" s="798"/>
      <c r="U9" s="798" t="s">
        <v>113</v>
      </c>
      <c r="V9" s="786"/>
    </row>
    <row r="10" spans="1:22" s="632" customFormat="1" ht="12" customHeight="1">
      <c r="A10" s="637" t="s">
        <v>364</v>
      </c>
      <c r="B10" s="638"/>
      <c r="C10" s="795"/>
      <c r="D10" s="741"/>
      <c r="E10" s="796"/>
      <c r="F10" s="810"/>
      <c r="G10" s="640"/>
      <c r="H10" s="640"/>
      <c r="I10" s="640"/>
      <c r="J10" s="639" t="s">
        <v>365</v>
      </c>
      <c r="K10" s="638"/>
      <c r="L10" s="638"/>
      <c r="M10" s="641"/>
      <c r="N10" s="638"/>
      <c r="O10" s="638"/>
      <c r="P10" s="638"/>
      <c r="Q10" s="638"/>
      <c r="R10" s="638"/>
      <c r="S10" s="801"/>
      <c r="T10" s="799"/>
      <c r="U10" s="799"/>
      <c r="V10" s="787"/>
    </row>
    <row r="11" spans="1:22" s="645" customFormat="1" ht="11.25">
      <c r="A11" s="642">
        <v>1</v>
      </c>
      <c r="B11" s="643">
        <v>2</v>
      </c>
      <c r="C11" s="643">
        <v>3</v>
      </c>
      <c r="D11" s="643">
        <v>4</v>
      </c>
      <c r="E11" s="643">
        <v>5</v>
      </c>
      <c r="F11" s="643">
        <v>6</v>
      </c>
      <c r="G11" s="643">
        <v>7</v>
      </c>
      <c r="H11" s="643">
        <v>8</v>
      </c>
      <c r="I11" s="643">
        <v>9</v>
      </c>
      <c r="J11" s="643">
        <v>10</v>
      </c>
      <c r="K11" s="643">
        <v>11</v>
      </c>
      <c r="L11" s="643">
        <v>12</v>
      </c>
      <c r="M11" s="643">
        <v>13</v>
      </c>
      <c r="N11" s="643">
        <v>14</v>
      </c>
      <c r="O11" s="643">
        <v>15</v>
      </c>
      <c r="P11" s="643">
        <v>16</v>
      </c>
      <c r="Q11" s="643">
        <v>17</v>
      </c>
      <c r="R11" s="643">
        <v>18</v>
      </c>
      <c r="S11" s="643">
        <v>19</v>
      </c>
      <c r="T11" s="643">
        <v>20</v>
      </c>
      <c r="U11" s="643">
        <v>21</v>
      </c>
      <c r="V11" s="644">
        <v>22</v>
      </c>
    </row>
    <row r="12" spans="1:24" s="632" customFormat="1" ht="18" customHeight="1" thickBot="1">
      <c r="A12" s="646" t="s">
        <v>139</v>
      </c>
      <c r="B12" s="1091">
        <f aca="true" t="shared" si="0" ref="B12:U12">B13+B263+B251</f>
        <v>-147740</v>
      </c>
      <c r="C12" s="1091">
        <f t="shared" si="0"/>
        <v>92830</v>
      </c>
      <c r="D12" s="1091">
        <f t="shared" si="0"/>
        <v>15613</v>
      </c>
      <c r="E12" s="1091">
        <f t="shared" si="0"/>
        <v>2571</v>
      </c>
      <c r="F12" s="1091">
        <f t="shared" si="0"/>
        <v>688721</v>
      </c>
      <c r="G12" s="1091">
        <f t="shared" si="0"/>
        <v>11037</v>
      </c>
      <c r="H12" s="1091">
        <f t="shared" si="0"/>
        <v>5178</v>
      </c>
      <c r="I12" s="1091">
        <f t="shared" si="0"/>
        <v>3192</v>
      </c>
      <c r="J12" s="1091">
        <f t="shared" si="0"/>
        <v>9150</v>
      </c>
      <c r="K12" s="1091">
        <f t="shared" si="0"/>
        <v>80940</v>
      </c>
      <c r="L12" s="1091">
        <f t="shared" si="0"/>
        <v>1344</v>
      </c>
      <c r="M12" s="1091">
        <f t="shared" si="0"/>
        <v>5312</v>
      </c>
      <c r="N12" s="1091">
        <f t="shared" si="0"/>
        <v>77000</v>
      </c>
      <c r="O12" s="1091">
        <f t="shared" si="0"/>
        <v>69161</v>
      </c>
      <c r="P12" s="1091">
        <f t="shared" si="0"/>
        <v>77645</v>
      </c>
      <c r="Q12" s="1091">
        <f t="shared" si="0"/>
        <v>75</v>
      </c>
      <c r="R12" s="1091">
        <f t="shared" si="0"/>
        <v>7600</v>
      </c>
      <c r="S12" s="1091">
        <f t="shared" si="0"/>
        <v>1000</v>
      </c>
      <c r="T12" s="1091">
        <f t="shared" si="0"/>
        <v>110000</v>
      </c>
      <c r="U12" s="1091">
        <f t="shared" si="0"/>
        <v>27570</v>
      </c>
      <c r="V12" s="1092">
        <f aca="true" t="shared" si="1" ref="V12:V45">SUM(B12:U12)</f>
        <v>1138199</v>
      </c>
      <c r="W12" s="632">
        <f>jednostki!G317</f>
        <v>1138199</v>
      </c>
      <c r="X12" s="632">
        <f>V12-W12</f>
        <v>0</v>
      </c>
    </row>
    <row r="13" spans="1:24" s="648" customFormat="1" ht="18" customHeight="1">
      <c r="A13" s="647" t="s">
        <v>51</v>
      </c>
      <c r="B13" s="1093">
        <f>B14+B145+B247+B106</f>
        <v>-147740</v>
      </c>
      <c r="C13" s="1093">
        <f>C14+C145+C247+C106</f>
        <v>92830</v>
      </c>
      <c r="D13" s="1093">
        <f>D14+D145+D247+D106</f>
        <v>15613</v>
      </c>
      <c r="E13" s="1093">
        <f>E14+E145+E247+E106</f>
        <v>2571</v>
      </c>
      <c r="F13" s="1093">
        <f>F14+F145+F247+F106</f>
        <v>688721</v>
      </c>
      <c r="G13" s="1093"/>
      <c r="H13" s="1093"/>
      <c r="I13" s="1093">
        <f aca="true" t="shared" si="2" ref="I13:U13">I14+I145+I247+I106</f>
        <v>3192</v>
      </c>
      <c r="J13" s="1093">
        <f t="shared" si="2"/>
        <v>9150</v>
      </c>
      <c r="K13" s="1093">
        <f t="shared" si="2"/>
        <v>80940</v>
      </c>
      <c r="L13" s="1093">
        <f t="shared" si="2"/>
        <v>1344</v>
      </c>
      <c r="M13" s="1093">
        <f t="shared" si="2"/>
        <v>812</v>
      </c>
      <c r="N13" s="1093">
        <f t="shared" si="2"/>
        <v>77000</v>
      </c>
      <c r="O13" s="1093">
        <f t="shared" si="2"/>
        <v>69161</v>
      </c>
      <c r="P13" s="1093">
        <f t="shared" si="2"/>
        <v>77645</v>
      </c>
      <c r="Q13" s="1093">
        <f t="shared" si="2"/>
        <v>75</v>
      </c>
      <c r="R13" s="1093">
        <f t="shared" si="2"/>
        <v>7600</v>
      </c>
      <c r="S13" s="1093">
        <f t="shared" si="2"/>
        <v>1000</v>
      </c>
      <c r="T13" s="1093">
        <f t="shared" si="2"/>
        <v>110000</v>
      </c>
      <c r="U13" s="1093">
        <f t="shared" si="2"/>
        <v>27570</v>
      </c>
      <c r="V13" s="1093">
        <f t="shared" si="1"/>
        <v>1117484</v>
      </c>
      <c r="X13" s="648" t="s">
        <v>591</v>
      </c>
    </row>
    <row r="14" spans="1:22" s="632" customFormat="1" ht="24" customHeight="1">
      <c r="A14" s="824" t="s">
        <v>366</v>
      </c>
      <c r="B14" s="1094">
        <f>B17+B79+B83+B86+B88+B91+B96+B98+B100+B102+B15</f>
        <v>-147740</v>
      </c>
      <c r="C14" s="1094">
        <f>C17+C79+C83+C86+C88+C91+C96+C98+C100+C102+C15</f>
        <v>-2200</v>
      </c>
      <c r="D14" s="1094"/>
      <c r="E14" s="1094"/>
      <c r="F14" s="1094"/>
      <c r="G14" s="1094"/>
      <c r="H14" s="1094"/>
      <c r="I14" s="1094"/>
      <c r="J14" s="1094">
        <f>J17+J79+J83+J86+J88+J91+J96+J98+J100+J102+J15</f>
        <v>9150</v>
      </c>
      <c r="K14" s="1094">
        <f>K17+K79+K83+K86+K88+K91+K96+K98+K100+K102+K15</f>
        <v>37200</v>
      </c>
      <c r="L14" s="1094"/>
      <c r="M14" s="1094">
        <f>M17+M79+M83+M86+M88+M91+M96+M98+M100+M102+M15</f>
        <v>-1970</v>
      </c>
      <c r="N14" s="1094">
        <f>N17+N79+N83+N86+N88+N91+N96+N98+N100+N102+N15</f>
        <v>55000</v>
      </c>
      <c r="O14" s="1094">
        <f>O17+O79+O83+O86+O88+O91+O96+O98+O100+O102+O15</f>
        <v>38218</v>
      </c>
      <c r="P14" s="1094">
        <f>P17+P79+P83+P86+P88+P91+P96+P98+P100+P102</f>
        <v>22400</v>
      </c>
      <c r="Q14" s="1094"/>
      <c r="R14" s="1094">
        <f>R17+R79+R83+R86+R88+R91+R96+R98+R100+R102</f>
        <v>7600</v>
      </c>
      <c r="S14" s="1094"/>
      <c r="T14" s="1094">
        <f>T17+T79+T83+T86+T88+T91+T96+T98+T100+T102</f>
        <v>0</v>
      </c>
      <c r="U14" s="1094">
        <f>U17+U79+U83+U86+U88+U91+U96+U98+U100+U102</f>
        <v>17570</v>
      </c>
      <c r="V14" s="1095">
        <f t="shared" si="1"/>
        <v>35228</v>
      </c>
    </row>
    <row r="15" spans="1:22" ht="27.75" customHeight="1" thickBot="1">
      <c r="A15" s="652" t="s">
        <v>581</v>
      </c>
      <c r="B15" s="1096"/>
      <c r="C15" s="1096"/>
      <c r="D15" s="1096"/>
      <c r="E15" s="1096"/>
      <c r="F15" s="1096"/>
      <c r="G15" s="1096"/>
      <c r="H15" s="1096"/>
      <c r="I15" s="1096"/>
      <c r="J15" s="1096"/>
      <c r="K15" s="1096"/>
      <c r="L15" s="1096"/>
      <c r="M15" s="1096"/>
      <c r="N15" s="1096"/>
      <c r="O15" s="1096">
        <f>O16</f>
        <v>7258</v>
      </c>
      <c r="P15" s="1096"/>
      <c r="Q15" s="1096"/>
      <c r="R15" s="1096"/>
      <c r="S15" s="1096"/>
      <c r="T15" s="1096"/>
      <c r="U15" s="1096"/>
      <c r="V15" s="1097">
        <f t="shared" si="1"/>
        <v>7258</v>
      </c>
    </row>
    <row r="16" spans="1:22" ht="31.5" customHeight="1">
      <c r="A16" s="654" t="s">
        <v>582</v>
      </c>
      <c r="B16" s="1098"/>
      <c r="C16" s="650"/>
      <c r="D16" s="650"/>
      <c r="E16" s="650"/>
      <c r="F16" s="650"/>
      <c r="G16" s="650"/>
      <c r="H16" s="650"/>
      <c r="I16" s="650"/>
      <c r="J16" s="650"/>
      <c r="K16" s="650"/>
      <c r="L16" s="650"/>
      <c r="M16" s="650"/>
      <c r="N16" s="650"/>
      <c r="O16" s="650">
        <v>7258</v>
      </c>
      <c r="P16" s="650"/>
      <c r="Q16" s="650"/>
      <c r="R16" s="650"/>
      <c r="S16" s="650"/>
      <c r="T16" s="1099"/>
      <c r="U16" s="1099"/>
      <c r="V16" s="1100">
        <f t="shared" si="1"/>
        <v>7258</v>
      </c>
    </row>
    <row r="17" spans="1:22" ht="18" customHeight="1" thickBot="1">
      <c r="A17" s="652" t="s">
        <v>368</v>
      </c>
      <c r="B17" s="1096">
        <f>SUM(B18:B78)</f>
        <v>-147740</v>
      </c>
      <c r="C17" s="1096"/>
      <c r="D17" s="1096"/>
      <c r="E17" s="1096"/>
      <c r="F17" s="1096"/>
      <c r="G17" s="1096"/>
      <c r="H17" s="1096"/>
      <c r="I17" s="1096"/>
      <c r="J17" s="1096">
        <f>SUM(J18:J78)</f>
        <v>9150</v>
      </c>
      <c r="K17" s="1096">
        <f>SUM(K18:K78)</f>
        <v>3200</v>
      </c>
      <c r="L17" s="1096"/>
      <c r="M17" s="1096">
        <f>SUM(M18:M78)</f>
        <v>-1970</v>
      </c>
      <c r="N17" s="1096">
        <f>SUM(N18:N78)</f>
        <v>-3000</v>
      </c>
      <c r="O17" s="1096">
        <f>SUM(O18:O78)</f>
        <v>-200</v>
      </c>
      <c r="P17" s="1096">
        <f>SUM(P18:P78)</f>
        <v>3900</v>
      </c>
      <c r="Q17" s="1096"/>
      <c r="R17" s="1096"/>
      <c r="S17" s="1096"/>
      <c r="T17" s="1096"/>
      <c r="U17" s="1096">
        <f>SUM(U18:U78)</f>
        <v>9570</v>
      </c>
      <c r="V17" s="1097">
        <f t="shared" si="1"/>
        <v>-127090</v>
      </c>
    </row>
    <row r="18" spans="1:22" ht="18" customHeight="1">
      <c r="A18" s="654" t="s">
        <v>447</v>
      </c>
      <c r="B18" s="650">
        <v>-2339</v>
      </c>
      <c r="C18" s="650"/>
      <c r="D18" s="650"/>
      <c r="E18" s="650"/>
      <c r="F18" s="650"/>
      <c r="G18" s="650"/>
      <c r="H18" s="650"/>
      <c r="I18" s="650"/>
      <c r="J18" s="650">
        <v>720</v>
      </c>
      <c r="K18" s="650"/>
      <c r="L18" s="650"/>
      <c r="M18" s="650"/>
      <c r="N18" s="650"/>
      <c r="O18" s="650"/>
      <c r="P18" s="650"/>
      <c r="Q18" s="650"/>
      <c r="R18" s="650"/>
      <c r="S18" s="650"/>
      <c r="T18" s="1099"/>
      <c r="U18" s="1099"/>
      <c r="V18" s="1100">
        <f t="shared" si="1"/>
        <v>-1619</v>
      </c>
    </row>
    <row r="19" spans="1:22" ht="18" customHeight="1">
      <c r="A19" s="654" t="s">
        <v>448</v>
      </c>
      <c r="B19" s="1101">
        <v>-1841</v>
      </c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1"/>
      <c r="P19" s="1101"/>
      <c r="Q19" s="1101"/>
      <c r="R19" s="1101"/>
      <c r="S19" s="1101"/>
      <c r="T19" s="1099"/>
      <c r="U19" s="1099"/>
      <c r="V19" s="1090">
        <f t="shared" si="1"/>
        <v>-1841</v>
      </c>
    </row>
    <row r="20" spans="1:22" ht="18" customHeight="1">
      <c r="A20" s="654" t="s">
        <v>449</v>
      </c>
      <c r="B20" s="650">
        <v>-1587</v>
      </c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1101"/>
      <c r="R20" s="650"/>
      <c r="S20" s="650"/>
      <c r="T20" s="651"/>
      <c r="U20" s="651"/>
      <c r="V20" s="1090">
        <f t="shared" si="1"/>
        <v>-1587</v>
      </c>
    </row>
    <row r="21" spans="1:22" ht="18" customHeight="1">
      <c r="A21" s="654" t="s">
        <v>450</v>
      </c>
      <c r="B21" s="650">
        <v>-5787</v>
      </c>
      <c r="C21" s="650"/>
      <c r="D21" s="650"/>
      <c r="E21" s="650"/>
      <c r="F21" s="650"/>
      <c r="G21" s="650"/>
      <c r="H21" s="650"/>
      <c r="I21" s="650"/>
      <c r="J21" s="650">
        <v>1180</v>
      </c>
      <c r="K21" s="650"/>
      <c r="L21" s="650"/>
      <c r="M21" s="650"/>
      <c r="N21" s="650"/>
      <c r="O21" s="650"/>
      <c r="P21" s="650"/>
      <c r="Q21" s="1101"/>
      <c r="R21" s="650"/>
      <c r="S21" s="650"/>
      <c r="T21" s="651"/>
      <c r="U21" s="651"/>
      <c r="V21" s="1090">
        <f t="shared" si="1"/>
        <v>-4607</v>
      </c>
    </row>
    <row r="22" spans="1:22" ht="18" customHeight="1">
      <c r="A22" s="654" t="s">
        <v>451</v>
      </c>
      <c r="B22" s="650">
        <v>-583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1101"/>
      <c r="R22" s="650"/>
      <c r="S22" s="650"/>
      <c r="T22" s="651"/>
      <c r="U22" s="651"/>
      <c r="V22" s="1090">
        <f t="shared" si="1"/>
        <v>-583</v>
      </c>
    </row>
    <row r="23" spans="1:22" ht="18" customHeight="1">
      <c r="A23" s="654" t="s">
        <v>452</v>
      </c>
      <c r="B23" s="650">
        <v>-1539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1101"/>
      <c r="R23" s="650"/>
      <c r="S23" s="650"/>
      <c r="T23" s="651"/>
      <c r="U23" s="651"/>
      <c r="V23" s="1090">
        <f t="shared" si="1"/>
        <v>-1539</v>
      </c>
    </row>
    <row r="24" spans="1:22" ht="18" customHeight="1">
      <c r="A24" s="654" t="s">
        <v>453</v>
      </c>
      <c r="B24" s="650">
        <v>-3982</v>
      </c>
      <c r="C24" s="650"/>
      <c r="D24" s="650"/>
      <c r="E24" s="650"/>
      <c r="F24" s="650"/>
      <c r="G24" s="650"/>
      <c r="H24" s="650"/>
      <c r="I24" s="650"/>
      <c r="J24" s="650">
        <v>580</v>
      </c>
      <c r="K24" s="650"/>
      <c r="L24" s="650"/>
      <c r="M24" s="650"/>
      <c r="N24" s="650"/>
      <c r="O24" s="650"/>
      <c r="P24" s="650"/>
      <c r="Q24" s="1101"/>
      <c r="R24" s="650"/>
      <c r="S24" s="650"/>
      <c r="T24" s="651"/>
      <c r="U24" s="651"/>
      <c r="V24" s="1090">
        <f t="shared" si="1"/>
        <v>-3402</v>
      </c>
    </row>
    <row r="25" spans="1:22" ht="18" customHeight="1">
      <c r="A25" s="654" t="s">
        <v>454</v>
      </c>
      <c r="B25" s="1101">
        <v>-3985</v>
      </c>
      <c r="C25" s="1101"/>
      <c r="D25" s="1101"/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  <c r="R25" s="1101"/>
      <c r="S25" s="1101"/>
      <c r="T25" s="1099"/>
      <c r="U25" s="1099"/>
      <c r="V25" s="1090">
        <f t="shared" si="1"/>
        <v>-3985</v>
      </c>
    </row>
    <row r="26" spans="1:22" ht="18" customHeight="1">
      <c r="A26" s="654" t="s">
        <v>455</v>
      </c>
      <c r="B26" s="650">
        <v>-3936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0"/>
      <c r="P26" s="650"/>
      <c r="Q26" s="1101"/>
      <c r="R26" s="650"/>
      <c r="S26" s="650"/>
      <c r="T26" s="651"/>
      <c r="U26" s="651"/>
      <c r="V26" s="1090">
        <f t="shared" si="1"/>
        <v>-3936</v>
      </c>
    </row>
    <row r="27" spans="1:22" ht="18" customHeight="1">
      <c r="A27" s="654" t="s">
        <v>456</v>
      </c>
      <c r="B27" s="650">
        <v>-1342</v>
      </c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1101"/>
      <c r="R27" s="650"/>
      <c r="S27" s="650"/>
      <c r="T27" s="651"/>
      <c r="U27" s="651"/>
      <c r="V27" s="1090">
        <f t="shared" si="1"/>
        <v>-1342</v>
      </c>
    </row>
    <row r="28" spans="1:22" ht="18" customHeight="1">
      <c r="A28" s="654" t="s">
        <v>457</v>
      </c>
      <c r="B28" s="650">
        <v>-3969</v>
      </c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1101"/>
      <c r="R28" s="650"/>
      <c r="S28" s="650"/>
      <c r="T28" s="651"/>
      <c r="U28" s="651"/>
      <c r="V28" s="1090">
        <f t="shared" si="1"/>
        <v>-3969</v>
      </c>
    </row>
    <row r="29" spans="1:22" ht="18" customHeight="1">
      <c r="A29" s="654" t="s">
        <v>458</v>
      </c>
      <c r="B29" s="650">
        <v>-948</v>
      </c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1101"/>
      <c r="R29" s="650"/>
      <c r="S29" s="650"/>
      <c r="T29" s="651"/>
      <c r="U29" s="651"/>
      <c r="V29" s="1090">
        <f t="shared" si="1"/>
        <v>-948</v>
      </c>
    </row>
    <row r="30" spans="1:22" ht="18" customHeight="1">
      <c r="A30" s="654" t="s">
        <v>459</v>
      </c>
      <c r="B30" s="650">
        <v>-2041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1101"/>
      <c r="R30" s="650"/>
      <c r="S30" s="650"/>
      <c r="T30" s="651"/>
      <c r="U30" s="651"/>
      <c r="V30" s="1090">
        <f t="shared" si="1"/>
        <v>-2041</v>
      </c>
    </row>
    <row r="31" spans="1:22" ht="18" customHeight="1">
      <c r="A31" s="654" t="s">
        <v>460</v>
      </c>
      <c r="B31" s="650">
        <v>-2553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1101"/>
      <c r="R31" s="650"/>
      <c r="S31" s="650"/>
      <c r="T31" s="651"/>
      <c r="U31" s="651"/>
      <c r="V31" s="1090">
        <f t="shared" si="1"/>
        <v>-2553</v>
      </c>
    </row>
    <row r="32" spans="1:22" ht="18" customHeight="1">
      <c r="A32" s="654" t="s">
        <v>461</v>
      </c>
      <c r="B32" s="650">
        <v>-1339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1101"/>
      <c r="R32" s="650"/>
      <c r="S32" s="650"/>
      <c r="T32" s="651"/>
      <c r="U32" s="651"/>
      <c r="V32" s="1090">
        <f t="shared" si="1"/>
        <v>-1339</v>
      </c>
    </row>
    <row r="33" spans="1:22" ht="18" customHeight="1">
      <c r="A33" s="654" t="s">
        <v>462</v>
      </c>
      <c r="B33" s="650">
        <v>-2274</v>
      </c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1101"/>
      <c r="R33" s="650"/>
      <c r="S33" s="650"/>
      <c r="T33" s="651"/>
      <c r="U33" s="651"/>
      <c r="V33" s="1090">
        <f t="shared" si="1"/>
        <v>-2274</v>
      </c>
    </row>
    <row r="34" spans="1:22" ht="18" customHeight="1">
      <c r="A34" s="654" t="s">
        <v>463</v>
      </c>
      <c r="B34" s="650">
        <v>-2065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>
        <v>5500</v>
      </c>
      <c r="Q34" s="1101"/>
      <c r="R34" s="650"/>
      <c r="S34" s="650"/>
      <c r="T34" s="651"/>
      <c r="U34" s="651"/>
      <c r="V34" s="1090">
        <f t="shared" si="1"/>
        <v>3435</v>
      </c>
    </row>
    <row r="35" spans="1:22" ht="18" customHeight="1">
      <c r="A35" s="654" t="s">
        <v>464</v>
      </c>
      <c r="B35" s="650">
        <v>-2786</v>
      </c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1101"/>
      <c r="R35" s="650"/>
      <c r="S35" s="650"/>
      <c r="T35" s="651"/>
      <c r="U35" s="651"/>
      <c r="V35" s="1090">
        <f t="shared" si="1"/>
        <v>-2786</v>
      </c>
    </row>
    <row r="36" spans="1:22" ht="18" customHeight="1">
      <c r="A36" s="654" t="s">
        <v>141</v>
      </c>
      <c r="B36" s="650">
        <v>-4102</v>
      </c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1101"/>
      <c r="R36" s="650"/>
      <c r="S36" s="650"/>
      <c r="T36" s="651"/>
      <c r="U36" s="651"/>
      <c r="V36" s="1090">
        <f t="shared" si="1"/>
        <v>-4102</v>
      </c>
    </row>
    <row r="37" spans="1:22" ht="18" customHeight="1">
      <c r="A37" s="654" t="s">
        <v>465</v>
      </c>
      <c r="B37" s="650">
        <v>-4309</v>
      </c>
      <c r="C37" s="650"/>
      <c r="D37" s="650"/>
      <c r="E37" s="650"/>
      <c r="F37" s="650"/>
      <c r="G37" s="650"/>
      <c r="H37" s="650"/>
      <c r="I37" s="650"/>
      <c r="J37" s="650">
        <v>1930</v>
      </c>
      <c r="K37" s="650"/>
      <c r="L37" s="650"/>
      <c r="M37" s="650"/>
      <c r="N37" s="650"/>
      <c r="O37" s="650"/>
      <c r="P37" s="650"/>
      <c r="Q37" s="1101"/>
      <c r="R37" s="650"/>
      <c r="S37" s="650"/>
      <c r="T37" s="651"/>
      <c r="U37" s="651"/>
      <c r="V37" s="1090">
        <f t="shared" si="1"/>
        <v>-2379</v>
      </c>
    </row>
    <row r="38" spans="1:22" ht="18" customHeight="1">
      <c r="A38" s="654" t="s">
        <v>466</v>
      </c>
      <c r="B38" s="650">
        <v>-2492</v>
      </c>
      <c r="C38" s="650"/>
      <c r="D38" s="650"/>
      <c r="E38" s="650"/>
      <c r="F38" s="650"/>
      <c r="G38" s="650"/>
      <c r="H38" s="650"/>
      <c r="I38" s="650"/>
      <c r="J38" s="650">
        <v>1060</v>
      </c>
      <c r="K38" s="650"/>
      <c r="L38" s="650"/>
      <c r="M38" s="650"/>
      <c r="N38" s="650"/>
      <c r="O38" s="650"/>
      <c r="P38" s="650"/>
      <c r="Q38" s="1101"/>
      <c r="R38" s="650"/>
      <c r="S38" s="650"/>
      <c r="T38" s="651"/>
      <c r="U38" s="651"/>
      <c r="V38" s="1090">
        <f t="shared" si="1"/>
        <v>-1432</v>
      </c>
    </row>
    <row r="39" spans="1:22" ht="18" customHeight="1">
      <c r="A39" s="654" t="s">
        <v>467</v>
      </c>
      <c r="B39" s="650">
        <v>-2151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1101"/>
      <c r="R39" s="650"/>
      <c r="S39" s="650"/>
      <c r="T39" s="651"/>
      <c r="U39" s="651"/>
      <c r="V39" s="1090">
        <f t="shared" si="1"/>
        <v>-2151</v>
      </c>
    </row>
    <row r="40" spans="1:22" ht="18" customHeight="1">
      <c r="A40" s="654" t="s">
        <v>439</v>
      </c>
      <c r="B40" s="650">
        <v>-3047</v>
      </c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1101"/>
      <c r="R40" s="650"/>
      <c r="S40" s="650"/>
      <c r="T40" s="651"/>
      <c r="U40" s="651"/>
      <c r="V40" s="1090">
        <f t="shared" si="1"/>
        <v>-3047</v>
      </c>
    </row>
    <row r="41" spans="1:22" ht="18" customHeight="1">
      <c r="A41" s="654" t="s">
        <v>468</v>
      </c>
      <c r="B41" s="650">
        <v>-4296</v>
      </c>
      <c r="C41" s="650"/>
      <c r="D41" s="650"/>
      <c r="E41" s="650"/>
      <c r="F41" s="650"/>
      <c r="G41" s="650"/>
      <c r="H41" s="650"/>
      <c r="I41" s="650"/>
      <c r="J41" s="650">
        <v>270</v>
      </c>
      <c r="K41" s="650"/>
      <c r="L41" s="650"/>
      <c r="M41" s="650"/>
      <c r="N41" s="650"/>
      <c r="O41" s="650"/>
      <c r="P41" s="650"/>
      <c r="Q41" s="1101"/>
      <c r="R41" s="650"/>
      <c r="S41" s="650"/>
      <c r="T41" s="651"/>
      <c r="U41" s="651"/>
      <c r="V41" s="1090">
        <f t="shared" si="1"/>
        <v>-4026</v>
      </c>
    </row>
    <row r="42" spans="1:22" ht="18" customHeight="1">
      <c r="A42" s="654" t="s">
        <v>469</v>
      </c>
      <c r="B42" s="650">
        <v>-2945</v>
      </c>
      <c r="C42" s="650"/>
      <c r="D42" s="650"/>
      <c r="E42" s="650"/>
      <c r="F42" s="650"/>
      <c r="G42" s="650"/>
      <c r="H42" s="650"/>
      <c r="I42" s="650"/>
      <c r="J42" s="650"/>
      <c r="K42" s="650">
        <v>3200</v>
      </c>
      <c r="L42" s="650"/>
      <c r="M42" s="650"/>
      <c r="N42" s="650"/>
      <c r="O42" s="650">
        <v>-3200</v>
      </c>
      <c r="P42" s="650"/>
      <c r="Q42" s="1101"/>
      <c r="R42" s="650"/>
      <c r="S42" s="650"/>
      <c r="T42" s="651"/>
      <c r="U42" s="651"/>
      <c r="V42" s="1090">
        <f t="shared" si="1"/>
        <v>-2945</v>
      </c>
    </row>
    <row r="43" spans="1:22" ht="18" customHeight="1">
      <c r="A43" s="654" t="s">
        <v>470</v>
      </c>
      <c r="B43" s="650">
        <v>-2741</v>
      </c>
      <c r="C43" s="650"/>
      <c r="D43" s="650"/>
      <c r="E43" s="650"/>
      <c r="F43" s="650"/>
      <c r="G43" s="650"/>
      <c r="H43" s="650"/>
      <c r="I43" s="650"/>
      <c r="J43" s="650">
        <v>-2720</v>
      </c>
      <c r="K43" s="650"/>
      <c r="L43" s="650"/>
      <c r="M43" s="650"/>
      <c r="N43" s="650"/>
      <c r="O43" s="650"/>
      <c r="P43" s="650"/>
      <c r="Q43" s="1101"/>
      <c r="R43" s="650"/>
      <c r="S43" s="650"/>
      <c r="T43" s="651"/>
      <c r="U43" s="651"/>
      <c r="V43" s="1090">
        <f t="shared" si="1"/>
        <v>-5461</v>
      </c>
    </row>
    <row r="44" spans="1:22" ht="18" customHeight="1">
      <c r="A44" s="654" t="s">
        <v>471</v>
      </c>
      <c r="B44" s="650">
        <v>-1906</v>
      </c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1101"/>
      <c r="R44" s="650"/>
      <c r="S44" s="650"/>
      <c r="T44" s="651"/>
      <c r="U44" s="651"/>
      <c r="V44" s="1090">
        <f t="shared" si="1"/>
        <v>-1906</v>
      </c>
    </row>
    <row r="45" spans="1:22" ht="18" customHeight="1">
      <c r="A45" s="654" t="s">
        <v>472</v>
      </c>
      <c r="B45" s="650">
        <v>-6343</v>
      </c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1101"/>
      <c r="R45" s="650"/>
      <c r="S45" s="650"/>
      <c r="T45" s="651"/>
      <c r="U45" s="651"/>
      <c r="V45" s="1090">
        <f t="shared" si="1"/>
        <v>-6343</v>
      </c>
    </row>
    <row r="46" spans="1:22" ht="18" customHeight="1">
      <c r="A46" s="654" t="s">
        <v>473</v>
      </c>
      <c r="B46" s="650">
        <v>-2118</v>
      </c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1101"/>
      <c r="R46" s="650"/>
      <c r="S46" s="650"/>
      <c r="T46" s="651"/>
      <c r="U46" s="651"/>
      <c r="V46" s="1090">
        <f aca="true" t="shared" si="3" ref="V46:V77">SUM(B46:U46)</f>
        <v>-2118</v>
      </c>
    </row>
    <row r="47" spans="1:22" ht="18" customHeight="1">
      <c r="A47" s="654" t="s">
        <v>474</v>
      </c>
      <c r="B47" s="650">
        <v>-2799</v>
      </c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1101"/>
      <c r="R47" s="650"/>
      <c r="S47" s="650"/>
      <c r="T47" s="651"/>
      <c r="U47" s="651"/>
      <c r="V47" s="1090">
        <f t="shared" si="3"/>
        <v>-2799</v>
      </c>
    </row>
    <row r="48" spans="1:22" ht="18" customHeight="1">
      <c r="A48" s="654" t="s">
        <v>440</v>
      </c>
      <c r="B48" s="650">
        <v>-3366</v>
      </c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1101"/>
      <c r="R48" s="650"/>
      <c r="S48" s="650"/>
      <c r="T48" s="651"/>
      <c r="U48" s="651"/>
      <c r="V48" s="1090">
        <f t="shared" si="3"/>
        <v>-3366</v>
      </c>
    </row>
    <row r="49" spans="1:22" ht="18" customHeight="1">
      <c r="A49" s="654" t="s">
        <v>475</v>
      </c>
      <c r="B49" s="650">
        <v>-2193</v>
      </c>
      <c r="C49" s="650"/>
      <c r="D49" s="650"/>
      <c r="E49" s="650"/>
      <c r="F49" s="650"/>
      <c r="G49" s="650"/>
      <c r="H49" s="650"/>
      <c r="I49" s="650"/>
      <c r="J49" s="650"/>
      <c r="K49" s="650"/>
      <c r="L49" s="650"/>
      <c r="M49" s="650"/>
      <c r="N49" s="650"/>
      <c r="O49" s="650"/>
      <c r="P49" s="650"/>
      <c r="Q49" s="1101"/>
      <c r="R49" s="650"/>
      <c r="S49" s="650"/>
      <c r="T49" s="651"/>
      <c r="U49" s="651"/>
      <c r="V49" s="1090">
        <f t="shared" si="3"/>
        <v>-2193</v>
      </c>
    </row>
    <row r="50" spans="1:22" ht="18" customHeight="1">
      <c r="A50" s="654" t="s">
        <v>476</v>
      </c>
      <c r="B50" s="650">
        <v>-1414</v>
      </c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1"/>
      <c r="U50" s="651"/>
      <c r="V50" s="1090">
        <f t="shared" si="3"/>
        <v>-1414</v>
      </c>
    </row>
    <row r="51" spans="1:22" ht="18" customHeight="1">
      <c r="A51" s="654" t="s">
        <v>477</v>
      </c>
      <c r="B51" s="650">
        <v>-2225</v>
      </c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1101"/>
      <c r="R51" s="650"/>
      <c r="S51" s="650"/>
      <c r="T51" s="651"/>
      <c r="U51" s="651"/>
      <c r="V51" s="1090">
        <f t="shared" si="3"/>
        <v>-2225</v>
      </c>
    </row>
    <row r="52" spans="1:22" ht="18" customHeight="1">
      <c r="A52" s="654" t="s">
        <v>478</v>
      </c>
      <c r="B52" s="650">
        <v>-2523</v>
      </c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1101"/>
      <c r="R52" s="650"/>
      <c r="S52" s="650"/>
      <c r="T52" s="651"/>
      <c r="U52" s="651">
        <v>6000</v>
      </c>
      <c r="V52" s="1090">
        <f t="shared" si="3"/>
        <v>3477</v>
      </c>
    </row>
    <row r="53" spans="1:22" ht="18" customHeight="1">
      <c r="A53" s="654" t="s">
        <v>479</v>
      </c>
      <c r="B53" s="650">
        <v>-219</v>
      </c>
      <c r="C53" s="650"/>
      <c r="D53" s="650"/>
      <c r="E53" s="650"/>
      <c r="F53" s="650"/>
      <c r="G53" s="650"/>
      <c r="H53" s="650"/>
      <c r="I53" s="650"/>
      <c r="J53" s="650"/>
      <c r="K53" s="650"/>
      <c r="L53" s="650"/>
      <c r="M53" s="650"/>
      <c r="N53" s="650"/>
      <c r="O53" s="650"/>
      <c r="P53" s="650"/>
      <c r="Q53" s="1101"/>
      <c r="R53" s="650"/>
      <c r="S53" s="650"/>
      <c r="T53" s="651"/>
      <c r="U53" s="651"/>
      <c r="V53" s="1090">
        <f t="shared" si="3"/>
        <v>-219</v>
      </c>
    </row>
    <row r="54" spans="1:22" ht="18" customHeight="1">
      <c r="A54" s="654" t="s">
        <v>480</v>
      </c>
      <c r="B54" s="650">
        <v>-1388</v>
      </c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1101"/>
      <c r="R54" s="650"/>
      <c r="S54" s="650"/>
      <c r="T54" s="651"/>
      <c r="U54" s="651"/>
      <c r="V54" s="1090">
        <f t="shared" si="3"/>
        <v>-1388</v>
      </c>
    </row>
    <row r="55" spans="1:22" ht="18" customHeight="1">
      <c r="A55" s="654" t="s">
        <v>481</v>
      </c>
      <c r="B55" s="650">
        <v>-4298</v>
      </c>
      <c r="C55" s="650"/>
      <c r="D55" s="650"/>
      <c r="E55" s="650"/>
      <c r="F55" s="650"/>
      <c r="G55" s="650"/>
      <c r="H55" s="650"/>
      <c r="I55" s="650"/>
      <c r="J55" s="650">
        <v>-500</v>
      </c>
      <c r="K55" s="650"/>
      <c r="L55" s="650"/>
      <c r="M55" s="650"/>
      <c r="N55" s="650"/>
      <c r="O55" s="650"/>
      <c r="P55" s="650"/>
      <c r="Q55" s="1101"/>
      <c r="R55" s="650"/>
      <c r="S55" s="650"/>
      <c r="T55" s="651"/>
      <c r="U55" s="651"/>
      <c r="V55" s="1090">
        <f t="shared" si="3"/>
        <v>-4798</v>
      </c>
    </row>
    <row r="56" spans="1:22" ht="18" customHeight="1">
      <c r="A56" s="654" t="s">
        <v>482</v>
      </c>
      <c r="B56" s="650">
        <v>-1704</v>
      </c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1"/>
      <c r="U56" s="651"/>
      <c r="V56" s="1090">
        <f t="shared" si="3"/>
        <v>-1704</v>
      </c>
    </row>
    <row r="57" spans="1:22" ht="18" customHeight="1">
      <c r="A57" s="654" t="s">
        <v>483</v>
      </c>
      <c r="B57" s="650">
        <v>-6187</v>
      </c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  <c r="P57" s="650"/>
      <c r="Q57" s="1101"/>
      <c r="R57" s="650"/>
      <c r="S57" s="650"/>
      <c r="T57" s="651"/>
      <c r="U57" s="651"/>
      <c r="V57" s="1090">
        <f t="shared" si="3"/>
        <v>-6187</v>
      </c>
    </row>
    <row r="58" spans="1:22" ht="18" customHeight="1">
      <c r="A58" s="654" t="s">
        <v>484</v>
      </c>
      <c r="B58" s="650">
        <v>-1960</v>
      </c>
      <c r="C58" s="650"/>
      <c r="D58" s="650"/>
      <c r="E58" s="650"/>
      <c r="F58" s="650"/>
      <c r="G58" s="650"/>
      <c r="H58" s="650"/>
      <c r="I58" s="650"/>
      <c r="J58" s="650">
        <v>-790</v>
      </c>
      <c r="K58" s="650"/>
      <c r="L58" s="650"/>
      <c r="M58" s="650"/>
      <c r="N58" s="650"/>
      <c r="O58" s="650"/>
      <c r="P58" s="650"/>
      <c r="Q58" s="1101"/>
      <c r="R58" s="650"/>
      <c r="S58" s="650"/>
      <c r="T58" s="651"/>
      <c r="U58" s="651"/>
      <c r="V58" s="1090">
        <f t="shared" si="3"/>
        <v>-2750</v>
      </c>
    </row>
    <row r="59" spans="1:22" ht="18" customHeight="1">
      <c r="A59" s="654" t="s">
        <v>485</v>
      </c>
      <c r="B59" s="650">
        <v>-4675</v>
      </c>
      <c r="C59" s="650"/>
      <c r="D59" s="650"/>
      <c r="E59" s="650"/>
      <c r="F59" s="650"/>
      <c r="G59" s="650"/>
      <c r="H59" s="650"/>
      <c r="I59" s="650"/>
      <c r="J59" s="650">
        <v>840</v>
      </c>
      <c r="K59" s="650"/>
      <c r="L59" s="650"/>
      <c r="M59" s="650"/>
      <c r="N59" s="650"/>
      <c r="O59" s="650"/>
      <c r="P59" s="650"/>
      <c r="Q59" s="1101"/>
      <c r="R59" s="650"/>
      <c r="S59" s="650"/>
      <c r="T59" s="651"/>
      <c r="U59" s="651"/>
      <c r="V59" s="1090">
        <f t="shared" si="3"/>
        <v>-3835</v>
      </c>
    </row>
    <row r="60" spans="1:22" ht="18" customHeight="1">
      <c r="A60" s="654" t="s">
        <v>486</v>
      </c>
      <c r="B60" s="650">
        <v>-2102</v>
      </c>
      <c r="C60" s="650"/>
      <c r="D60" s="650"/>
      <c r="E60" s="650"/>
      <c r="F60" s="650"/>
      <c r="G60" s="650"/>
      <c r="H60" s="650"/>
      <c r="I60" s="650"/>
      <c r="J60" s="650">
        <v>960</v>
      </c>
      <c r="K60" s="650"/>
      <c r="L60" s="650"/>
      <c r="M60" s="650"/>
      <c r="N60" s="650"/>
      <c r="O60" s="650"/>
      <c r="P60" s="650"/>
      <c r="Q60" s="1101"/>
      <c r="R60" s="650"/>
      <c r="S60" s="650"/>
      <c r="T60" s="651"/>
      <c r="U60" s="651"/>
      <c r="V60" s="1090">
        <f t="shared" si="3"/>
        <v>-1142</v>
      </c>
    </row>
    <row r="61" spans="1:22" ht="18" customHeight="1">
      <c r="A61" s="654" t="s">
        <v>487</v>
      </c>
      <c r="B61" s="650">
        <v>-2907</v>
      </c>
      <c r="C61" s="650"/>
      <c r="D61" s="650"/>
      <c r="E61" s="650"/>
      <c r="F61" s="650"/>
      <c r="G61" s="650"/>
      <c r="H61" s="650"/>
      <c r="I61" s="650"/>
      <c r="J61" s="650"/>
      <c r="K61" s="650"/>
      <c r="L61" s="650"/>
      <c r="M61" s="650"/>
      <c r="N61" s="650"/>
      <c r="O61" s="650"/>
      <c r="P61" s="650"/>
      <c r="Q61" s="1101"/>
      <c r="R61" s="650"/>
      <c r="S61" s="650"/>
      <c r="T61" s="651"/>
      <c r="U61" s="651"/>
      <c r="V61" s="1090">
        <f t="shared" si="3"/>
        <v>-2907</v>
      </c>
    </row>
    <row r="62" spans="1:22" ht="18" customHeight="1">
      <c r="A62" s="654" t="s">
        <v>488</v>
      </c>
      <c r="B62" s="650">
        <v>-2829</v>
      </c>
      <c r="C62" s="650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1101"/>
      <c r="R62" s="650"/>
      <c r="S62" s="650"/>
      <c r="T62" s="651"/>
      <c r="U62" s="651"/>
      <c r="V62" s="1090">
        <f t="shared" si="3"/>
        <v>-2829</v>
      </c>
    </row>
    <row r="63" spans="1:22" ht="18" customHeight="1">
      <c r="A63" s="654" t="s">
        <v>489</v>
      </c>
      <c r="B63" s="650">
        <v>-889</v>
      </c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1101"/>
      <c r="R63" s="650"/>
      <c r="S63" s="650"/>
      <c r="T63" s="651"/>
      <c r="U63" s="651"/>
      <c r="V63" s="1090">
        <f t="shared" si="3"/>
        <v>-889</v>
      </c>
    </row>
    <row r="64" spans="1:22" ht="18" customHeight="1">
      <c r="A64" s="654" t="s">
        <v>490</v>
      </c>
      <c r="B64" s="650">
        <v>-957</v>
      </c>
      <c r="C64" s="650"/>
      <c r="D64" s="650"/>
      <c r="E64" s="650"/>
      <c r="F64" s="650"/>
      <c r="G64" s="650"/>
      <c r="H64" s="650"/>
      <c r="I64" s="650"/>
      <c r="J64" s="650"/>
      <c r="K64" s="1098"/>
      <c r="L64" s="650"/>
      <c r="M64" s="650"/>
      <c r="N64" s="650"/>
      <c r="O64" s="650"/>
      <c r="P64" s="650"/>
      <c r="Q64" s="1101"/>
      <c r="R64" s="650"/>
      <c r="S64" s="650"/>
      <c r="T64" s="651"/>
      <c r="U64" s="651"/>
      <c r="V64" s="1090">
        <f t="shared" si="3"/>
        <v>-957</v>
      </c>
    </row>
    <row r="65" spans="1:22" ht="18" customHeight="1">
      <c r="A65" s="654" t="s">
        <v>491</v>
      </c>
      <c r="B65" s="650">
        <v>-2212</v>
      </c>
      <c r="C65" s="650"/>
      <c r="D65" s="650"/>
      <c r="E65" s="650"/>
      <c r="F65" s="650"/>
      <c r="G65" s="650"/>
      <c r="H65" s="650"/>
      <c r="I65" s="650"/>
      <c r="J65" s="650">
        <v>5020</v>
      </c>
      <c r="K65" s="650"/>
      <c r="L65" s="650"/>
      <c r="M65" s="650"/>
      <c r="N65" s="650"/>
      <c r="O65" s="650"/>
      <c r="P65" s="650"/>
      <c r="Q65" s="1101"/>
      <c r="R65" s="650"/>
      <c r="S65" s="650"/>
      <c r="T65" s="651"/>
      <c r="U65" s="651"/>
      <c r="V65" s="1090">
        <f t="shared" si="3"/>
        <v>2808</v>
      </c>
    </row>
    <row r="66" spans="1:22" ht="18" customHeight="1">
      <c r="A66" s="654" t="s">
        <v>492</v>
      </c>
      <c r="B66" s="650">
        <v>-1124</v>
      </c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1101"/>
      <c r="R66" s="650"/>
      <c r="S66" s="650"/>
      <c r="T66" s="651"/>
      <c r="U66" s="651"/>
      <c r="V66" s="1090">
        <f t="shared" si="3"/>
        <v>-1124</v>
      </c>
    </row>
    <row r="67" spans="1:22" ht="18" customHeight="1">
      <c r="A67" s="654" t="s">
        <v>493</v>
      </c>
      <c r="B67" s="650">
        <v>-1958</v>
      </c>
      <c r="C67" s="650"/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1101"/>
      <c r="R67" s="650"/>
      <c r="S67" s="650"/>
      <c r="T67" s="651"/>
      <c r="U67" s="651"/>
      <c r="V67" s="1090">
        <f t="shared" si="3"/>
        <v>-1958</v>
      </c>
    </row>
    <row r="68" spans="1:22" ht="18" customHeight="1">
      <c r="A68" s="654" t="s">
        <v>494</v>
      </c>
      <c r="B68" s="650">
        <v>-3702</v>
      </c>
      <c r="C68" s="650"/>
      <c r="D68" s="650"/>
      <c r="E68" s="650"/>
      <c r="F68" s="650"/>
      <c r="G68" s="650"/>
      <c r="H68" s="650"/>
      <c r="I68" s="650"/>
      <c r="J68" s="650">
        <v>600</v>
      </c>
      <c r="K68" s="650"/>
      <c r="L68" s="650"/>
      <c r="M68" s="650"/>
      <c r="N68" s="650"/>
      <c r="O68" s="650"/>
      <c r="P68" s="650"/>
      <c r="Q68" s="1101"/>
      <c r="R68" s="650"/>
      <c r="S68" s="650"/>
      <c r="T68" s="651"/>
      <c r="U68" s="651"/>
      <c r="V68" s="1090">
        <f t="shared" si="3"/>
        <v>-3102</v>
      </c>
    </row>
    <row r="69" spans="1:22" ht="18" customHeight="1">
      <c r="A69" s="654" t="s">
        <v>495</v>
      </c>
      <c r="B69" s="650">
        <v>-1375</v>
      </c>
      <c r="C69" s="650"/>
      <c r="D69" s="650"/>
      <c r="E69" s="650"/>
      <c r="F69" s="650"/>
      <c r="G69" s="650"/>
      <c r="H69" s="650"/>
      <c r="I69" s="650"/>
      <c r="J69" s="650"/>
      <c r="K69" s="1098"/>
      <c r="L69" s="650"/>
      <c r="M69" s="650">
        <v>-1970</v>
      </c>
      <c r="N69" s="650">
        <v>-3000</v>
      </c>
      <c r="O69" s="650">
        <v>2000</v>
      </c>
      <c r="P69" s="650">
        <v>-600</v>
      </c>
      <c r="Q69" s="1101"/>
      <c r="R69" s="650"/>
      <c r="S69" s="650"/>
      <c r="T69" s="651"/>
      <c r="U69" s="651">
        <v>3570</v>
      </c>
      <c r="V69" s="1090">
        <f t="shared" si="3"/>
        <v>-1375</v>
      </c>
    </row>
    <row r="70" spans="1:22" ht="18" customHeight="1">
      <c r="A70" s="654" t="s">
        <v>496</v>
      </c>
      <c r="B70" s="650">
        <v>-994</v>
      </c>
      <c r="C70" s="650"/>
      <c r="D70" s="650"/>
      <c r="E70" s="650"/>
      <c r="F70" s="650"/>
      <c r="G70" s="650"/>
      <c r="H70" s="650"/>
      <c r="I70" s="650"/>
      <c r="J70" s="650"/>
      <c r="K70" s="650"/>
      <c r="L70" s="650"/>
      <c r="M70" s="650"/>
      <c r="N70" s="650"/>
      <c r="O70" s="650">
        <v>1000</v>
      </c>
      <c r="P70" s="650">
        <v>-1000</v>
      </c>
      <c r="Q70" s="1101"/>
      <c r="R70" s="650"/>
      <c r="S70" s="650"/>
      <c r="T70" s="651"/>
      <c r="U70" s="651"/>
      <c r="V70" s="1090">
        <f t="shared" si="3"/>
        <v>-994</v>
      </c>
    </row>
    <row r="71" spans="1:22" ht="18" customHeight="1">
      <c r="A71" s="654" t="s">
        <v>497</v>
      </c>
      <c r="B71" s="650">
        <v>-2655</v>
      </c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1101"/>
      <c r="R71" s="650"/>
      <c r="S71" s="650"/>
      <c r="T71" s="651"/>
      <c r="U71" s="651"/>
      <c r="V71" s="1090">
        <f t="shared" si="3"/>
        <v>-2655</v>
      </c>
    </row>
    <row r="72" spans="1:22" ht="18" customHeight="1">
      <c r="A72" s="654" t="s">
        <v>498</v>
      </c>
      <c r="B72" s="650">
        <v>-1416</v>
      </c>
      <c r="C72" s="650"/>
      <c r="D72" s="650"/>
      <c r="E72" s="650"/>
      <c r="F72" s="650"/>
      <c r="G72" s="650"/>
      <c r="H72" s="650"/>
      <c r="I72" s="650"/>
      <c r="J72" s="650"/>
      <c r="K72" s="650"/>
      <c r="L72" s="650"/>
      <c r="M72" s="650"/>
      <c r="N72" s="650"/>
      <c r="O72" s="650"/>
      <c r="P72" s="650"/>
      <c r="Q72" s="1101"/>
      <c r="R72" s="650"/>
      <c r="S72" s="650"/>
      <c r="T72" s="651"/>
      <c r="U72" s="651"/>
      <c r="V72" s="1090">
        <f t="shared" si="3"/>
        <v>-1416</v>
      </c>
    </row>
    <row r="73" spans="1:22" ht="18" customHeight="1">
      <c r="A73" s="654" t="s">
        <v>499</v>
      </c>
      <c r="B73" s="650">
        <v>-1382</v>
      </c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50"/>
      <c r="O73" s="650"/>
      <c r="P73" s="650"/>
      <c r="Q73" s="1101"/>
      <c r="R73" s="650"/>
      <c r="S73" s="650"/>
      <c r="T73" s="651"/>
      <c r="U73" s="651"/>
      <c r="V73" s="1090">
        <f t="shared" si="3"/>
        <v>-1382</v>
      </c>
    </row>
    <row r="74" spans="1:22" ht="18" customHeight="1">
      <c r="A74" s="654" t="s">
        <v>500</v>
      </c>
      <c r="B74" s="650">
        <v>-2713</v>
      </c>
      <c r="C74" s="650"/>
      <c r="D74" s="650"/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1101"/>
      <c r="R74" s="650"/>
      <c r="S74" s="650"/>
      <c r="T74" s="651"/>
      <c r="U74" s="651"/>
      <c r="V74" s="1090">
        <f t="shared" si="3"/>
        <v>-2713</v>
      </c>
    </row>
    <row r="75" spans="1:22" ht="18" customHeight="1">
      <c r="A75" s="654" t="s">
        <v>501</v>
      </c>
      <c r="B75" s="650">
        <v>-1087</v>
      </c>
      <c r="C75" s="650"/>
      <c r="D75" s="650"/>
      <c r="E75" s="650"/>
      <c r="F75" s="650"/>
      <c r="G75" s="650"/>
      <c r="H75" s="650"/>
      <c r="I75" s="650"/>
      <c r="J75" s="650"/>
      <c r="K75" s="650"/>
      <c r="L75" s="650"/>
      <c r="M75" s="650"/>
      <c r="N75" s="650"/>
      <c r="O75" s="650"/>
      <c r="P75" s="650"/>
      <c r="Q75" s="1101"/>
      <c r="R75" s="650"/>
      <c r="S75" s="650"/>
      <c r="T75" s="651"/>
      <c r="U75" s="651"/>
      <c r="V75" s="1090">
        <f t="shared" si="3"/>
        <v>-1087</v>
      </c>
    </row>
    <row r="76" spans="1:22" ht="18" customHeight="1">
      <c r="A76" s="654" t="s">
        <v>502</v>
      </c>
      <c r="B76" s="650">
        <v>-722</v>
      </c>
      <c r="C76" s="650"/>
      <c r="D76" s="650"/>
      <c r="E76" s="650"/>
      <c r="F76" s="650"/>
      <c r="G76" s="650"/>
      <c r="H76" s="650"/>
      <c r="I76" s="650"/>
      <c r="J76" s="650"/>
      <c r="K76" s="650"/>
      <c r="L76" s="650"/>
      <c r="M76" s="650"/>
      <c r="N76" s="650"/>
      <c r="O76" s="650"/>
      <c r="P76" s="650"/>
      <c r="Q76" s="1101"/>
      <c r="R76" s="650"/>
      <c r="S76" s="650"/>
      <c r="T76" s="651"/>
      <c r="U76" s="651"/>
      <c r="V76" s="1090">
        <f t="shared" si="3"/>
        <v>-722</v>
      </c>
    </row>
    <row r="77" spans="1:22" ht="18" customHeight="1">
      <c r="A77" s="654" t="s">
        <v>503</v>
      </c>
      <c r="B77" s="650">
        <v>-329</v>
      </c>
      <c r="C77" s="650"/>
      <c r="D77" s="650"/>
      <c r="E77" s="650"/>
      <c r="F77" s="650"/>
      <c r="G77" s="650"/>
      <c r="H77" s="650"/>
      <c r="I77" s="650"/>
      <c r="J77" s="650"/>
      <c r="K77" s="650"/>
      <c r="L77" s="650"/>
      <c r="M77" s="650"/>
      <c r="N77" s="650"/>
      <c r="O77" s="650"/>
      <c r="P77" s="650"/>
      <c r="Q77" s="1101"/>
      <c r="R77" s="650"/>
      <c r="S77" s="650"/>
      <c r="T77" s="651"/>
      <c r="U77" s="651"/>
      <c r="V77" s="1090">
        <f t="shared" si="3"/>
        <v>-329</v>
      </c>
    </row>
    <row r="78" spans="1:22" ht="18" customHeight="1" thickBot="1">
      <c r="A78" s="654" t="s">
        <v>504</v>
      </c>
      <c r="B78" s="650">
        <v>-90</v>
      </c>
      <c r="C78" s="650"/>
      <c r="D78" s="650"/>
      <c r="E78" s="650"/>
      <c r="F78" s="650"/>
      <c r="G78" s="650"/>
      <c r="H78" s="650"/>
      <c r="I78" s="650"/>
      <c r="J78" s="650"/>
      <c r="K78" s="650"/>
      <c r="L78" s="650"/>
      <c r="M78" s="650"/>
      <c r="N78" s="650"/>
      <c r="O78" s="650"/>
      <c r="P78" s="650"/>
      <c r="Q78" s="1101"/>
      <c r="R78" s="650"/>
      <c r="S78" s="650"/>
      <c r="T78" s="1102"/>
      <c r="U78" s="1102"/>
      <c r="V78" s="1103">
        <f aca="true" t="shared" si="4" ref="V78:V105">SUM(B78:U78)</f>
        <v>-90</v>
      </c>
    </row>
    <row r="79" spans="1:22" s="635" customFormat="1" ht="18" customHeight="1" thickBot="1">
      <c r="A79" s="659" t="s">
        <v>142</v>
      </c>
      <c r="B79" s="1104"/>
      <c r="C79" s="1104"/>
      <c r="D79" s="1104"/>
      <c r="E79" s="1104"/>
      <c r="F79" s="1104"/>
      <c r="G79" s="1104"/>
      <c r="H79" s="1104"/>
      <c r="I79" s="1104"/>
      <c r="J79" s="1104"/>
      <c r="K79" s="1104"/>
      <c r="L79" s="1104"/>
      <c r="M79" s="1104"/>
      <c r="N79" s="1104">
        <f>SUM(N81:N82)</f>
        <v>35000</v>
      </c>
      <c r="O79" s="1104">
        <f>SUM(O80:O82)</f>
        <v>1760</v>
      </c>
      <c r="P79" s="1104">
        <f>SUM(P81:P82)</f>
        <v>3000</v>
      </c>
      <c r="Q79" s="1104"/>
      <c r="R79" s="1104"/>
      <c r="S79" s="1104"/>
      <c r="T79" s="1104"/>
      <c r="U79" s="1104"/>
      <c r="V79" s="1105">
        <f t="shared" si="4"/>
        <v>39760</v>
      </c>
    </row>
    <row r="80" spans="1:22" s="655" customFormat="1" ht="18" customHeight="1">
      <c r="A80" s="813" t="s">
        <v>230</v>
      </c>
      <c r="B80" s="650"/>
      <c r="C80" s="650"/>
      <c r="D80" s="650"/>
      <c r="E80" s="650"/>
      <c r="F80" s="650"/>
      <c r="G80" s="650"/>
      <c r="H80" s="650"/>
      <c r="I80" s="650"/>
      <c r="J80" s="650"/>
      <c r="K80" s="650"/>
      <c r="L80" s="650"/>
      <c r="M80" s="650"/>
      <c r="N80" s="650"/>
      <c r="O80" s="650">
        <v>1760</v>
      </c>
      <c r="P80" s="650"/>
      <c r="Q80" s="650"/>
      <c r="R80" s="650"/>
      <c r="S80" s="650"/>
      <c r="T80" s="651"/>
      <c r="U80" s="651"/>
      <c r="V80" s="1090">
        <f t="shared" si="4"/>
        <v>1760</v>
      </c>
    </row>
    <row r="81" spans="1:22" s="655" customFormat="1" ht="18" customHeight="1">
      <c r="A81" s="813" t="s">
        <v>232</v>
      </c>
      <c r="B81" s="650"/>
      <c r="C81" s="650"/>
      <c r="D81" s="650"/>
      <c r="E81" s="650"/>
      <c r="F81" s="650"/>
      <c r="G81" s="650"/>
      <c r="H81" s="650"/>
      <c r="I81" s="650"/>
      <c r="J81" s="650"/>
      <c r="K81" s="650"/>
      <c r="L81" s="650"/>
      <c r="M81" s="650"/>
      <c r="N81" s="650">
        <v>35000</v>
      </c>
      <c r="O81" s="650"/>
      <c r="P81" s="650"/>
      <c r="Q81" s="650"/>
      <c r="R81" s="650"/>
      <c r="S81" s="650"/>
      <c r="T81" s="651"/>
      <c r="U81" s="651"/>
      <c r="V81" s="1090">
        <f t="shared" si="4"/>
        <v>35000</v>
      </c>
    </row>
    <row r="82" spans="1:22" s="655" customFormat="1" ht="18" customHeight="1" thickBot="1">
      <c r="A82" s="813" t="s">
        <v>238</v>
      </c>
      <c r="B82" s="650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>
        <v>3000</v>
      </c>
      <c r="Q82" s="650"/>
      <c r="R82" s="650"/>
      <c r="S82" s="650"/>
      <c r="T82" s="651"/>
      <c r="U82" s="651"/>
      <c r="V82" s="1090">
        <f t="shared" si="4"/>
        <v>3000</v>
      </c>
    </row>
    <row r="83" spans="1:22" s="655" customFormat="1" ht="30" customHeight="1" thickBot="1">
      <c r="A83" s="659" t="s">
        <v>146</v>
      </c>
      <c r="B83" s="1105"/>
      <c r="C83" s="1105"/>
      <c r="D83" s="1105"/>
      <c r="E83" s="1105"/>
      <c r="F83" s="1105"/>
      <c r="G83" s="1105"/>
      <c r="H83" s="1105"/>
      <c r="I83" s="1105"/>
      <c r="J83" s="1105"/>
      <c r="K83" s="1105">
        <f>SUM(K84:K85)</f>
        <v>2000</v>
      </c>
      <c r="L83" s="1105"/>
      <c r="M83" s="1105"/>
      <c r="N83" s="1105"/>
      <c r="O83" s="1105"/>
      <c r="P83" s="1105">
        <f>SUM(P84:P85)</f>
        <v>8300</v>
      </c>
      <c r="Q83" s="1105"/>
      <c r="R83" s="1105">
        <f>SUM(R84:R85)</f>
        <v>7600</v>
      </c>
      <c r="S83" s="1105"/>
      <c r="T83" s="1105"/>
      <c r="U83" s="1105"/>
      <c r="V83" s="1105">
        <f t="shared" si="4"/>
        <v>17900</v>
      </c>
    </row>
    <row r="84" spans="1:22" s="655" customFormat="1" ht="19.5" customHeight="1">
      <c r="A84" s="657" t="s">
        <v>147</v>
      </c>
      <c r="B84" s="1106"/>
      <c r="C84" s="1106"/>
      <c r="D84" s="1106"/>
      <c r="E84" s="1106"/>
      <c r="F84" s="1106"/>
      <c r="G84" s="1106"/>
      <c r="H84" s="1106"/>
      <c r="I84" s="1106"/>
      <c r="J84" s="1106"/>
      <c r="K84" s="1106"/>
      <c r="L84" s="1106"/>
      <c r="M84" s="1106"/>
      <c r="N84" s="1106"/>
      <c r="O84" s="1106"/>
      <c r="P84" s="1106">
        <v>8300</v>
      </c>
      <c r="Q84" s="1106"/>
      <c r="R84" s="1106">
        <v>7600</v>
      </c>
      <c r="S84" s="1106"/>
      <c r="T84" s="1107"/>
      <c r="U84" s="1107"/>
      <c r="V84" s="1100">
        <f t="shared" si="4"/>
        <v>15900</v>
      </c>
    </row>
    <row r="85" spans="1:22" s="655" customFormat="1" ht="19.5" customHeight="1" thickBot="1">
      <c r="A85" s="658" t="s">
        <v>243</v>
      </c>
      <c r="B85" s="1108"/>
      <c r="C85" s="1108"/>
      <c r="D85" s="1108"/>
      <c r="E85" s="1108"/>
      <c r="F85" s="1108"/>
      <c r="G85" s="1108"/>
      <c r="H85" s="1108"/>
      <c r="I85" s="1108"/>
      <c r="J85" s="1108"/>
      <c r="K85" s="1108">
        <v>2000</v>
      </c>
      <c r="L85" s="1108"/>
      <c r="M85" s="1108"/>
      <c r="N85" s="1108"/>
      <c r="O85" s="1108"/>
      <c r="P85" s="1108"/>
      <c r="Q85" s="1108"/>
      <c r="R85" s="1108"/>
      <c r="S85" s="1108"/>
      <c r="T85" s="1109"/>
      <c r="U85" s="1109"/>
      <c r="V85" s="1090">
        <f t="shared" si="4"/>
        <v>2000</v>
      </c>
    </row>
    <row r="86" spans="1:22" s="655" customFormat="1" ht="42" customHeight="1" thickBot="1">
      <c r="A86" s="659" t="s">
        <v>369</v>
      </c>
      <c r="B86" s="1105"/>
      <c r="C86" s="1105"/>
      <c r="D86" s="1105"/>
      <c r="E86" s="1105"/>
      <c r="F86" s="1105"/>
      <c r="G86" s="1105"/>
      <c r="H86" s="1105"/>
      <c r="I86" s="1105"/>
      <c r="J86" s="1105"/>
      <c r="K86" s="1105"/>
      <c r="L86" s="1105"/>
      <c r="M86" s="1105"/>
      <c r="N86" s="1105">
        <f>SUM(N87:N87)</f>
        <v>4000</v>
      </c>
      <c r="O86" s="1105"/>
      <c r="P86" s="1105"/>
      <c r="Q86" s="1105"/>
      <c r="R86" s="1105"/>
      <c r="S86" s="1105"/>
      <c r="T86" s="1105"/>
      <c r="U86" s="1105"/>
      <c r="V86" s="1105">
        <f t="shared" si="4"/>
        <v>4000</v>
      </c>
    </row>
    <row r="87" spans="1:22" s="655" customFormat="1" ht="18" customHeight="1" thickBot="1">
      <c r="A87" s="656" t="s">
        <v>370</v>
      </c>
      <c r="B87" s="1106"/>
      <c r="C87" s="1106"/>
      <c r="D87" s="1106"/>
      <c r="E87" s="1106"/>
      <c r="F87" s="1106"/>
      <c r="G87" s="1106"/>
      <c r="H87" s="1106"/>
      <c r="I87" s="1106"/>
      <c r="J87" s="1106"/>
      <c r="K87" s="1106"/>
      <c r="L87" s="1106"/>
      <c r="M87" s="1106"/>
      <c r="N87" s="1106">
        <v>4000</v>
      </c>
      <c r="O87" s="1106"/>
      <c r="P87" s="1106"/>
      <c r="Q87" s="1106"/>
      <c r="R87" s="1106"/>
      <c r="S87" s="1106"/>
      <c r="T87" s="1107"/>
      <c r="U87" s="1107"/>
      <c r="V87" s="1100">
        <f t="shared" si="4"/>
        <v>4000</v>
      </c>
    </row>
    <row r="88" spans="1:22" s="655" customFormat="1" ht="19.5" customHeight="1" thickBot="1">
      <c r="A88" s="659" t="s">
        <v>371</v>
      </c>
      <c r="B88" s="1105"/>
      <c r="C88" s="1105"/>
      <c r="D88" s="1105"/>
      <c r="E88" s="1105"/>
      <c r="F88" s="1105"/>
      <c r="G88" s="1105"/>
      <c r="H88" s="1105"/>
      <c r="I88" s="1105"/>
      <c r="J88" s="1105"/>
      <c r="K88" s="1105">
        <f>SUM(K89:K90)</f>
        <v>2000</v>
      </c>
      <c r="L88" s="1105"/>
      <c r="M88" s="1105"/>
      <c r="N88" s="1105">
        <f>SUM(N89:N90)</f>
        <v>5000</v>
      </c>
      <c r="O88" s="1105"/>
      <c r="P88" s="1105">
        <f>SUM(P89:P90)</f>
        <v>2000</v>
      </c>
      <c r="Q88" s="1105"/>
      <c r="R88" s="1105"/>
      <c r="S88" s="1105"/>
      <c r="T88" s="1105"/>
      <c r="U88" s="1105"/>
      <c r="V88" s="1105">
        <f t="shared" si="4"/>
        <v>9000</v>
      </c>
    </row>
    <row r="89" spans="1:22" s="632" customFormat="1" ht="30" customHeight="1">
      <c r="A89" s="983" t="s">
        <v>372</v>
      </c>
      <c r="B89" s="984"/>
      <c r="C89" s="984"/>
      <c r="D89" s="984"/>
      <c r="E89" s="984"/>
      <c r="F89" s="984"/>
      <c r="G89" s="984"/>
      <c r="H89" s="984"/>
      <c r="I89" s="984"/>
      <c r="J89" s="984"/>
      <c r="K89" s="984"/>
      <c r="L89" s="984"/>
      <c r="M89" s="984"/>
      <c r="N89" s="984"/>
      <c r="O89" s="984"/>
      <c r="P89" s="984">
        <v>2000</v>
      </c>
      <c r="Q89" s="984"/>
      <c r="R89" s="984"/>
      <c r="S89" s="984"/>
      <c r="T89" s="985"/>
      <c r="U89" s="985"/>
      <c r="V89" s="1110">
        <f t="shared" si="4"/>
        <v>2000</v>
      </c>
    </row>
    <row r="90" spans="1:22" s="632" customFormat="1" ht="33" customHeight="1" thickBot="1">
      <c r="A90" s="813" t="s">
        <v>373</v>
      </c>
      <c r="B90" s="650"/>
      <c r="C90" s="650"/>
      <c r="D90" s="650"/>
      <c r="E90" s="650"/>
      <c r="F90" s="650"/>
      <c r="G90" s="650"/>
      <c r="H90" s="650"/>
      <c r="I90" s="650"/>
      <c r="J90" s="650"/>
      <c r="K90" s="650">
        <v>2000</v>
      </c>
      <c r="L90" s="650"/>
      <c r="M90" s="650"/>
      <c r="N90" s="650">
        <v>5000</v>
      </c>
      <c r="O90" s="650"/>
      <c r="P90" s="650"/>
      <c r="Q90" s="650"/>
      <c r="R90" s="650"/>
      <c r="S90" s="650"/>
      <c r="T90" s="651"/>
      <c r="U90" s="651"/>
      <c r="V90" s="1090">
        <f t="shared" si="4"/>
        <v>7000</v>
      </c>
    </row>
    <row r="91" spans="1:22" s="655" customFormat="1" ht="19.5" customHeight="1" thickBot="1">
      <c r="A91" s="659" t="s">
        <v>374</v>
      </c>
      <c r="B91" s="1105"/>
      <c r="C91" s="1105"/>
      <c r="D91" s="1105"/>
      <c r="E91" s="1105"/>
      <c r="F91" s="1105"/>
      <c r="G91" s="1105"/>
      <c r="H91" s="1105"/>
      <c r="I91" s="1105"/>
      <c r="J91" s="1105"/>
      <c r="K91" s="1105">
        <f>SUM(K92:K95)</f>
        <v>25000</v>
      </c>
      <c r="L91" s="1105"/>
      <c r="M91" s="1105"/>
      <c r="N91" s="1105">
        <f>SUM(N92:N95)</f>
        <v>8000</v>
      </c>
      <c r="O91" s="1105">
        <f>SUM(O92:O95)</f>
        <v>29400</v>
      </c>
      <c r="P91" s="1105">
        <f>SUM(P92:P95)</f>
        <v>3000</v>
      </c>
      <c r="Q91" s="1105"/>
      <c r="R91" s="1105"/>
      <c r="S91" s="1105"/>
      <c r="T91" s="1105"/>
      <c r="U91" s="1105"/>
      <c r="V91" s="1105">
        <f t="shared" si="4"/>
        <v>65400</v>
      </c>
    </row>
    <row r="92" spans="1:22" s="632" customFormat="1" ht="30" customHeight="1">
      <c r="A92" s="813" t="s">
        <v>379</v>
      </c>
      <c r="B92" s="650"/>
      <c r="C92" s="650"/>
      <c r="D92" s="650"/>
      <c r="E92" s="650"/>
      <c r="F92" s="650"/>
      <c r="G92" s="650"/>
      <c r="H92" s="650"/>
      <c r="I92" s="650"/>
      <c r="J92" s="650"/>
      <c r="K92" s="650">
        <v>25000</v>
      </c>
      <c r="L92" s="650"/>
      <c r="M92" s="650"/>
      <c r="N92" s="650"/>
      <c r="O92" s="650"/>
      <c r="P92" s="650"/>
      <c r="Q92" s="650"/>
      <c r="R92" s="650"/>
      <c r="S92" s="650"/>
      <c r="T92" s="651"/>
      <c r="U92" s="651"/>
      <c r="V92" s="1090">
        <f t="shared" si="4"/>
        <v>25000</v>
      </c>
    </row>
    <row r="93" spans="1:22" s="632" customFormat="1" ht="30" customHeight="1">
      <c r="A93" s="813" t="s">
        <v>252</v>
      </c>
      <c r="B93" s="650"/>
      <c r="C93" s="650"/>
      <c r="D93" s="650"/>
      <c r="E93" s="650"/>
      <c r="F93" s="650"/>
      <c r="G93" s="650"/>
      <c r="H93" s="650"/>
      <c r="I93" s="650"/>
      <c r="J93" s="650"/>
      <c r="K93" s="650"/>
      <c r="L93" s="650"/>
      <c r="M93" s="650"/>
      <c r="N93" s="650"/>
      <c r="O93" s="650"/>
      <c r="P93" s="650">
        <v>3000</v>
      </c>
      <c r="Q93" s="650"/>
      <c r="R93" s="650"/>
      <c r="S93" s="650"/>
      <c r="T93" s="651"/>
      <c r="U93" s="651"/>
      <c r="V93" s="1090">
        <f t="shared" si="4"/>
        <v>3000</v>
      </c>
    </row>
    <row r="94" spans="1:22" ht="19.5" customHeight="1">
      <c r="A94" s="816" t="s">
        <v>381</v>
      </c>
      <c r="B94" s="650"/>
      <c r="C94" s="650"/>
      <c r="D94" s="650"/>
      <c r="E94" s="650"/>
      <c r="F94" s="650"/>
      <c r="G94" s="650"/>
      <c r="H94" s="650"/>
      <c r="I94" s="650"/>
      <c r="J94" s="650"/>
      <c r="K94" s="650"/>
      <c r="L94" s="650"/>
      <c r="M94" s="650"/>
      <c r="N94" s="650"/>
      <c r="O94" s="650">
        <v>29400</v>
      </c>
      <c r="P94" s="650"/>
      <c r="Q94" s="650"/>
      <c r="R94" s="650"/>
      <c r="S94" s="650"/>
      <c r="T94" s="650"/>
      <c r="U94" s="650"/>
      <c r="V94" s="1090">
        <f t="shared" si="4"/>
        <v>29400</v>
      </c>
    </row>
    <row r="95" spans="1:22" ht="19.5" customHeight="1" thickBot="1">
      <c r="A95" s="816" t="s">
        <v>382</v>
      </c>
      <c r="B95" s="650"/>
      <c r="C95" s="650"/>
      <c r="D95" s="650"/>
      <c r="E95" s="650"/>
      <c r="F95" s="650"/>
      <c r="G95" s="650"/>
      <c r="H95" s="650"/>
      <c r="I95" s="650"/>
      <c r="J95" s="650"/>
      <c r="K95" s="650"/>
      <c r="L95" s="650"/>
      <c r="M95" s="650"/>
      <c r="N95" s="650">
        <v>8000</v>
      </c>
      <c r="O95" s="650"/>
      <c r="P95" s="650"/>
      <c r="Q95" s="650"/>
      <c r="R95" s="650"/>
      <c r="S95" s="650"/>
      <c r="T95" s="650"/>
      <c r="U95" s="650"/>
      <c r="V95" s="1090">
        <f t="shared" si="4"/>
        <v>8000</v>
      </c>
    </row>
    <row r="96" spans="1:22" s="655" customFormat="1" ht="27.75" customHeight="1" thickBot="1">
      <c r="A96" s="659" t="s">
        <v>385</v>
      </c>
      <c r="B96" s="1105"/>
      <c r="C96" s="1105"/>
      <c r="D96" s="1105"/>
      <c r="E96" s="1105"/>
      <c r="F96" s="1105"/>
      <c r="G96" s="1105"/>
      <c r="H96" s="1105"/>
      <c r="I96" s="1105"/>
      <c r="J96" s="1105"/>
      <c r="K96" s="1105"/>
      <c r="L96" s="1105"/>
      <c r="M96" s="1105"/>
      <c r="N96" s="1105"/>
      <c r="O96" s="1105"/>
      <c r="P96" s="1105"/>
      <c r="Q96" s="1105"/>
      <c r="R96" s="1105"/>
      <c r="S96" s="1105"/>
      <c r="T96" s="1105"/>
      <c r="U96" s="1105">
        <f>U97</f>
        <v>8000</v>
      </c>
      <c r="V96" s="1105">
        <f t="shared" si="4"/>
        <v>8000</v>
      </c>
    </row>
    <row r="97" spans="1:22" s="655" customFormat="1" ht="36.75" customHeight="1" thickBot="1">
      <c r="A97" s="815" t="s">
        <v>674</v>
      </c>
      <c r="B97" s="1111"/>
      <c r="C97" s="1111"/>
      <c r="D97" s="1111"/>
      <c r="E97" s="1111"/>
      <c r="F97" s="1111"/>
      <c r="G97" s="1111"/>
      <c r="H97" s="1111"/>
      <c r="I97" s="1111"/>
      <c r="J97" s="1111"/>
      <c r="K97" s="1111"/>
      <c r="L97" s="1111"/>
      <c r="M97" s="1111"/>
      <c r="N97" s="1111"/>
      <c r="O97" s="1111"/>
      <c r="P97" s="1111"/>
      <c r="Q97" s="1111"/>
      <c r="R97" s="1111"/>
      <c r="S97" s="1111"/>
      <c r="T97" s="1112"/>
      <c r="U97" s="1112">
        <v>8000</v>
      </c>
      <c r="V97" s="1113">
        <f t="shared" si="4"/>
        <v>8000</v>
      </c>
    </row>
    <row r="98" spans="1:22" ht="27.75" customHeight="1" thickBot="1">
      <c r="A98" s="652" t="s">
        <v>387</v>
      </c>
      <c r="B98" s="1096"/>
      <c r="C98" s="1096"/>
      <c r="D98" s="1096"/>
      <c r="E98" s="1096"/>
      <c r="F98" s="1096"/>
      <c r="G98" s="1096"/>
      <c r="H98" s="1096"/>
      <c r="I98" s="1096"/>
      <c r="J98" s="1096"/>
      <c r="K98" s="1096"/>
      <c r="L98" s="1096"/>
      <c r="M98" s="1096"/>
      <c r="N98" s="1096">
        <f>SUM(N99:N99)</f>
        <v>6000</v>
      </c>
      <c r="O98" s="1096"/>
      <c r="P98" s="1096"/>
      <c r="Q98" s="1096"/>
      <c r="R98" s="1096"/>
      <c r="S98" s="1096"/>
      <c r="T98" s="1096"/>
      <c r="U98" s="1096"/>
      <c r="V98" s="1105">
        <f t="shared" si="4"/>
        <v>6000</v>
      </c>
    </row>
    <row r="99" spans="1:22" s="655" customFormat="1" ht="19.5" customHeight="1" thickBot="1">
      <c r="A99" s="660" t="s">
        <v>254</v>
      </c>
      <c r="B99" s="1108"/>
      <c r="C99" s="1108"/>
      <c r="D99" s="1108"/>
      <c r="E99" s="1108"/>
      <c r="F99" s="1108"/>
      <c r="G99" s="1108"/>
      <c r="H99" s="1108"/>
      <c r="I99" s="1108"/>
      <c r="J99" s="1108"/>
      <c r="K99" s="1108"/>
      <c r="L99" s="1108"/>
      <c r="M99" s="1108"/>
      <c r="N99" s="1108">
        <v>6000</v>
      </c>
      <c r="O99" s="1108"/>
      <c r="P99" s="1108"/>
      <c r="Q99" s="1108"/>
      <c r="R99" s="1108"/>
      <c r="S99" s="1108"/>
      <c r="T99" s="1114"/>
      <c r="U99" s="1114"/>
      <c r="V99" s="1103">
        <f t="shared" si="4"/>
        <v>6000</v>
      </c>
    </row>
    <row r="100" spans="1:22" ht="51.75" customHeight="1" thickBot="1">
      <c r="A100" s="659" t="s">
        <v>637</v>
      </c>
      <c r="B100" s="1104"/>
      <c r="C100" s="1104"/>
      <c r="D100" s="1104"/>
      <c r="E100" s="1104"/>
      <c r="F100" s="1104"/>
      <c r="G100" s="1104"/>
      <c r="H100" s="1104"/>
      <c r="I100" s="1104"/>
      <c r="J100" s="1104"/>
      <c r="K100" s="1104">
        <f>SUM(K101:K101)</f>
        <v>5000</v>
      </c>
      <c r="L100" s="1104"/>
      <c r="M100" s="1104"/>
      <c r="N100" s="1104"/>
      <c r="O100" s="1104"/>
      <c r="P100" s="1104"/>
      <c r="Q100" s="1104"/>
      <c r="R100" s="1104"/>
      <c r="S100" s="1104"/>
      <c r="T100" s="1104"/>
      <c r="U100" s="1104"/>
      <c r="V100" s="1105">
        <f t="shared" si="4"/>
        <v>5000</v>
      </c>
    </row>
    <row r="101" spans="1:22" ht="19.5" customHeight="1" thickBot="1">
      <c r="A101" s="982" t="s">
        <v>575</v>
      </c>
      <c r="B101" s="1115"/>
      <c r="C101" s="1115"/>
      <c r="D101" s="1115"/>
      <c r="E101" s="1115"/>
      <c r="F101" s="1115"/>
      <c r="G101" s="1115"/>
      <c r="H101" s="1115"/>
      <c r="I101" s="1115"/>
      <c r="J101" s="1115"/>
      <c r="K101" s="1115">
        <v>5000</v>
      </c>
      <c r="L101" s="1115"/>
      <c r="M101" s="1115"/>
      <c r="N101" s="1115"/>
      <c r="O101" s="1115"/>
      <c r="P101" s="1115"/>
      <c r="Q101" s="1115"/>
      <c r="R101" s="1115"/>
      <c r="S101" s="1115"/>
      <c r="T101" s="1115"/>
      <c r="U101" s="1115"/>
      <c r="V101" s="1115">
        <f t="shared" si="4"/>
        <v>5000</v>
      </c>
    </row>
    <row r="102" spans="1:22" ht="28.5" customHeight="1" thickBot="1">
      <c r="A102" s="652" t="s">
        <v>638</v>
      </c>
      <c r="B102" s="1096"/>
      <c r="C102" s="1096">
        <f>SUM(C103:C105)</f>
        <v>-2200</v>
      </c>
      <c r="D102" s="1096"/>
      <c r="E102" s="1096"/>
      <c r="F102" s="1096"/>
      <c r="G102" s="1096"/>
      <c r="H102" s="1096"/>
      <c r="I102" s="1096"/>
      <c r="J102" s="1096"/>
      <c r="K102" s="1096"/>
      <c r="L102" s="1096"/>
      <c r="M102" s="1096"/>
      <c r="N102" s="1096"/>
      <c r="O102" s="1096"/>
      <c r="P102" s="1096">
        <f>SUM(P103:P105)</f>
        <v>2200</v>
      </c>
      <c r="Q102" s="1096"/>
      <c r="R102" s="1096"/>
      <c r="S102" s="1096"/>
      <c r="T102" s="1096"/>
      <c r="U102" s="1096"/>
      <c r="V102" s="1105">
        <f t="shared" si="4"/>
        <v>0</v>
      </c>
    </row>
    <row r="103" spans="1:22" ht="19.5" customHeight="1">
      <c r="A103" s="816" t="s">
        <v>157</v>
      </c>
      <c r="B103" s="650"/>
      <c r="C103" s="650">
        <v>-800</v>
      </c>
      <c r="D103" s="650"/>
      <c r="E103" s="650"/>
      <c r="F103" s="650"/>
      <c r="G103" s="650"/>
      <c r="H103" s="650"/>
      <c r="I103" s="650"/>
      <c r="J103" s="650"/>
      <c r="K103" s="650"/>
      <c r="L103" s="650"/>
      <c r="M103" s="650"/>
      <c r="N103" s="650"/>
      <c r="O103" s="650"/>
      <c r="P103" s="650">
        <v>800</v>
      </c>
      <c r="Q103" s="650"/>
      <c r="R103" s="650"/>
      <c r="S103" s="650"/>
      <c r="T103" s="650"/>
      <c r="U103" s="650"/>
      <c r="V103" s="650">
        <f t="shared" si="4"/>
        <v>0</v>
      </c>
    </row>
    <row r="104" spans="1:22" ht="19.5" customHeight="1">
      <c r="A104" s="816" t="s">
        <v>213</v>
      </c>
      <c r="B104" s="650"/>
      <c r="C104" s="650">
        <v>-800</v>
      </c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>
        <v>800</v>
      </c>
      <c r="Q104" s="650"/>
      <c r="R104" s="650"/>
      <c r="S104" s="650"/>
      <c r="T104" s="650"/>
      <c r="U104" s="650"/>
      <c r="V104" s="650">
        <f t="shared" si="4"/>
        <v>0</v>
      </c>
    </row>
    <row r="105" spans="1:22" ht="19.5" customHeight="1" thickBot="1">
      <c r="A105" s="816" t="s">
        <v>144</v>
      </c>
      <c r="B105" s="650"/>
      <c r="C105" s="650">
        <v>-600</v>
      </c>
      <c r="D105" s="650"/>
      <c r="E105" s="650"/>
      <c r="F105" s="650"/>
      <c r="G105" s="650"/>
      <c r="H105" s="650"/>
      <c r="I105" s="650"/>
      <c r="J105" s="650"/>
      <c r="K105" s="650"/>
      <c r="L105" s="650"/>
      <c r="M105" s="650"/>
      <c r="N105" s="650"/>
      <c r="O105" s="650"/>
      <c r="P105" s="650">
        <v>600</v>
      </c>
      <c r="Q105" s="650"/>
      <c r="R105" s="650"/>
      <c r="S105" s="650"/>
      <c r="T105" s="650"/>
      <c r="U105" s="650"/>
      <c r="V105" s="650">
        <f t="shared" si="4"/>
        <v>0</v>
      </c>
    </row>
    <row r="106" spans="1:22" s="724" customFormat="1" ht="22.5" customHeight="1" thickBot="1">
      <c r="A106" s="728" t="s">
        <v>401</v>
      </c>
      <c r="B106" s="729"/>
      <c r="C106" s="729">
        <f>C107+C138</f>
        <v>95200</v>
      </c>
      <c r="D106" s="729">
        <f>D107+D138</f>
        <v>15465</v>
      </c>
      <c r="E106" s="729">
        <f>E107+E138</f>
        <v>2549</v>
      </c>
      <c r="F106" s="729"/>
      <c r="G106" s="729"/>
      <c r="H106" s="729"/>
      <c r="I106" s="729"/>
      <c r="J106" s="729"/>
      <c r="K106" s="729">
        <f>K107+K138</f>
        <v>19840</v>
      </c>
      <c r="L106" s="729">
        <f>L107+L138</f>
        <v>1344</v>
      </c>
      <c r="M106" s="729">
        <f>M107+M138</f>
        <v>2782</v>
      </c>
      <c r="N106" s="729"/>
      <c r="O106" s="729"/>
      <c r="P106" s="729">
        <f>P107+P138</f>
        <v>47245</v>
      </c>
      <c r="Q106" s="729">
        <f>Q107+Q138</f>
        <v>75</v>
      </c>
      <c r="R106" s="729"/>
      <c r="S106" s="729">
        <f>S107+S138</f>
        <v>200</v>
      </c>
      <c r="T106" s="729"/>
      <c r="U106" s="729">
        <f>U107+U138</f>
        <v>6000</v>
      </c>
      <c r="V106" s="729">
        <f aca="true" t="shared" si="5" ref="V106:V137">SUM(B106:U106)</f>
        <v>190700</v>
      </c>
    </row>
    <row r="107" spans="1:22" s="701" customFormat="1" ht="32.25" customHeight="1">
      <c r="A107" s="725" t="s">
        <v>192</v>
      </c>
      <c r="B107" s="726"/>
      <c r="C107" s="726">
        <f aca="true" t="shared" si="6" ref="C107:E108">C108</f>
        <v>95200</v>
      </c>
      <c r="D107" s="726">
        <f t="shared" si="6"/>
        <v>15465</v>
      </c>
      <c r="E107" s="726">
        <f t="shared" si="6"/>
        <v>2549</v>
      </c>
      <c r="F107" s="726"/>
      <c r="G107" s="726"/>
      <c r="H107" s="726"/>
      <c r="I107" s="726"/>
      <c r="J107" s="726"/>
      <c r="K107" s="726">
        <f aca="true" t="shared" si="7" ref="K107:M108">K108</f>
        <v>25840</v>
      </c>
      <c r="L107" s="726">
        <f t="shared" si="7"/>
        <v>1344</v>
      </c>
      <c r="M107" s="726">
        <f t="shared" si="7"/>
        <v>2782</v>
      </c>
      <c r="N107" s="726"/>
      <c r="O107" s="726"/>
      <c r="P107" s="726">
        <f>P108</f>
        <v>43305</v>
      </c>
      <c r="Q107" s="726">
        <f>Q108</f>
        <v>75</v>
      </c>
      <c r="R107" s="726"/>
      <c r="S107" s="726">
        <f>S108</f>
        <v>200</v>
      </c>
      <c r="T107" s="726"/>
      <c r="U107" s="726"/>
      <c r="V107" s="727">
        <f t="shared" si="5"/>
        <v>186760</v>
      </c>
    </row>
    <row r="108" spans="1:22" s="701" customFormat="1" ht="51" customHeight="1">
      <c r="A108" s="684" t="s">
        <v>179</v>
      </c>
      <c r="B108" s="699"/>
      <c r="C108" s="699">
        <f t="shared" si="6"/>
        <v>95200</v>
      </c>
      <c r="D108" s="699">
        <f t="shared" si="6"/>
        <v>15465</v>
      </c>
      <c r="E108" s="699">
        <f t="shared" si="6"/>
        <v>2549</v>
      </c>
      <c r="F108" s="699"/>
      <c r="G108" s="699"/>
      <c r="H108" s="699"/>
      <c r="I108" s="699"/>
      <c r="J108" s="699"/>
      <c r="K108" s="699">
        <f t="shared" si="7"/>
        <v>25840</v>
      </c>
      <c r="L108" s="699">
        <f t="shared" si="7"/>
        <v>1344</v>
      </c>
      <c r="M108" s="699">
        <f t="shared" si="7"/>
        <v>2782</v>
      </c>
      <c r="N108" s="699"/>
      <c r="O108" s="699"/>
      <c r="P108" s="699">
        <f>P109</f>
        <v>43305</v>
      </c>
      <c r="Q108" s="699">
        <f>Q109</f>
        <v>75</v>
      </c>
      <c r="R108" s="699"/>
      <c r="S108" s="699">
        <f>S109</f>
        <v>200</v>
      </c>
      <c r="T108" s="699"/>
      <c r="U108" s="699"/>
      <c r="V108" s="700">
        <f t="shared" si="5"/>
        <v>186760</v>
      </c>
    </row>
    <row r="109" spans="1:22" s="704" customFormat="1" ht="158.25" customHeight="1">
      <c r="A109" s="702" t="s">
        <v>181</v>
      </c>
      <c r="B109" s="703"/>
      <c r="C109" s="703">
        <f>SUM(C110:C137)</f>
        <v>95200</v>
      </c>
      <c r="D109" s="703">
        <f>SUM(D110:D137)</f>
        <v>15465</v>
      </c>
      <c r="E109" s="703">
        <f>SUM(E110:E137)</f>
        <v>2549</v>
      </c>
      <c r="F109" s="703"/>
      <c r="G109" s="703"/>
      <c r="H109" s="703"/>
      <c r="I109" s="703"/>
      <c r="J109" s="703"/>
      <c r="K109" s="703">
        <f>SUM(K110:K137)</f>
        <v>25840</v>
      </c>
      <c r="L109" s="703">
        <f>SUM(L110:L137)</f>
        <v>1344</v>
      </c>
      <c r="M109" s="703">
        <f>SUM(M110:M137)</f>
        <v>2782</v>
      </c>
      <c r="N109" s="703"/>
      <c r="O109" s="703"/>
      <c r="P109" s="703">
        <f>SUM(P110:P137)</f>
        <v>43305</v>
      </c>
      <c r="Q109" s="703">
        <f>SUM(Q110:Q137)</f>
        <v>75</v>
      </c>
      <c r="R109" s="703"/>
      <c r="S109" s="703">
        <f>SUM(S110:S137)</f>
        <v>200</v>
      </c>
      <c r="T109" s="703"/>
      <c r="U109" s="703"/>
      <c r="V109" s="783">
        <f t="shared" si="5"/>
        <v>186760</v>
      </c>
    </row>
    <row r="110" spans="1:22" s="705" customFormat="1" ht="19.5" customHeight="1">
      <c r="A110" s="706" t="s">
        <v>151</v>
      </c>
      <c r="B110" s="707"/>
      <c r="C110" s="707">
        <v>5134</v>
      </c>
      <c r="D110" s="707">
        <v>905</v>
      </c>
      <c r="E110" s="707">
        <v>131</v>
      </c>
      <c r="F110" s="707"/>
      <c r="G110" s="707"/>
      <c r="H110" s="707"/>
      <c r="I110" s="707"/>
      <c r="J110" s="707"/>
      <c r="K110" s="707">
        <v>2530</v>
      </c>
      <c r="L110" s="707"/>
      <c r="M110" s="707"/>
      <c r="N110" s="708"/>
      <c r="O110" s="708"/>
      <c r="P110" s="709"/>
      <c r="Q110" s="709"/>
      <c r="R110" s="709"/>
      <c r="S110" s="709"/>
      <c r="T110" s="709"/>
      <c r="U110" s="709"/>
      <c r="V110" s="784">
        <f t="shared" si="5"/>
        <v>8700</v>
      </c>
    </row>
    <row r="111" spans="1:22" s="705" customFormat="1" ht="19.5" customHeight="1">
      <c r="A111" s="706" t="s">
        <v>154</v>
      </c>
      <c r="B111" s="707"/>
      <c r="C111" s="707">
        <v>4640</v>
      </c>
      <c r="D111" s="707">
        <v>870</v>
      </c>
      <c r="E111" s="707">
        <v>490</v>
      </c>
      <c r="F111" s="707"/>
      <c r="G111" s="707"/>
      <c r="H111" s="707"/>
      <c r="I111" s="707"/>
      <c r="J111" s="707"/>
      <c r="K111" s="707">
        <v>200</v>
      </c>
      <c r="L111" s="707"/>
      <c r="M111" s="707"/>
      <c r="N111" s="708"/>
      <c r="O111" s="708"/>
      <c r="P111" s="709"/>
      <c r="Q111" s="709"/>
      <c r="R111" s="709"/>
      <c r="S111" s="709"/>
      <c r="T111" s="709"/>
      <c r="U111" s="709"/>
      <c r="V111" s="784">
        <f t="shared" si="5"/>
        <v>6200</v>
      </c>
    </row>
    <row r="112" spans="1:22" s="705" customFormat="1" ht="19.5" customHeight="1">
      <c r="A112" s="706" t="s">
        <v>155</v>
      </c>
      <c r="B112" s="707"/>
      <c r="C112" s="707"/>
      <c r="D112" s="707"/>
      <c r="E112" s="707"/>
      <c r="F112" s="707"/>
      <c r="G112" s="707"/>
      <c r="H112" s="707"/>
      <c r="I112" s="707"/>
      <c r="J112" s="707"/>
      <c r="K112" s="707">
        <v>800</v>
      </c>
      <c r="L112" s="707"/>
      <c r="M112" s="707"/>
      <c r="N112" s="708"/>
      <c r="O112" s="708"/>
      <c r="P112" s="709">
        <v>300</v>
      </c>
      <c r="Q112" s="709"/>
      <c r="R112" s="709"/>
      <c r="S112" s="709"/>
      <c r="T112" s="709"/>
      <c r="U112" s="709"/>
      <c r="V112" s="784">
        <f t="shared" si="5"/>
        <v>1100</v>
      </c>
    </row>
    <row r="113" spans="1:22" s="705" customFormat="1" ht="19.5" customHeight="1">
      <c r="A113" s="706" t="s">
        <v>156</v>
      </c>
      <c r="B113" s="707"/>
      <c r="C113" s="707">
        <v>4300</v>
      </c>
      <c r="D113" s="707">
        <v>328</v>
      </c>
      <c r="E113" s="707">
        <v>47</v>
      </c>
      <c r="F113" s="707"/>
      <c r="G113" s="707"/>
      <c r="H113" s="707"/>
      <c r="I113" s="707"/>
      <c r="J113" s="707"/>
      <c r="K113" s="707">
        <v>943</v>
      </c>
      <c r="L113" s="707">
        <v>1344</v>
      </c>
      <c r="M113" s="707"/>
      <c r="N113" s="708"/>
      <c r="O113" s="708"/>
      <c r="P113" s="709">
        <v>388</v>
      </c>
      <c r="Q113" s="709"/>
      <c r="R113" s="709"/>
      <c r="S113" s="709">
        <v>200</v>
      </c>
      <c r="T113" s="709"/>
      <c r="U113" s="709"/>
      <c r="V113" s="784">
        <f t="shared" si="5"/>
        <v>7550</v>
      </c>
    </row>
    <row r="114" spans="1:22" s="705" customFormat="1" ht="19.5" customHeight="1">
      <c r="A114" s="706" t="s">
        <v>160</v>
      </c>
      <c r="B114" s="707"/>
      <c r="C114" s="707">
        <v>500</v>
      </c>
      <c r="D114" s="707">
        <v>88</v>
      </c>
      <c r="E114" s="707">
        <v>12</v>
      </c>
      <c r="F114" s="707"/>
      <c r="G114" s="707"/>
      <c r="H114" s="707"/>
      <c r="I114" s="707"/>
      <c r="J114" s="707"/>
      <c r="K114" s="707">
        <v>70</v>
      </c>
      <c r="L114" s="707"/>
      <c r="M114" s="707"/>
      <c r="N114" s="708"/>
      <c r="O114" s="708"/>
      <c r="P114" s="709"/>
      <c r="Q114" s="709"/>
      <c r="R114" s="709"/>
      <c r="S114" s="709"/>
      <c r="T114" s="709"/>
      <c r="U114" s="709"/>
      <c r="V114" s="784">
        <f t="shared" si="5"/>
        <v>670</v>
      </c>
    </row>
    <row r="115" spans="1:22" s="705" customFormat="1" ht="19.5" customHeight="1">
      <c r="A115" s="706" t="s">
        <v>161</v>
      </c>
      <c r="B115" s="707"/>
      <c r="C115" s="707">
        <v>2000</v>
      </c>
      <c r="D115" s="707">
        <v>350</v>
      </c>
      <c r="E115" s="707">
        <v>50</v>
      </c>
      <c r="F115" s="707"/>
      <c r="G115" s="707"/>
      <c r="H115" s="707"/>
      <c r="I115" s="707"/>
      <c r="J115" s="707"/>
      <c r="K115" s="707">
        <v>200</v>
      </c>
      <c r="L115" s="707"/>
      <c r="M115" s="707"/>
      <c r="N115" s="708"/>
      <c r="O115" s="708"/>
      <c r="P115" s="709"/>
      <c r="Q115" s="709"/>
      <c r="R115" s="709"/>
      <c r="S115" s="709"/>
      <c r="T115" s="709"/>
      <c r="U115" s="709"/>
      <c r="V115" s="784">
        <f t="shared" si="5"/>
        <v>2600</v>
      </c>
    </row>
    <row r="116" spans="1:22" s="705" customFormat="1" ht="19.5" customHeight="1">
      <c r="A116" s="706" t="s">
        <v>210</v>
      </c>
      <c r="B116" s="707"/>
      <c r="C116" s="707">
        <v>11804</v>
      </c>
      <c r="D116" s="707">
        <v>2061</v>
      </c>
      <c r="E116" s="707">
        <v>290</v>
      </c>
      <c r="F116" s="707"/>
      <c r="G116" s="707"/>
      <c r="H116" s="707"/>
      <c r="I116" s="707"/>
      <c r="J116" s="707"/>
      <c r="K116" s="707">
        <v>1370</v>
      </c>
      <c r="L116" s="707"/>
      <c r="M116" s="707"/>
      <c r="N116" s="708"/>
      <c r="O116" s="708"/>
      <c r="P116" s="709">
        <v>3175</v>
      </c>
      <c r="Q116" s="709"/>
      <c r="R116" s="709"/>
      <c r="S116" s="709"/>
      <c r="T116" s="709"/>
      <c r="U116" s="709"/>
      <c r="V116" s="784">
        <f t="shared" si="5"/>
        <v>18700</v>
      </c>
    </row>
    <row r="117" spans="1:22" s="705" customFormat="1" ht="19.5" customHeight="1">
      <c r="A117" s="706" t="s">
        <v>211</v>
      </c>
      <c r="B117" s="707"/>
      <c r="C117" s="707">
        <v>1000</v>
      </c>
      <c r="D117" s="707">
        <v>175</v>
      </c>
      <c r="E117" s="707">
        <v>25</v>
      </c>
      <c r="F117" s="707"/>
      <c r="G117" s="707"/>
      <c r="H117" s="707"/>
      <c r="I117" s="707"/>
      <c r="J117" s="707"/>
      <c r="K117" s="707">
        <v>140</v>
      </c>
      <c r="L117" s="707"/>
      <c r="M117" s="707"/>
      <c r="N117" s="708"/>
      <c r="O117" s="708"/>
      <c r="P117" s="709"/>
      <c r="Q117" s="709"/>
      <c r="R117" s="709"/>
      <c r="S117" s="709"/>
      <c r="T117" s="709"/>
      <c r="U117" s="709"/>
      <c r="V117" s="784">
        <f t="shared" si="5"/>
        <v>1340</v>
      </c>
    </row>
    <row r="118" spans="1:22" s="705" customFormat="1" ht="19.5" customHeight="1">
      <c r="A118" s="706" t="s">
        <v>212</v>
      </c>
      <c r="B118" s="707"/>
      <c r="C118" s="707">
        <v>12078</v>
      </c>
      <c r="D118" s="707">
        <v>2084</v>
      </c>
      <c r="E118" s="707">
        <v>298</v>
      </c>
      <c r="F118" s="707"/>
      <c r="G118" s="707"/>
      <c r="H118" s="707"/>
      <c r="I118" s="707"/>
      <c r="J118" s="707"/>
      <c r="K118" s="707">
        <v>875</v>
      </c>
      <c r="L118" s="707"/>
      <c r="M118" s="707">
        <v>1665</v>
      </c>
      <c r="N118" s="708"/>
      <c r="O118" s="708"/>
      <c r="P118" s="709">
        <v>1500</v>
      </c>
      <c r="Q118" s="709"/>
      <c r="R118" s="709"/>
      <c r="S118" s="709"/>
      <c r="T118" s="709"/>
      <c r="U118" s="709"/>
      <c r="V118" s="784">
        <f t="shared" si="5"/>
        <v>18500</v>
      </c>
    </row>
    <row r="119" spans="1:22" s="705" customFormat="1" ht="19.5" customHeight="1">
      <c r="A119" s="706" t="s">
        <v>214</v>
      </c>
      <c r="B119" s="707"/>
      <c r="C119" s="707">
        <v>3600</v>
      </c>
      <c r="D119" s="707">
        <v>630</v>
      </c>
      <c r="E119" s="707">
        <v>90</v>
      </c>
      <c r="F119" s="707"/>
      <c r="G119" s="707"/>
      <c r="H119" s="707"/>
      <c r="I119" s="707"/>
      <c r="J119" s="707"/>
      <c r="K119" s="707">
        <v>480</v>
      </c>
      <c r="L119" s="707"/>
      <c r="M119" s="707"/>
      <c r="N119" s="708"/>
      <c r="O119" s="708"/>
      <c r="P119" s="709"/>
      <c r="Q119" s="709"/>
      <c r="R119" s="709"/>
      <c r="S119" s="709"/>
      <c r="T119" s="709"/>
      <c r="U119" s="709"/>
      <c r="V119" s="784">
        <f t="shared" si="5"/>
        <v>4800</v>
      </c>
    </row>
    <row r="120" spans="1:22" s="705" customFormat="1" ht="19.5" customHeight="1">
      <c r="A120" s="706" t="s">
        <v>220</v>
      </c>
      <c r="B120" s="707"/>
      <c r="C120" s="707">
        <v>1500</v>
      </c>
      <c r="D120" s="707">
        <v>263</v>
      </c>
      <c r="E120" s="707">
        <v>37</v>
      </c>
      <c r="F120" s="707"/>
      <c r="G120" s="707"/>
      <c r="H120" s="707"/>
      <c r="I120" s="707"/>
      <c r="J120" s="707"/>
      <c r="K120" s="707">
        <v>200</v>
      </c>
      <c r="L120" s="707"/>
      <c r="M120" s="707"/>
      <c r="N120" s="708"/>
      <c r="O120" s="708"/>
      <c r="P120" s="709"/>
      <c r="Q120" s="709"/>
      <c r="R120" s="709"/>
      <c r="S120" s="709"/>
      <c r="T120" s="709"/>
      <c r="U120" s="709"/>
      <c r="V120" s="784">
        <f t="shared" si="5"/>
        <v>2000</v>
      </c>
    </row>
    <row r="121" spans="1:22" s="705" customFormat="1" ht="19.5" customHeight="1">
      <c r="A121" s="706" t="s">
        <v>222</v>
      </c>
      <c r="B121" s="707"/>
      <c r="C121" s="707">
        <v>1080</v>
      </c>
      <c r="D121" s="707">
        <v>196</v>
      </c>
      <c r="E121" s="707">
        <v>28</v>
      </c>
      <c r="F121" s="707"/>
      <c r="G121" s="707"/>
      <c r="H121" s="707"/>
      <c r="I121" s="707"/>
      <c r="J121" s="707"/>
      <c r="K121" s="707">
        <v>200</v>
      </c>
      <c r="L121" s="707"/>
      <c r="M121" s="707"/>
      <c r="N121" s="708"/>
      <c r="O121" s="708"/>
      <c r="P121" s="709">
        <v>7496</v>
      </c>
      <c r="Q121" s="709"/>
      <c r="R121" s="709"/>
      <c r="S121" s="709"/>
      <c r="T121" s="709"/>
      <c r="U121" s="709"/>
      <c r="V121" s="784">
        <f t="shared" si="5"/>
        <v>9000</v>
      </c>
    </row>
    <row r="122" spans="1:22" s="705" customFormat="1" ht="19.5" customHeight="1">
      <c r="A122" s="706" t="s">
        <v>223</v>
      </c>
      <c r="B122" s="707"/>
      <c r="C122" s="707"/>
      <c r="D122" s="707"/>
      <c r="E122" s="707"/>
      <c r="F122" s="707"/>
      <c r="G122" s="707"/>
      <c r="H122" s="707"/>
      <c r="I122" s="707"/>
      <c r="J122" s="707"/>
      <c r="K122" s="707"/>
      <c r="L122" s="707"/>
      <c r="M122" s="707"/>
      <c r="N122" s="708"/>
      <c r="O122" s="708"/>
      <c r="P122" s="709">
        <v>9000</v>
      </c>
      <c r="Q122" s="709"/>
      <c r="R122" s="709"/>
      <c r="S122" s="709"/>
      <c r="T122" s="709"/>
      <c r="U122" s="709"/>
      <c r="V122" s="784">
        <f t="shared" si="5"/>
        <v>9000</v>
      </c>
    </row>
    <row r="123" spans="1:22" s="705" customFormat="1" ht="19.5" customHeight="1">
      <c r="A123" s="706" t="s">
        <v>226</v>
      </c>
      <c r="B123" s="707"/>
      <c r="C123" s="707">
        <v>17368</v>
      </c>
      <c r="D123" s="707">
        <v>3033</v>
      </c>
      <c r="E123" s="707">
        <v>427</v>
      </c>
      <c r="F123" s="707"/>
      <c r="G123" s="707"/>
      <c r="H123" s="707"/>
      <c r="I123" s="707"/>
      <c r="J123" s="707"/>
      <c r="K123" s="707">
        <v>5123</v>
      </c>
      <c r="L123" s="707"/>
      <c r="M123" s="707"/>
      <c r="N123" s="708"/>
      <c r="O123" s="708"/>
      <c r="P123" s="709">
        <v>1249</v>
      </c>
      <c r="Q123" s="709"/>
      <c r="R123" s="709"/>
      <c r="S123" s="709"/>
      <c r="T123" s="709"/>
      <c r="U123" s="709"/>
      <c r="V123" s="784">
        <f t="shared" si="5"/>
        <v>27200</v>
      </c>
    </row>
    <row r="124" spans="1:22" s="705" customFormat="1" ht="19.5" customHeight="1">
      <c r="A124" s="706" t="s">
        <v>228</v>
      </c>
      <c r="B124" s="707"/>
      <c r="C124" s="707">
        <v>2693</v>
      </c>
      <c r="D124" s="707">
        <v>471</v>
      </c>
      <c r="E124" s="707">
        <v>66</v>
      </c>
      <c r="F124" s="707"/>
      <c r="G124" s="707"/>
      <c r="H124" s="707"/>
      <c r="I124" s="707"/>
      <c r="J124" s="707"/>
      <c r="K124" s="707">
        <v>1000</v>
      </c>
      <c r="L124" s="707"/>
      <c r="M124" s="707">
        <v>770</v>
      </c>
      <c r="N124" s="708"/>
      <c r="O124" s="708"/>
      <c r="P124" s="709"/>
      <c r="Q124" s="709"/>
      <c r="R124" s="709"/>
      <c r="S124" s="709"/>
      <c r="T124" s="709"/>
      <c r="U124" s="709"/>
      <c r="V124" s="784">
        <f t="shared" si="5"/>
        <v>5000</v>
      </c>
    </row>
    <row r="125" spans="1:22" s="705" customFormat="1" ht="19.5" customHeight="1">
      <c r="A125" s="706" t="s">
        <v>230</v>
      </c>
      <c r="B125" s="707"/>
      <c r="C125" s="707"/>
      <c r="D125" s="707"/>
      <c r="E125" s="707"/>
      <c r="F125" s="707"/>
      <c r="G125" s="707"/>
      <c r="H125" s="707"/>
      <c r="I125" s="707"/>
      <c r="J125" s="707"/>
      <c r="K125" s="707">
        <v>800</v>
      </c>
      <c r="L125" s="707"/>
      <c r="M125" s="707"/>
      <c r="N125" s="708"/>
      <c r="O125" s="708"/>
      <c r="P125" s="709"/>
      <c r="Q125" s="709"/>
      <c r="R125" s="709"/>
      <c r="S125" s="709"/>
      <c r="T125" s="709"/>
      <c r="U125" s="709"/>
      <c r="V125" s="784">
        <f t="shared" si="5"/>
        <v>800</v>
      </c>
    </row>
    <row r="126" spans="1:22" s="705" customFormat="1" ht="19.5" customHeight="1">
      <c r="A126" s="706" t="s">
        <v>231</v>
      </c>
      <c r="B126" s="707"/>
      <c r="C126" s="707"/>
      <c r="D126" s="707">
        <v>1852</v>
      </c>
      <c r="E126" s="707">
        <v>257</v>
      </c>
      <c r="F126" s="707"/>
      <c r="G126" s="707"/>
      <c r="H126" s="707"/>
      <c r="I126" s="707"/>
      <c r="J126" s="707"/>
      <c r="K126" s="707">
        <v>3975</v>
      </c>
      <c r="L126" s="707"/>
      <c r="M126" s="707"/>
      <c r="N126" s="708"/>
      <c r="O126" s="708"/>
      <c r="P126" s="709">
        <v>16516</v>
      </c>
      <c r="Q126" s="709"/>
      <c r="R126" s="709"/>
      <c r="S126" s="709"/>
      <c r="T126" s="709"/>
      <c r="U126" s="709"/>
      <c r="V126" s="784">
        <f t="shared" si="5"/>
        <v>22600</v>
      </c>
    </row>
    <row r="127" spans="1:22" s="705" customFormat="1" ht="19.5" customHeight="1">
      <c r="A127" s="706" t="s">
        <v>232</v>
      </c>
      <c r="B127" s="707"/>
      <c r="C127" s="707">
        <v>4442</v>
      </c>
      <c r="D127" s="707">
        <v>800</v>
      </c>
      <c r="E127" s="707">
        <v>108</v>
      </c>
      <c r="F127" s="707"/>
      <c r="G127" s="707"/>
      <c r="H127" s="707"/>
      <c r="I127" s="707"/>
      <c r="J127" s="707"/>
      <c r="K127" s="707"/>
      <c r="L127" s="707"/>
      <c r="M127" s="707"/>
      <c r="N127" s="708"/>
      <c r="O127" s="708"/>
      <c r="P127" s="709">
        <v>1450</v>
      </c>
      <c r="Q127" s="709"/>
      <c r="R127" s="709"/>
      <c r="S127" s="709"/>
      <c r="T127" s="709"/>
      <c r="U127" s="709"/>
      <c r="V127" s="784">
        <f t="shared" si="5"/>
        <v>6800</v>
      </c>
    </row>
    <row r="128" spans="1:22" s="705" customFormat="1" ht="19.5" customHeight="1">
      <c r="A128" s="706" t="s">
        <v>236</v>
      </c>
      <c r="B128" s="707"/>
      <c r="C128" s="707"/>
      <c r="D128" s="707"/>
      <c r="E128" s="707"/>
      <c r="F128" s="707"/>
      <c r="G128" s="707"/>
      <c r="H128" s="707"/>
      <c r="I128" s="707"/>
      <c r="J128" s="707"/>
      <c r="K128" s="707">
        <v>500</v>
      </c>
      <c r="L128" s="707"/>
      <c r="M128" s="707"/>
      <c r="N128" s="708"/>
      <c r="O128" s="708"/>
      <c r="P128" s="709">
        <v>500</v>
      </c>
      <c r="Q128" s="709"/>
      <c r="R128" s="709"/>
      <c r="S128" s="709"/>
      <c r="T128" s="709"/>
      <c r="U128" s="709"/>
      <c r="V128" s="784">
        <f t="shared" si="5"/>
        <v>1000</v>
      </c>
    </row>
    <row r="129" spans="1:22" s="705" customFormat="1" ht="19.5" customHeight="1">
      <c r="A129" s="706" t="s">
        <v>238</v>
      </c>
      <c r="B129" s="707"/>
      <c r="C129" s="707">
        <v>8250</v>
      </c>
      <c r="D129" s="707"/>
      <c r="E129" s="707"/>
      <c r="F129" s="707"/>
      <c r="G129" s="707"/>
      <c r="H129" s="707"/>
      <c r="I129" s="707"/>
      <c r="J129" s="707"/>
      <c r="K129" s="707">
        <v>2070</v>
      </c>
      <c r="L129" s="707"/>
      <c r="M129" s="707"/>
      <c r="N129" s="708"/>
      <c r="O129" s="708"/>
      <c r="P129" s="709">
        <v>1200</v>
      </c>
      <c r="Q129" s="709"/>
      <c r="R129" s="709"/>
      <c r="S129" s="709"/>
      <c r="T129" s="709"/>
      <c r="U129" s="709"/>
      <c r="V129" s="784">
        <f t="shared" si="5"/>
        <v>11520</v>
      </c>
    </row>
    <row r="130" spans="1:22" s="705" customFormat="1" ht="19.5" customHeight="1">
      <c r="A130" s="706" t="s">
        <v>243</v>
      </c>
      <c r="B130" s="707"/>
      <c r="C130" s="707">
        <v>3520</v>
      </c>
      <c r="D130" s="707">
        <v>280</v>
      </c>
      <c r="E130" s="707">
        <v>40</v>
      </c>
      <c r="F130" s="707"/>
      <c r="G130" s="707"/>
      <c r="H130" s="707"/>
      <c r="I130" s="707"/>
      <c r="J130" s="707"/>
      <c r="K130" s="707">
        <v>660</v>
      </c>
      <c r="L130" s="707"/>
      <c r="M130" s="707"/>
      <c r="N130" s="708"/>
      <c r="O130" s="708"/>
      <c r="P130" s="709"/>
      <c r="Q130" s="709"/>
      <c r="R130" s="709"/>
      <c r="S130" s="709"/>
      <c r="T130" s="709"/>
      <c r="U130" s="709"/>
      <c r="V130" s="784">
        <f t="shared" si="5"/>
        <v>4500</v>
      </c>
    </row>
    <row r="131" spans="1:22" s="705" customFormat="1" ht="19.5" customHeight="1">
      <c r="A131" s="706" t="s">
        <v>246</v>
      </c>
      <c r="B131" s="707"/>
      <c r="C131" s="707">
        <v>1251</v>
      </c>
      <c r="D131" s="707">
        <v>218</v>
      </c>
      <c r="E131" s="707">
        <v>31</v>
      </c>
      <c r="F131" s="707"/>
      <c r="G131" s="707"/>
      <c r="H131" s="707"/>
      <c r="I131" s="707"/>
      <c r="J131" s="707"/>
      <c r="K131" s="707"/>
      <c r="L131" s="707"/>
      <c r="M131" s="707"/>
      <c r="N131" s="708"/>
      <c r="O131" s="708"/>
      <c r="P131" s="709"/>
      <c r="Q131" s="709"/>
      <c r="R131" s="709"/>
      <c r="S131" s="709"/>
      <c r="T131" s="709"/>
      <c r="U131" s="709"/>
      <c r="V131" s="784">
        <f t="shared" si="5"/>
        <v>1500</v>
      </c>
    </row>
    <row r="132" spans="1:22" s="705" customFormat="1" ht="19.5" customHeight="1">
      <c r="A132" s="825" t="s">
        <v>248</v>
      </c>
      <c r="B132" s="707"/>
      <c r="C132" s="707">
        <v>386</v>
      </c>
      <c r="D132" s="707">
        <v>82</v>
      </c>
      <c r="E132" s="707">
        <v>12</v>
      </c>
      <c r="F132" s="707"/>
      <c r="G132" s="707"/>
      <c r="H132" s="707"/>
      <c r="I132" s="707"/>
      <c r="J132" s="707"/>
      <c r="K132" s="707">
        <v>70</v>
      </c>
      <c r="L132" s="707"/>
      <c r="M132" s="707"/>
      <c r="N132" s="708"/>
      <c r="O132" s="708"/>
      <c r="P132" s="709"/>
      <c r="Q132" s="709"/>
      <c r="R132" s="709"/>
      <c r="S132" s="709"/>
      <c r="T132" s="709"/>
      <c r="U132" s="709"/>
      <c r="V132" s="784">
        <f t="shared" si="5"/>
        <v>550</v>
      </c>
    </row>
    <row r="133" spans="1:22" s="705" customFormat="1" ht="19.5" customHeight="1">
      <c r="A133" s="825" t="s">
        <v>382</v>
      </c>
      <c r="B133" s="707"/>
      <c r="C133" s="707">
        <v>165</v>
      </c>
      <c r="D133" s="707"/>
      <c r="E133" s="707"/>
      <c r="F133" s="707"/>
      <c r="G133" s="707"/>
      <c r="H133" s="707"/>
      <c r="I133" s="707"/>
      <c r="J133" s="707"/>
      <c r="K133" s="707">
        <v>835</v>
      </c>
      <c r="L133" s="707"/>
      <c r="M133" s="707"/>
      <c r="N133" s="708"/>
      <c r="O133" s="708"/>
      <c r="P133" s="709"/>
      <c r="Q133" s="709"/>
      <c r="R133" s="709"/>
      <c r="S133" s="709"/>
      <c r="T133" s="709"/>
      <c r="U133" s="709"/>
      <c r="V133" s="784">
        <f t="shared" si="5"/>
        <v>1000</v>
      </c>
    </row>
    <row r="134" spans="1:22" s="705" customFormat="1" ht="19.5" customHeight="1">
      <c r="A134" s="825" t="s">
        <v>383</v>
      </c>
      <c r="B134" s="707"/>
      <c r="C134" s="707"/>
      <c r="D134" s="707"/>
      <c r="E134" s="707"/>
      <c r="F134" s="707"/>
      <c r="G134" s="707"/>
      <c r="H134" s="707"/>
      <c r="I134" s="707"/>
      <c r="J134" s="707"/>
      <c r="K134" s="707">
        <v>1000</v>
      </c>
      <c r="L134" s="707"/>
      <c r="M134" s="707"/>
      <c r="N134" s="708"/>
      <c r="O134" s="708"/>
      <c r="P134" s="709"/>
      <c r="Q134" s="709"/>
      <c r="R134" s="709"/>
      <c r="S134" s="709"/>
      <c r="T134" s="709"/>
      <c r="U134" s="709"/>
      <c r="V134" s="784">
        <f t="shared" si="5"/>
        <v>1000</v>
      </c>
    </row>
    <row r="135" spans="1:22" s="705" customFormat="1" ht="18.75" customHeight="1">
      <c r="A135" s="706" t="s">
        <v>378</v>
      </c>
      <c r="B135" s="707"/>
      <c r="C135" s="707">
        <v>1459</v>
      </c>
      <c r="D135" s="707">
        <v>255</v>
      </c>
      <c r="E135" s="707">
        <v>36</v>
      </c>
      <c r="F135" s="707"/>
      <c r="G135" s="707"/>
      <c r="H135" s="707"/>
      <c r="I135" s="707"/>
      <c r="J135" s="707"/>
      <c r="K135" s="707">
        <v>500</v>
      </c>
      <c r="L135" s="707"/>
      <c r="M135" s="707"/>
      <c r="N135" s="708"/>
      <c r="O135" s="708"/>
      <c r="P135" s="709">
        <v>250</v>
      </c>
      <c r="Q135" s="709"/>
      <c r="R135" s="709"/>
      <c r="S135" s="709"/>
      <c r="T135" s="709"/>
      <c r="U135" s="709"/>
      <c r="V135" s="784">
        <f t="shared" si="5"/>
        <v>2500</v>
      </c>
    </row>
    <row r="136" spans="1:22" s="705" customFormat="1" ht="28.5" customHeight="1">
      <c r="A136" s="706" t="s">
        <v>193</v>
      </c>
      <c r="B136" s="707"/>
      <c r="C136" s="707">
        <v>5030</v>
      </c>
      <c r="D136" s="707"/>
      <c r="E136" s="707"/>
      <c r="F136" s="707"/>
      <c r="G136" s="707"/>
      <c r="H136" s="707"/>
      <c r="I136" s="707"/>
      <c r="J136" s="707"/>
      <c r="K136" s="707">
        <v>800</v>
      </c>
      <c r="L136" s="707"/>
      <c r="M136" s="707"/>
      <c r="N136" s="708"/>
      <c r="O136" s="708"/>
      <c r="P136" s="709"/>
      <c r="Q136" s="709"/>
      <c r="R136" s="709"/>
      <c r="S136" s="709"/>
      <c r="T136" s="709"/>
      <c r="U136" s="709"/>
      <c r="V136" s="784">
        <f t="shared" si="5"/>
        <v>5830</v>
      </c>
    </row>
    <row r="137" spans="1:22" s="705" customFormat="1" ht="18.75" customHeight="1">
      <c r="A137" s="706" t="s">
        <v>257</v>
      </c>
      <c r="B137" s="707"/>
      <c r="C137" s="707">
        <v>3000</v>
      </c>
      <c r="D137" s="707">
        <v>524</v>
      </c>
      <c r="E137" s="707">
        <v>74</v>
      </c>
      <c r="F137" s="707"/>
      <c r="G137" s="707"/>
      <c r="H137" s="707"/>
      <c r="I137" s="707"/>
      <c r="J137" s="707"/>
      <c r="K137" s="707">
        <v>499</v>
      </c>
      <c r="L137" s="707"/>
      <c r="M137" s="707">
        <v>347</v>
      </c>
      <c r="N137" s="708"/>
      <c r="O137" s="708"/>
      <c r="P137" s="709">
        <v>281</v>
      </c>
      <c r="Q137" s="709">
        <v>75</v>
      </c>
      <c r="R137" s="709"/>
      <c r="S137" s="709"/>
      <c r="T137" s="709"/>
      <c r="U137" s="709"/>
      <c r="V137" s="784">
        <f t="shared" si="5"/>
        <v>4800</v>
      </c>
    </row>
    <row r="138" spans="1:22" s="701" customFormat="1" ht="28.5" customHeight="1">
      <c r="A138" s="710" t="s">
        <v>189</v>
      </c>
      <c r="B138" s="711"/>
      <c r="C138" s="711"/>
      <c r="D138" s="711"/>
      <c r="E138" s="712"/>
      <c r="F138" s="712"/>
      <c r="G138" s="712"/>
      <c r="H138" s="712"/>
      <c r="I138" s="712"/>
      <c r="J138" s="712"/>
      <c r="K138" s="712">
        <f>K139</f>
        <v>-6000</v>
      </c>
      <c r="L138" s="712"/>
      <c r="M138" s="712"/>
      <c r="N138" s="713"/>
      <c r="O138" s="712"/>
      <c r="P138" s="713">
        <f>P139</f>
        <v>3940</v>
      </c>
      <c r="Q138" s="713"/>
      <c r="R138" s="713"/>
      <c r="S138" s="713"/>
      <c r="T138" s="713"/>
      <c r="U138" s="712">
        <f>U139</f>
        <v>6000</v>
      </c>
      <c r="V138" s="713">
        <f aca="true" t="shared" si="8" ref="V138:V173">SUM(B138:U138)</f>
        <v>3940</v>
      </c>
    </row>
    <row r="139" spans="1:22" s="705" customFormat="1" ht="45" customHeight="1">
      <c r="A139" s="684" t="s">
        <v>183</v>
      </c>
      <c r="B139" s="714"/>
      <c r="C139" s="714"/>
      <c r="D139" s="714"/>
      <c r="E139" s="714"/>
      <c r="F139" s="714"/>
      <c r="G139" s="714"/>
      <c r="H139" s="714"/>
      <c r="I139" s="714"/>
      <c r="J139" s="714"/>
      <c r="K139" s="714">
        <f>K140+K142</f>
        <v>-6000</v>
      </c>
      <c r="L139" s="714"/>
      <c r="M139" s="714"/>
      <c r="N139" s="714"/>
      <c r="O139" s="714"/>
      <c r="P139" s="715">
        <f>P142</f>
        <v>3940</v>
      </c>
      <c r="Q139" s="715"/>
      <c r="R139" s="715"/>
      <c r="S139" s="715"/>
      <c r="T139" s="715"/>
      <c r="U139" s="714">
        <f>U140+U142</f>
        <v>6000</v>
      </c>
      <c r="V139" s="700">
        <f t="shared" si="8"/>
        <v>3940</v>
      </c>
    </row>
    <row r="140" spans="1:22" s="704" customFormat="1" ht="42.75" customHeight="1">
      <c r="A140" s="716" t="s">
        <v>191</v>
      </c>
      <c r="B140" s="717"/>
      <c r="C140" s="717"/>
      <c r="D140" s="717"/>
      <c r="E140" s="717"/>
      <c r="F140" s="717"/>
      <c r="G140" s="717"/>
      <c r="H140" s="717"/>
      <c r="I140" s="717"/>
      <c r="J140" s="717"/>
      <c r="K140" s="717">
        <f>K141</f>
        <v>-6000</v>
      </c>
      <c r="L140" s="717"/>
      <c r="M140" s="717"/>
      <c r="N140" s="718"/>
      <c r="O140" s="718"/>
      <c r="P140" s="719"/>
      <c r="Q140" s="719"/>
      <c r="R140" s="719"/>
      <c r="S140" s="719"/>
      <c r="T140" s="719"/>
      <c r="U140" s="717">
        <f>U141</f>
        <v>6000</v>
      </c>
      <c r="V140" s="719">
        <f t="shared" si="8"/>
        <v>0</v>
      </c>
    </row>
    <row r="141" spans="1:22" s="705" customFormat="1" ht="44.25" customHeight="1">
      <c r="A141" s="720" t="s">
        <v>639</v>
      </c>
      <c r="B141" s="721"/>
      <c r="C141" s="721"/>
      <c r="D141" s="721"/>
      <c r="E141" s="721"/>
      <c r="F141" s="721"/>
      <c r="G141" s="721"/>
      <c r="H141" s="721"/>
      <c r="I141" s="721"/>
      <c r="J141" s="721"/>
      <c r="K141" s="721">
        <v>-6000</v>
      </c>
      <c r="L141" s="721"/>
      <c r="M141" s="721"/>
      <c r="N141" s="722"/>
      <c r="O141" s="722"/>
      <c r="P141" s="723"/>
      <c r="Q141" s="723"/>
      <c r="R141" s="723"/>
      <c r="S141" s="723"/>
      <c r="T141" s="723"/>
      <c r="U141" s="723">
        <v>6000</v>
      </c>
      <c r="V141" s="723">
        <f t="shared" si="8"/>
        <v>0</v>
      </c>
    </row>
    <row r="142" spans="1:22" s="704" customFormat="1" ht="27.75" customHeight="1">
      <c r="A142" s="782" t="s">
        <v>187</v>
      </c>
      <c r="B142" s="717"/>
      <c r="C142" s="717"/>
      <c r="D142" s="717"/>
      <c r="E142" s="717"/>
      <c r="F142" s="717"/>
      <c r="G142" s="717"/>
      <c r="H142" s="717"/>
      <c r="I142" s="717"/>
      <c r="J142" s="717"/>
      <c r="K142" s="717"/>
      <c r="L142" s="717"/>
      <c r="M142" s="717"/>
      <c r="N142" s="718"/>
      <c r="O142" s="718"/>
      <c r="P142" s="719">
        <f>P143</f>
        <v>3940</v>
      </c>
      <c r="Q142" s="719"/>
      <c r="R142" s="719"/>
      <c r="S142" s="719"/>
      <c r="T142" s="719"/>
      <c r="U142" s="719"/>
      <c r="V142" s="719">
        <f t="shared" si="8"/>
        <v>3940</v>
      </c>
    </row>
    <row r="143" spans="1:22" s="705" customFormat="1" ht="18" customHeight="1">
      <c r="A143" s="882" t="s">
        <v>211</v>
      </c>
      <c r="B143" s="883"/>
      <c r="C143" s="883"/>
      <c r="D143" s="883"/>
      <c r="E143" s="883"/>
      <c r="F143" s="883"/>
      <c r="G143" s="883"/>
      <c r="H143" s="883"/>
      <c r="I143" s="883"/>
      <c r="J143" s="883"/>
      <c r="K143" s="883"/>
      <c r="L143" s="883"/>
      <c r="M143" s="883"/>
      <c r="N143" s="884"/>
      <c r="O143" s="884"/>
      <c r="P143" s="885">
        <v>3940</v>
      </c>
      <c r="Q143" s="885"/>
      <c r="R143" s="885"/>
      <c r="S143" s="885"/>
      <c r="T143" s="885"/>
      <c r="U143" s="885"/>
      <c r="V143" s="885">
        <f t="shared" si="8"/>
        <v>3940</v>
      </c>
    </row>
    <row r="144" spans="1:22" s="705" customFormat="1" ht="28.5" customHeight="1">
      <c r="A144" s="986"/>
      <c r="B144" s="987"/>
      <c r="C144" s="987"/>
      <c r="D144" s="987"/>
      <c r="E144" s="987"/>
      <c r="F144" s="987"/>
      <c r="G144" s="987"/>
      <c r="H144" s="987"/>
      <c r="I144" s="987"/>
      <c r="J144" s="987"/>
      <c r="K144" s="987"/>
      <c r="L144" s="987"/>
      <c r="M144" s="987"/>
      <c r="N144" s="988"/>
      <c r="O144" s="988"/>
      <c r="P144" s="989"/>
      <c r="Q144" s="989"/>
      <c r="R144" s="989"/>
      <c r="S144" s="989"/>
      <c r="T144" s="989"/>
      <c r="U144" s="989"/>
      <c r="V144" s="989"/>
    </row>
    <row r="145" spans="1:22" s="635" customFormat="1" ht="32.25" customHeight="1" thickBot="1">
      <c r="A145" s="817" t="s">
        <v>256</v>
      </c>
      <c r="B145" s="1116"/>
      <c r="C145" s="1116"/>
      <c r="D145" s="1116"/>
      <c r="E145" s="1116"/>
      <c r="F145" s="1116">
        <f>F148+F153+F157+F242</f>
        <v>688721</v>
      </c>
      <c r="G145" s="1116"/>
      <c r="H145" s="1116"/>
      <c r="I145" s="1116">
        <f>I148+I153+I157+I242</f>
        <v>3192</v>
      </c>
      <c r="J145" s="1116"/>
      <c r="K145" s="1116">
        <f>K148+K153+K157+K242</f>
        <v>23900</v>
      </c>
      <c r="L145" s="1116"/>
      <c r="M145" s="1116"/>
      <c r="N145" s="1116">
        <f>N148+N153+N157+N242+N146</f>
        <v>22000</v>
      </c>
      <c r="O145" s="1116">
        <f>O148+O153+O157+O242+O146</f>
        <v>30943</v>
      </c>
      <c r="P145" s="1116">
        <f>P148+P153+P157+P242</f>
        <v>8000</v>
      </c>
      <c r="Q145" s="1116"/>
      <c r="R145" s="1116"/>
      <c r="S145" s="1116">
        <f>S148+S153+S157+S242</f>
        <v>800</v>
      </c>
      <c r="T145" s="1116">
        <f>T148+T153+T157+T242</f>
        <v>110000</v>
      </c>
      <c r="U145" s="1116">
        <f>U148+U153+U157+U242</f>
        <v>4000</v>
      </c>
      <c r="V145" s="1117">
        <f t="shared" si="8"/>
        <v>891556</v>
      </c>
    </row>
    <row r="146" spans="1:22" ht="30" customHeight="1" thickBot="1" thickTop="1">
      <c r="A146" s="661" t="s">
        <v>583</v>
      </c>
      <c r="B146" s="1105"/>
      <c r="C146" s="1105"/>
      <c r="D146" s="1105"/>
      <c r="E146" s="1105"/>
      <c r="F146" s="1105"/>
      <c r="G146" s="1105"/>
      <c r="H146" s="1105"/>
      <c r="I146" s="1105"/>
      <c r="J146" s="1105"/>
      <c r="K146" s="1105"/>
      <c r="L146" s="1105"/>
      <c r="M146" s="1105"/>
      <c r="N146" s="1105"/>
      <c r="O146" s="1105">
        <f>O147</f>
        <v>943</v>
      </c>
      <c r="P146" s="1105"/>
      <c r="Q146" s="1105"/>
      <c r="R146" s="1105"/>
      <c r="S146" s="1105"/>
      <c r="T146" s="1105"/>
      <c r="U146" s="1105"/>
      <c r="V146" s="1105">
        <f t="shared" si="8"/>
        <v>943</v>
      </c>
    </row>
    <row r="147" spans="1:22" ht="42" customHeight="1" thickBot="1">
      <c r="A147" s="814" t="s">
        <v>584</v>
      </c>
      <c r="B147" s="1106"/>
      <c r="C147" s="1106"/>
      <c r="D147" s="1106"/>
      <c r="E147" s="1106"/>
      <c r="F147" s="1106"/>
      <c r="G147" s="1106"/>
      <c r="H147" s="1106"/>
      <c r="I147" s="1106"/>
      <c r="J147" s="1106"/>
      <c r="K147" s="1106"/>
      <c r="L147" s="1106"/>
      <c r="M147" s="1106"/>
      <c r="N147" s="1106"/>
      <c r="O147" s="1106">
        <v>943</v>
      </c>
      <c r="P147" s="1106"/>
      <c r="Q147" s="1106"/>
      <c r="R147" s="1106"/>
      <c r="S147" s="1106"/>
      <c r="T147" s="1107"/>
      <c r="U147" s="1107"/>
      <c r="V147" s="1100">
        <f t="shared" si="8"/>
        <v>943</v>
      </c>
    </row>
    <row r="148" spans="1:22" ht="42" customHeight="1" thickBot="1">
      <c r="A148" s="661" t="s">
        <v>675</v>
      </c>
      <c r="B148" s="1105"/>
      <c r="C148" s="1105"/>
      <c r="D148" s="1105"/>
      <c r="E148" s="1105"/>
      <c r="F148" s="1105"/>
      <c r="G148" s="1105"/>
      <c r="H148" s="1105"/>
      <c r="I148" s="1105"/>
      <c r="J148" s="1105"/>
      <c r="K148" s="1105">
        <f>SUM(K149:K152)</f>
        <v>11000</v>
      </c>
      <c r="L148" s="1105"/>
      <c r="M148" s="1105"/>
      <c r="N148" s="1105">
        <f>SUM(N149:N152)</f>
        <v>2000</v>
      </c>
      <c r="O148" s="1105"/>
      <c r="P148" s="1105">
        <f>SUM(P149:P152)</f>
        <v>8000</v>
      </c>
      <c r="Q148" s="1105"/>
      <c r="R148" s="1105"/>
      <c r="S148" s="1105">
        <f>SUM(S149:S152)</f>
        <v>800</v>
      </c>
      <c r="T148" s="1105"/>
      <c r="U148" s="1105">
        <f>SUM(U149:U152)</f>
        <v>4000</v>
      </c>
      <c r="V148" s="1105">
        <f t="shared" si="8"/>
        <v>25800</v>
      </c>
    </row>
    <row r="149" spans="1:22" ht="19.5" customHeight="1">
      <c r="A149" s="814" t="s">
        <v>257</v>
      </c>
      <c r="B149" s="1106"/>
      <c r="C149" s="1106"/>
      <c r="D149" s="1106"/>
      <c r="E149" s="1106"/>
      <c r="F149" s="1106"/>
      <c r="G149" s="1106"/>
      <c r="H149" s="1106"/>
      <c r="I149" s="1106"/>
      <c r="J149" s="1106"/>
      <c r="K149" s="1106"/>
      <c r="L149" s="1106"/>
      <c r="M149" s="1106"/>
      <c r="N149" s="1106"/>
      <c r="O149" s="1106"/>
      <c r="P149" s="1106">
        <v>3000</v>
      </c>
      <c r="Q149" s="1106"/>
      <c r="R149" s="1106"/>
      <c r="S149" s="1106">
        <v>800</v>
      </c>
      <c r="T149" s="1107"/>
      <c r="U149" s="1107"/>
      <c r="V149" s="1100">
        <f t="shared" si="8"/>
        <v>3800</v>
      </c>
    </row>
    <row r="150" spans="1:22" ht="19.5" customHeight="1">
      <c r="A150" s="818" t="s">
        <v>258</v>
      </c>
      <c r="B150" s="1108"/>
      <c r="C150" s="1108"/>
      <c r="D150" s="1108"/>
      <c r="E150" s="1108"/>
      <c r="F150" s="1108"/>
      <c r="G150" s="1108"/>
      <c r="H150" s="1108"/>
      <c r="I150" s="1108"/>
      <c r="J150" s="1108"/>
      <c r="K150" s="1108">
        <v>10000</v>
      </c>
      <c r="L150" s="1108"/>
      <c r="M150" s="1108"/>
      <c r="N150" s="1108"/>
      <c r="O150" s="1108"/>
      <c r="P150" s="1108"/>
      <c r="Q150" s="1108"/>
      <c r="R150" s="1108"/>
      <c r="S150" s="1108"/>
      <c r="T150" s="1109"/>
      <c r="U150" s="1109"/>
      <c r="V150" s="1090">
        <f t="shared" si="8"/>
        <v>10000</v>
      </c>
    </row>
    <row r="151" spans="1:22" ht="19.5" customHeight="1">
      <c r="A151" s="818" t="s">
        <v>259</v>
      </c>
      <c r="B151" s="1108"/>
      <c r="C151" s="1108"/>
      <c r="D151" s="1108"/>
      <c r="E151" s="1108"/>
      <c r="F151" s="1108"/>
      <c r="G151" s="1108"/>
      <c r="H151" s="1108"/>
      <c r="I151" s="1108"/>
      <c r="J151" s="1108"/>
      <c r="K151" s="1108"/>
      <c r="L151" s="1108"/>
      <c r="M151" s="1108"/>
      <c r="N151" s="1108"/>
      <c r="O151" s="1108"/>
      <c r="P151" s="1108"/>
      <c r="Q151" s="1108"/>
      <c r="R151" s="1108"/>
      <c r="S151" s="1108"/>
      <c r="T151" s="1109"/>
      <c r="U151" s="1109">
        <v>4000</v>
      </c>
      <c r="V151" s="1090">
        <f t="shared" si="8"/>
        <v>4000</v>
      </c>
    </row>
    <row r="152" spans="1:22" ht="33" customHeight="1" thickBot="1">
      <c r="A152" s="818" t="s">
        <v>391</v>
      </c>
      <c r="B152" s="1108"/>
      <c r="C152" s="1108"/>
      <c r="D152" s="1108"/>
      <c r="E152" s="1108"/>
      <c r="F152" s="1108"/>
      <c r="G152" s="1108"/>
      <c r="H152" s="1108"/>
      <c r="I152" s="1108"/>
      <c r="J152" s="1108"/>
      <c r="K152" s="1108">
        <v>1000</v>
      </c>
      <c r="L152" s="1108"/>
      <c r="M152" s="1108"/>
      <c r="N152" s="1108">
        <v>2000</v>
      </c>
      <c r="O152" s="1108"/>
      <c r="P152" s="1108">
        <v>5000</v>
      </c>
      <c r="Q152" s="1108"/>
      <c r="R152" s="1108"/>
      <c r="S152" s="1108"/>
      <c r="T152" s="1114"/>
      <c r="U152" s="1118"/>
      <c r="V152" s="1103">
        <f t="shared" si="8"/>
        <v>8000</v>
      </c>
    </row>
    <row r="153" spans="1:22" ht="33.75" customHeight="1" thickBot="1">
      <c r="A153" s="661" t="s">
        <v>392</v>
      </c>
      <c r="B153" s="1105"/>
      <c r="C153" s="1105"/>
      <c r="D153" s="1105"/>
      <c r="E153" s="1105"/>
      <c r="F153" s="1105"/>
      <c r="G153" s="1105"/>
      <c r="H153" s="1105"/>
      <c r="I153" s="1105"/>
      <c r="J153" s="1105"/>
      <c r="K153" s="1105">
        <f>SUM(K155:K156)</f>
        <v>7000</v>
      </c>
      <c r="L153" s="1105"/>
      <c r="M153" s="1105"/>
      <c r="N153" s="1105">
        <f>SUM(N155:N156)</f>
        <v>10000</v>
      </c>
      <c r="O153" s="1105">
        <f>SUM(O155:O156)</f>
        <v>30000</v>
      </c>
      <c r="P153" s="1105"/>
      <c r="Q153" s="1105"/>
      <c r="R153" s="1105"/>
      <c r="S153" s="1105"/>
      <c r="T153" s="1105">
        <f>SUM(T154:T156)</f>
        <v>110000</v>
      </c>
      <c r="U153" s="1105"/>
      <c r="V153" s="1105">
        <f t="shared" si="8"/>
        <v>157000</v>
      </c>
    </row>
    <row r="154" spans="1:22" ht="19.5" customHeight="1">
      <c r="A154" s="818" t="s">
        <v>585</v>
      </c>
      <c r="B154" s="1108"/>
      <c r="C154" s="1108"/>
      <c r="D154" s="1108"/>
      <c r="E154" s="1108"/>
      <c r="F154" s="1108"/>
      <c r="G154" s="1108"/>
      <c r="H154" s="1108"/>
      <c r="I154" s="1108"/>
      <c r="J154" s="1108"/>
      <c r="K154" s="1108"/>
      <c r="L154" s="1108"/>
      <c r="M154" s="1108"/>
      <c r="N154" s="1108"/>
      <c r="O154" s="1108"/>
      <c r="P154" s="1108"/>
      <c r="Q154" s="1108"/>
      <c r="R154" s="1108"/>
      <c r="S154" s="1108"/>
      <c r="T154" s="1109">
        <v>110000</v>
      </c>
      <c r="U154" s="1109"/>
      <c r="V154" s="1100">
        <f t="shared" si="8"/>
        <v>110000</v>
      </c>
    </row>
    <row r="155" spans="1:22" s="655" customFormat="1" ht="29.25" customHeight="1">
      <c r="A155" s="813" t="s">
        <v>393</v>
      </c>
      <c r="B155" s="1108"/>
      <c r="C155" s="1108"/>
      <c r="D155" s="1108"/>
      <c r="E155" s="1108"/>
      <c r="F155" s="1108"/>
      <c r="G155" s="1108"/>
      <c r="H155" s="1108"/>
      <c r="I155" s="1108"/>
      <c r="J155" s="1108"/>
      <c r="K155" s="1108">
        <v>7000</v>
      </c>
      <c r="L155" s="1108"/>
      <c r="M155" s="1108"/>
      <c r="N155" s="1108"/>
      <c r="O155" s="1108"/>
      <c r="P155" s="1108"/>
      <c r="Q155" s="1108"/>
      <c r="R155" s="1108"/>
      <c r="S155" s="1108"/>
      <c r="T155" s="1109"/>
      <c r="U155" s="1109"/>
      <c r="V155" s="1090">
        <f t="shared" si="8"/>
        <v>7000</v>
      </c>
    </row>
    <row r="156" spans="1:22" s="655" customFormat="1" ht="19.5" customHeight="1" thickBot="1">
      <c r="A156" s="813" t="s">
        <v>382</v>
      </c>
      <c r="B156" s="1108"/>
      <c r="C156" s="1108"/>
      <c r="D156" s="1108"/>
      <c r="E156" s="1108"/>
      <c r="F156" s="1108"/>
      <c r="G156" s="1108"/>
      <c r="H156" s="1108"/>
      <c r="I156" s="1108"/>
      <c r="J156" s="1108"/>
      <c r="K156" s="1108"/>
      <c r="L156" s="1108"/>
      <c r="M156" s="1108"/>
      <c r="N156" s="1108">
        <v>10000</v>
      </c>
      <c r="O156" s="1108">
        <v>30000</v>
      </c>
      <c r="P156" s="1108"/>
      <c r="Q156" s="1108"/>
      <c r="R156" s="1108"/>
      <c r="S156" s="1108"/>
      <c r="T156" s="1109"/>
      <c r="U156" s="1109"/>
      <c r="V156" s="1090">
        <f t="shared" si="8"/>
        <v>40000</v>
      </c>
    </row>
    <row r="157" spans="1:22" s="655" customFormat="1" ht="27.75" customHeight="1" thickBot="1">
      <c r="A157" s="664" t="s">
        <v>394</v>
      </c>
      <c r="B157" s="1119"/>
      <c r="C157" s="1119"/>
      <c r="D157" s="1119"/>
      <c r="E157" s="1119"/>
      <c r="F157" s="1119">
        <f>F158</f>
        <v>688721</v>
      </c>
      <c r="G157" s="1119"/>
      <c r="H157" s="1119"/>
      <c r="I157" s="1119">
        <f>I158</f>
        <v>3192</v>
      </c>
      <c r="J157" s="1119"/>
      <c r="K157" s="1119"/>
      <c r="L157" s="1119"/>
      <c r="M157" s="1119"/>
      <c r="N157" s="1119"/>
      <c r="O157" s="1119"/>
      <c r="P157" s="1119"/>
      <c r="Q157" s="1119"/>
      <c r="R157" s="1119"/>
      <c r="S157" s="1119"/>
      <c r="T157" s="1119"/>
      <c r="U157" s="1119"/>
      <c r="V157" s="1105">
        <f t="shared" si="8"/>
        <v>691913</v>
      </c>
    </row>
    <row r="158" spans="1:22" s="655" customFormat="1" ht="39.75" customHeight="1">
      <c r="A158" s="668" t="s">
        <v>302</v>
      </c>
      <c r="B158" s="953"/>
      <c r="C158" s="953"/>
      <c r="D158" s="953"/>
      <c r="E158" s="953"/>
      <c r="F158" s="953">
        <f>SUM(F159:F241)</f>
        <v>688721</v>
      </c>
      <c r="G158" s="953"/>
      <c r="H158" s="953"/>
      <c r="I158" s="953">
        <f>SUM(I159:I238)</f>
        <v>3192</v>
      </c>
      <c r="J158" s="953"/>
      <c r="K158" s="953"/>
      <c r="L158" s="953"/>
      <c r="M158" s="953"/>
      <c r="N158" s="953"/>
      <c r="O158" s="953"/>
      <c r="P158" s="953"/>
      <c r="Q158" s="953"/>
      <c r="R158" s="953"/>
      <c r="S158" s="953"/>
      <c r="T158" s="953"/>
      <c r="U158" s="953"/>
      <c r="V158" s="1120">
        <f t="shared" si="8"/>
        <v>691913</v>
      </c>
    </row>
    <row r="159" spans="1:22" s="655" customFormat="1" ht="18" customHeight="1">
      <c r="A159" s="813" t="s">
        <v>150</v>
      </c>
      <c r="B159" s="1121"/>
      <c r="C159" s="1121"/>
      <c r="D159" s="1121"/>
      <c r="E159" s="1121"/>
      <c r="F159" s="650">
        <v>23240</v>
      </c>
      <c r="G159" s="650"/>
      <c r="H159" s="650"/>
      <c r="I159" s="650"/>
      <c r="J159" s="1121"/>
      <c r="K159" s="1121"/>
      <c r="L159" s="1121"/>
      <c r="M159" s="1121"/>
      <c r="N159" s="1121"/>
      <c r="O159" s="1121"/>
      <c r="P159" s="1121"/>
      <c r="Q159" s="1121"/>
      <c r="R159" s="1121"/>
      <c r="S159" s="1121"/>
      <c r="T159" s="1122"/>
      <c r="U159" s="1122"/>
      <c r="V159" s="1090">
        <f t="shared" si="8"/>
        <v>23240</v>
      </c>
    </row>
    <row r="160" spans="1:22" s="655" customFormat="1" ht="18" customHeight="1">
      <c r="A160" s="813" t="s">
        <v>151</v>
      </c>
      <c r="B160" s="1121"/>
      <c r="C160" s="1121"/>
      <c r="D160" s="1121"/>
      <c r="E160" s="1121"/>
      <c r="F160" s="650">
        <v>8848</v>
      </c>
      <c r="G160" s="650"/>
      <c r="H160" s="650"/>
      <c r="I160" s="650">
        <v>448</v>
      </c>
      <c r="J160" s="1121"/>
      <c r="K160" s="1121"/>
      <c r="L160" s="1121"/>
      <c r="M160" s="1121"/>
      <c r="N160" s="1121"/>
      <c r="O160" s="1121"/>
      <c r="P160" s="1121"/>
      <c r="Q160" s="1121"/>
      <c r="R160" s="1121"/>
      <c r="S160" s="1121"/>
      <c r="T160" s="1122"/>
      <c r="U160" s="1122"/>
      <c r="V160" s="1090">
        <f t="shared" si="8"/>
        <v>9296</v>
      </c>
    </row>
    <row r="161" spans="1:22" s="655" customFormat="1" ht="18" customHeight="1">
      <c r="A161" s="813" t="s">
        <v>152</v>
      </c>
      <c r="B161" s="1121"/>
      <c r="C161" s="1121"/>
      <c r="D161" s="1121"/>
      <c r="E161" s="1121"/>
      <c r="F161" s="650">
        <v>5712</v>
      </c>
      <c r="G161" s="650"/>
      <c r="H161" s="650"/>
      <c r="I161" s="650"/>
      <c r="J161" s="1121"/>
      <c r="K161" s="1121"/>
      <c r="L161" s="1121"/>
      <c r="M161" s="1121"/>
      <c r="N161" s="1121"/>
      <c r="O161" s="1121"/>
      <c r="P161" s="1121"/>
      <c r="Q161" s="1121"/>
      <c r="R161" s="1121"/>
      <c r="S161" s="1121"/>
      <c r="T161" s="1122"/>
      <c r="U161" s="1122"/>
      <c r="V161" s="1090">
        <f t="shared" si="8"/>
        <v>5712</v>
      </c>
    </row>
    <row r="162" spans="1:22" s="655" customFormat="1" ht="18" customHeight="1">
      <c r="A162" s="813" t="s">
        <v>153</v>
      </c>
      <c r="B162" s="662"/>
      <c r="C162" s="662"/>
      <c r="D162" s="662"/>
      <c r="E162" s="662"/>
      <c r="F162" s="650">
        <v>3920</v>
      </c>
      <c r="G162" s="650"/>
      <c r="H162" s="650"/>
      <c r="I162" s="650"/>
      <c r="J162" s="662"/>
      <c r="K162" s="662"/>
      <c r="L162" s="662"/>
      <c r="M162" s="662"/>
      <c r="N162" s="662"/>
      <c r="O162" s="662"/>
      <c r="P162" s="662"/>
      <c r="Q162" s="662"/>
      <c r="R162" s="662"/>
      <c r="S162" s="662"/>
      <c r="T162" s="663"/>
      <c r="U162" s="663"/>
      <c r="V162" s="1090">
        <f t="shared" si="8"/>
        <v>3920</v>
      </c>
    </row>
    <row r="163" spans="1:22" s="655" customFormat="1" ht="18" customHeight="1">
      <c r="A163" s="813" t="s">
        <v>154</v>
      </c>
      <c r="B163" s="662"/>
      <c r="C163" s="662"/>
      <c r="D163" s="662"/>
      <c r="E163" s="662"/>
      <c r="F163" s="650">
        <v>15232</v>
      </c>
      <c r="G163" s="650"/>
      <c r="H163" s="650"/>
      <c r="I163" s="650"/>
      <c r="J163" s="662"/>
      <c r="K163" s="662"/>
      <c r="L163" s="662"/>
      <c r="M163" s="662"/>
      <c r="N163" s="662"/>
      <c r="O163" s="662"/>
      <c r="P163" s="662"/>
      <c r="Q163" s="662"/>
      <c r="R163" s="662"/>
      <c r="S163" s="662"/>
      <c r="T163" s="663"/>
      <c r="U163" s="663"/>
      <c r="V163" s="1090">
        <f t="shared" si="8"/>
        <v>15232</v>
      </c>
    </row>
    <row r="164" spans="1:22" s="655" customFormat="1" ht="18" customHeight="1">
      <c r="A164" s="813" t="s">
        <v>155</v>
      </c>
      <c r="B164" s="662"/>
      <c r="C164" s="662"/>
      <c r="D164" s="662"/>
      <c r="E164" s="662"/>
      <c r="F164" s="650">
        <v>6160</v>
      </c>
      <c r="G164" s="650"/>
      <c r="H164" s="650"/>
      <c r="I164" s="650"/>
      <c r="J164" s="662"/>
      <c r="K164" s="662"/>
      <c r="L164" s="662"/>
      <c r="M164" s="662"/>
      <c r="N164" s="662"/>
      <c r="O164" s="662"/>
      <c r="P164" s="662"/>
      <c r="Q164" s="662"/>
      <c r="R164" s="662"/>
      <c r="S164" s="662"/>
      <c r="T164" s="663"/>
      <c r="U164" s="663"/>
      <c r="V164" s="1090">
        <f t="shared" si="8"/>
        <v>6160</v>
      </c>
    </row>
    <row r="165" spans="1:22" s="655" customFormat="1" ht="18" customHeight="1">
      <c r="A165" s="813" t="s">
        <v>156</v>
      </c>
      <c r="B165" s="662"/>
      <c r="C165" s="662"/>
      <c r="D165" s="662"/>
      <c r="E165" s="662"/>
      <c r="F165" s="650">
        <v>6272</v>
      </c>
      <c r="G165" s="650"/>
      <c r="H165" s="650"/>
      <c r="I165" s="650"/>
      <c r="J165" s="662"/>
      <c r="K165" s="662"/>
      <c r="L165" s="662"/>
      <c r="M165" s="662"/>
      <c r="N165" s="662"/>
      <c r="O165" s="662"/>
      <c r="P165" s="662"/>
      <c r="Q165" s="662"/>
      <c r="R165" s="662"/>
      <c r="S165" s="662"/>
      <c r="T165" s="663"/>
      <c r="U165" s="663"/>
      <c r="V165" s="1090">
        <f t="shared" si="8"/>
        <v>6272</v>
      </c>
    </row>
    <row r="166" spans="1:22" s="655" customFormat="1" ht="18" customHeight="1">
      <c r="A166" s="813" t="s">
        <v>157</v>
      </c>
      <c r="B166" s="662"/>
      <c r="C166" s="662"/>
      <c r="D166" s="662"/>
      <c r="E166" s="662"/>
      <c r="F166" s="650">
        <v>11872</v>
      </c>
      <c r="G166" s="650"/>
      <c r="H166" s="650"/>
      <c r="I166" s="650"/>
      <c r="J166" s="662"/>
      <c r="K166" s="662"/>
      <c r="L166" s="662"/>
      <c r="M166" s="662"/>
      <c r="N166" s="662"/>
      <c r="O166" s="662"/>
      <c r="P166" s="662"/>
      <c r="Q166" s="662"/>
      <c r="R166" s="662"/>
      <c r="S166" s="662"/>
      <c r="T166" s="663"/>
      <c r="U166" s="663"/>
      <c r="V166" s="1090">
        <f t="shared" si="8"/>
        <v>11872</v>
      </c>
    </row>
    <row r="167" spans="1:22" s="655" customFormat="1" ht="18" customHeight="1">
      <c r="A167" s="813" t="s">
        <v>158</v>
      </c>
      <c r="B167" s="650"/>
      <c r="C167" s="650"/>
      <c r="D167" s="650"/>
      <c r="E167" s="650"/>
      <c r="F167" s="650">
        <v>8960</v>
      </c>
      <c r="G167" s="650"/>
      <c r="H167" s="650"/>
      <c r="I167" s="650"/>
      <c r="J167" s="650"/>
      <c r="K167" s="650"/>
      <c r="L167" s="650"/>
      <c r="M167" s="650"/>
      <c r="N167" s="650"/>
      <c r="O167" s="650"/>
      <c r="P167" s="650"/>
      <c r="Q167" s="650"/>
      <c r="R167" s="650"/>
      <c r="S167" s="650"/>
      <c r="T167" s="651"/>
      <c r="U167" s="651"/>
      <c r="V167" s="1090">
        <f t="shared" si="8"/>
        <v>8960</v>
      </c>
    </row>
    <row r="168" spans="1:22" s="655" customFormat="1" ht="18" customHeight="1">
      <c r="A168" s="813" t="s">
        <v>159</v>
      </c>
      <c r="B168" s="650"/>
      <c r="C168" s="650"/>
      <c r="D168" s="650"/>
      <c r="E168" s="650"/>
      <c r="F168" s="650">
        <v>19264</v>
      </c>
      <c r="G168" s="650"/>
      <c r="H168" s="650"/>
      <c r="I168" s="650">
        <v>224</v>
      </c>
      <c r="J168" s="650"/>
      <c r="K168" s="650"/>
      <c r="L168" s="650"/>
      <c r="M168" s="650"/>
      <c r="N168" s="650"/>
      <c r="O168" s="650"/>
      <c r="P168" s="650"/>
      <c r="Q168" s="650"/>
      <c r="R168" s="650"/>
      <c r="S168" s="650"/>
      <c r="T168" s="651"/>
      <c r="U168" s="651"/>
      <c r="V168" s="1090">
        <f t="shared" si="8"/>
        <v>19488</v>
      </c>
    </row>
    <row r="169" spans="1:22" s="655" customFormat="1" ht="18" customHeight="1">
      <c r="A169" s="813" t="s">
        <v>160</v>
      </c>
      <c r="B169" s="650"/>
      <c r="C169" s="650"/>
      <c r="D169" s="650"/>
      <c r="E169" s="650"/>
      <c r="F169" s="650">
        <v>20384</v>
      </c>
      <c r="G169" s="650"/>
      <c r="H169" s="650"/>
      <c r="I169" s="650"/>
      <c r="J169" s="650"/>
      <c r="K169" s="650"/>
      <c r="L169" s="650"/>
      <c r="M169" s="650"/>
      <c r="N169" s="650"/>
      <c r="O169" s="650"/>
      <c r="P169" s="650"/>
      <c r="Q169" s="650"/>
      <c r="R169" s="650"/>
      <c r="S169" s="650"/>
      <c r="T169" s="651"/>
      <c r="U169" s="651"/>
      <c r="V169" s="1090">
        <f t="shared" si="8"/>
        <v>20384</v>
      </c>
    </row>
    <row r="170" spans="1:22" s="655" customFormat="1" ht="18" customHeight="1">
      <c r="A170" s="813" t="s">
        <v>161</v>
      </c>
      <c r="B170" s="650"/>
      <c r="C170" s="650"/>
      <c r="D170" s="650"/>
      <c r="E170" s="650"/>
      <c r="F170" s="650">
        <v>11760</v>
      </c>
      <c r="G170" s="650"/>
      <c r="H170" s="650"/>
      <c r="I170" s="650"/>
      <c r="J170" s="650"/>
      <c r="K170" s="650"/>
      <c r="L170" s="650"/>
      <c r="M170" s="650"/>
      <c r="N170" s="650"/>
      <c r="O170" s="650"/>
      <c r="P170" s="650"/>
      <c r="Q170" s="650"/>
      <c r="R170" s="650"/>
      <c r="S170" s="650"/>
      <c r="T170" s="651"/>
      <c r="U170" s="651"/>
      <c r="V170" s="1090">
        <f t="shared" si="8"/>
        <v>11760</v>
      </c>
    </row>
    <row r="171" spans="1:22" s="655" customFormat="1" ht="18" customHeight="1">
      <c r="A171" s="813" t="s">
        <v>210</v>
      </c>
      <c r="B171" s="662"/>
      <c r="C171" s="662"/>
      <c r="D171" s="662"/>
      <c r="E171" s="662"/>
      <c r="F171" s="650">
        <v>10752</v>
      </c>
      <c r="G171" s="650"/>
      <c r="H171" s="650"/>
      <c r="I171" s="650"/>
      <c r="J171" s="662"/>
      <c r="K171" s="662"/>
      <c r="L171" s="662"/>
      <c r="M171" s="662"/>
      <c r="N171" s="662"/>
      <c r="O171" s="662"/>
      <c r="P171" s="662"/>
      <c r="Q171" s="662"/>
      <c r="R171" s="662"/>
      <c r="S171" s="662"/>
      <c r="T171" s="663"/>
      <c r="U171" s="663"/>
      <c r="V171" s="1090">
        <f t="shared" si="8"/>
        <v>10752</v>
      </c>
    </row>
    <row r="172" spans="1:22" s="655" customFormat="1" ht="18" customHeight="1">
      <c r="A172" s="813" t="s">
        <v>211</v>
      </c>
      <c r="B172" s="650"/>
      <c r="C172" s="650"/>
      <c r="D172" s="650"/>
      <c r="E172" s="650"/>
      <c r="F172" s="650">
        <v>10080</v>
      </c>
      <c r="G172" s="650"/>
      <c r="H172" s="650"/>
      <c r="I172" s="650"/>
      <c r="J172" s="650"/>
      <c r="K172" s="650"/>
      <c r="L172" s="650"/>
      <c r="M172" s="650"/>
      <c r="N172" s="650"/>
      <c r="O172" s="650"/>
      <c r="P172" s="650"/>
      <c r="Q172" s="650"/>
      <c r="R172" s="650"/>
      <c r="S172" s="650"/>
      <c r="T172" s="651"/>
      <c r="U172" s="651"/>
      <c r="V172" s="1090">
        <f t="shared" si="8"/>
        <v>10080</v>
      </c>
    </row>
    <row r="173" spans="1:22" s="655" customFormat="1" ht="18" customHeight="1">
      <c r="A173" s="813" t="s">
        <v>212</v>
      </c>
      <c r="B173" s="650"/>
      <c r="C173" s="650"/>
      <c r="D173" s="650"/>
      <c r="E173" s="650"/>
      <c r="F173" s="650">
        <v>3584</v>
      </c>
      <c r="G173" s="650"/>
      <c r="H173" s="650"/>
      <c r="I173" s="650"/>
      <c r="J173" s="650"/>
      <c r="K173" s="650"/>
      <c r="L173" s="650"/>
      <c r="M173" s="650"/>
      <c r="N173" s="650"/>
      <c r="O173" s="650"/>
      <c r="P173" s="650"/>
      <c r="Q173" s="650"/>
      <c r="R173" s="650"/>
      <c r="S173" s="650"/>
      <c r="T173" s="651"/>
      <c r="U173" s="651"/>
      <c r="V173" s="1090">
        <f t="shared" si="8"/>
        <v>3584</v>
      </c>
    </row>
    <row r="174" spans="1:22" s="655" customFormat="1" ht="18" customHeight="1">
      <c r="A174" s="813" t="s">
        <v>140</v>
      </c>
      <c r="B174" s="650"/>
      <c r="C174" s="650"/>
      <c r="D174" s="650"/>
      <c r="E174" s="650"/>
      <c r="F174" s="650">
        <v>22624</v>
      </c>
      <c r="G174" s="650"/>
      <c r="H174" s="650"/>
      <c r="I174" s="650"/>
      <c r="J174" s="650"/>
      <c r="K174" s="650"/>
      <c r="L174" s="650"/>
      <c r="M174" s="650"/>
      <c r="N174" s="650"/>
      <c r="O174" s="650"/>
      <c r="P174" s="650"/>
      <c r="Q174" s="650"/>
      <c r="R174" s="650"/>
      <c r="S174" s="650"/>
      <c r="T174" s="651"/>
      <c r="U174" s="651"/>
      <c r="V174" s="1090">
        <f aca="true" t="shared" si="9" ref="V174:V205">SUM(B174:U174)</f>
        <v>22624</v>
      </c>
    </row>
    <row r="175" spans="1:22" s="655" customFormat="1" ht="18" customHeight="1">
      <c r="A175" s="813" t="s">
        <v>213</v>
      </c>
      <c r="B175" s="650"/>
      <c r="C175" s="650"/>
      <c r="D175" s="650"/>
      <c r="E175" s="650"/>
      <c r="F175" s="650">
        <v>8624</v>
      </c>
      <c r="G175" s="650"/>
      <c r="H175" s="650"/>
      <c r="I175" s="650"/>
      <c r="J175" s="650"/>
      <c r="K175" s="650"/>
      <c r="L175" s="650"/>
      <c r="M175" s="650"/>
      <c r="N175" s="650"/>
      <c r="O175" s="650"/>
      <c r="P175" s="650"/>
      <c r="Q175" s="650"/>
      <c r="R175" s="650"/>
      <c r="S175" s="650"/>
      <c r="T175" s="651"/>
      <c r="U175" s="651"/>
      <c r="V175" s="1090">
        <f t="shared" si="9"/>
        <v>8624</v>
      </c>
    </row>
    <row r="176" spans="1:22" s="655" customFormat="1" ht="18" customHeight="1">
      <c r="A176" s="813" t="s">
        <v>214</v>
      </c>
      <c r="B176" s="650"/>
      <c r="C176" s="650"/>
      <c r="D176" s="650"/>
      <c r="E176" s="650"/>
      <c r="F176" s="650">
        <v>11424</v>
      </c>
      <c r="G176" s="650"/>
      <c r="H176" s="650"/>
      <c r="I176" s="650"/>
      <c r="J176" s="650"/>
      <c r="K176" s="650"/>
      <c r="L176" s="650"/>
      <c r="M176" s="650"/>
      <c r="N176" s="650"/>
      <c r="O176" s="650"/>
      <c r="P176" s="650"/>
      <c r="Q176" s="650"/>
      <c r="R176" s="650"/>
      <c r="S176" s="650"/>
      <c r="T176" s="651"/>
      <c r="U176" s="651"/>
      <c r="V176" s="1090">
        <f t="shared" si="9"/>
        <v>11424</v>
      </c>
    </row>
    <row r="177" spans="1:22" s="655" customFormat="1" ht="18" customHeight="1">
      <c r="A177" s="813" t="s">
        <v>215</v>
      </c>
      <c r="B177" s="650"/>
      <c r="C177" s="650"/>
      <c r="D177" s="650"/>
      <c r="E177" s="650"/>
      <c r="F177" s="650">
        <v>9436</v>
      </c>
      <c r="G177" s="650"/>
      <c r="H177" s="650"/>
      <c r="I177" s="650"/>
      <c r="J177" s="650"/>
      <c r="K177" s="650"/>
      <c r="L177" s="650"/>
      <c r="M177" s="650"/>
      <c r="N177" s="650"/>
      <c r="O177" s="650"/>
      <c r="P177" s="650"/>
      <c r="Q177" s="650"/>
      <c r="R177" s="650"/>
      <c r="S177" s="650"/>
      <c r="T177" s="651"/>
      <c r="U177" s="651"/>
      <c r="V177" s="1090">
        <f t="shared" si="9"/>
        <v>9436</v>
      </c>
    </row>
    <row r="178" spans="1:22" s="655" customFormat="1" ht="18" customHeight="1">
      <c r="A178" s="813" t="s">
        <v>216</v>
      </c>
      <c r="B178" s="650"/>
      <c r="C178" s="650"/>
      <c r="D178" s="650"/>
      <c r="E178" s="650"/>
      <c r="F178" s="650">
        <v>3360</v>
      </c>
      <c r="G178" s="650"/>
      <c r="H178" s="650"/>
      <c r="I178" s="650"/>
      <c r="J178" s="650"/>
      <c r="K178" s="650"/>
      <c r="L178" s="650"/>
      <c r="M178" s="650"/>
      <c r="N178" s="650"/>
      <c r="O178" s="650"/>
      <c r="P178" s="650"/>
      <c r="Q178" s="650"/>
      <c r="R178" s="650"/>
      <c r="S178" s="650"/>
      <c r="T178" s="651"/>
      <c r="U178" s="651"/>
      <c r="V178" s="1090">
        <f t="shared" si="9"/>
        <v>3360</v>
      </c>
    </row>
    <row r="179" spans="1:22" s="655" customFormat="1" ht="18" customHeight="1">
      <c r="A179" s="813" t="s">
        <v>217</v>
      </c>
      <c r="B179" s="650"/>
      <c r="C179" s="650"/>
      <c r="D179" s="650"/>
      <c r="E179" s="650"/>
      <c r="F179" s="650">
        <v>5040</v>
      </c>
      <c r="G179" s="650"/>
      <c r="H179" s="650"/>
      <c r="I179" s="650"/>
      <c r="J179" s="650"/>
      <c r="K179" s="650"/>
      <c r="L179" s="650"/>
      <c r="M179" s="650"/>
      <c r="N179" s="650"/>
      <c r="O179" s="650"/>
      <c r="P179" s="650"/>
      <c r="Q179" s="650"/>
      <c r="R179" s="650"/>
      <c r="S179" s="650"/>
      <c r="T179" s="651"/>
      <c r="U179" s="651"/>
      <c r="V179" s="1090">
        <f t="shared" si="9"/>
        <v>5040</v>
      </c>
    </row>
    <row r="180" spans="1:22" s="655" customFormat="1" ht="18" customHeight="1">
      <c r="A180" s="813" t="s">
        <v>218</v>
      </c>
      <c r="B180" s="650"/>
      <c r="C180" s="650"/>
      <c r="D180" s="650"/>
      <c r="E180" s="650"/>
      <c r="F180" s="650">
        <v>9632</v>
      </c>
      <c r="G180" s="650"/>
      <c r="H180" s="650"/>
      <c r="I180" s="650"/>
      <c r="J180" s="650"/>
      <c r="K180" s="650"/>
      <c r="L180" s="650"/>
      <c r="M180" s="650"/>
      <c r="N180" s="650"/>
      <c r="O180" s="650"/>
      <c r="P180" s="650"/>
      <c r="Q180" s="650"/>
      <c r="R180" s="650"/>
      <c r="S180" s="650"/>
      <c r="T180" s="651"/>
      <c r="U180" s="651"/>
      <c r="V180" s="1090">
        <f t="shared" si="9"/>
        <v>9632</v>
      </c>
    </row>
    <row r="181" spans="1:22" s="655" customFormat="1" ht="18" customHeight="1">
      <c r="A181" s="813" t="s">
        <v>219</v>
      </c>
      <c r="B181" s="650"/>
      <c r="C181" s="650"/>
      <c r="D181" s="650"/>
      <c r="E181" s="650"/>
      <c r="F181" s="650">
        <v>8624</v>
      </c>
      <c r="G181" s="650"/>
      <c r="H181" s="650"/>
      <c r="I181" s="650"/>
      <c r="J181" s="650"/>
      <c r="K181" s="650"/>
      <c r="L181" s="650"/>
      <c r="M181" s="650"/>
      <c r="N181" s="650"/>
      <c r="O181" s="650"/>
      <c r="P181" s="650"/>
      <c r="Q181" s="650"/>
      <c r="R181" s="650"/>
      <c r="S181" s="650"/>
      <c r="T181" s="651"/>
      <c r="U181" s="651"/>
      <c r="V181" s="1090">
        <f t="shared" si="9"/>
        <v>8624</v>
      </c>
    </row>
    <row r="182" spans="1:22" s="655" customFormat="1" ht="18" customHeight="1">
      <c r="A182" s="813" t="s">
        <v>220</v>
      </c>
      <c r="B182" s="650"/>
      <c r="C182" s="650"/>
      <c r="D182" s="650"/>
      <c r="E182" s="650"/>
      <c r="F182" s="650">
        <v>8288</v>
      </c>
      <c r="G182" s="650"/>
      <c r="H182" s="650"/>
      <c r="I182" s="650"/>
      <c r="J182" s="650"/>
      <c r="K182" s="650"/>
      <c r="L182" s="650"/>
      <c r="M182" s="650"/>
      <c r="N182" s="650"/>
      <c r="O182" s="650"/>
      <c r="P182" s="650"/>
      <c r="Q182" s="650"/>
      <c r="R182" s="650"/>
      <c r="S182" s="650"/>
      <c r="T182" s="651"/>
      <c r="U182" s="651"/>
      <c r="V182" s="1090">
        <f t="shared" si="9"/>
        <v>8288</v>
      </c>
    </row>
    <row r="183" spans="1:22" s="655" customFormat="1" ht="18" customHeight="1">
      <c r="A183" s="813" t="s">
        <v>221</v>
      </c>
      <c r="B183" s="662"/>
      <c r="C183" s="662"/>
      <c r="D183" s="662"/>
      <c r="E183" s="662"/>
      <c r="F183" s="650">
        <v>7952</v>
      </c>
      <c r="G183" s="650"/>
      <c r="H183" s="650"/>
      <c r="I183" s="650"/>
      <c r="J183" s="662"/>
      <c r="K183" s="662"/>
      <c r="L183" s="662"/>
      <c r="M183" s="662"/>
      <c r="N183" s="662"/>
      <c r="O183" s="662"/>
      <c r="P183" s="662"/>
      <c r="Q183" s="662"/>
      <c r="R183" s="662"/>
      <c r="S183" s="662"/>
      <c r="T183" s="663"/>
      <c r="U183" s="663"/>
      <c r="V183" s="1090">
        <f t="shared" si="9"/>
        <v>7952</v>
      </c>
    </row>
    <row r="184" spans="1:22" s="655" customFormat="1" ht="18" customHeight="1">
      <c r="A184" s="813" t="s">
        <v>222</v>
      </c>
      <c r="B184" s="662"/>
      <c r="C184" s="662"/>
      <c r="D184" s="662"/>
      <c r="E184" s="662"/>
      <c r="F184" s="650">
        <v>3248</v>
      </c>
      <c r="G184" s="650"/>
      <c r="H184" s="650"/>
      <c r="I184" s="650"/>
      <c r="J184" s="662"/>
      <c r="K184" s="662"/>
      <c r="L184" s="662"/>
      <c r="M184" s="662"/>
      <c r="N184" s="662"/>
      <c r="O184" s="662"/>
      <c r="P184" s="662"/>
      <c r="Q184" s="662"/>
      <c r="R184" s="662"/>
      <c r="S184" s="662"/>
      <c r="T184" s="663"/>
      <c r="U184" s="663"/>
      <c r="V184" s="1090">
        <f t="shared" si="9"/>
        <v>3248</v>
      </c>
    </row>
    <row r="185" spans="1:22" s="655" customFormat="1" ht="18" customHeight="1">
      <c r="A185" s="813" t="s">
        <v>223</v>
      </c>
      <c r="B185" s="662"/>
      <c r="C185" s="662"/>
      <c r="D185" s="662"/>
      <c r="E185" s="662"/>
      <c r="F185" s="650">
        <v>2688</v>
      </c>
      <c r="G185" s="650"/>
      <c r="H185" s="650"/>
      <c r="I185" s="650"/>
      <c r="J185" s="662"/>
      <c r="K185" s="662"/>
      <c r="L185" s="662"/>
      <c r="M185" s="662"/>
      <c r="N185" s="662"/>
      <c r="O185" s="662"/>
      <c r="P185" s="662"/>
      <c r="Q185" s="662"/>
      <c r="R185" s="662"/>
      <c r="S185" s="662"/>
      <c r="T185" s="663"/>
      <c r="U185" s="663"/>
      <c r="V185" s="1090">
        <f t="shared" si="9"/>
        <v>2688</v>
      </c>
    </row>
    <row r="186" spans="1:22" s="655" customFormat="1" ht="18" customHeight="1">
      <c r="A186" s="813" t="s">
        <v>224</v>
      </c>
      <c r="B186" s="662"/>
      <c r="C186" s="662"/>
      <c r="D186" s="662"/>
      <c r="E186" s="662"/>
      <c r="F186" s="650">
        <v>6832</v>
      </c>
      <c r="G186" s="650"/>
      <c r="H186" s="650"/>
      <c r="I186" s="650">
        <v>224</v>
      </c>
      <c r="J186" s="662"/>
      <c r="K186" s="662"/>
      <c r="L186" s="662"/>
      <c r="M186" s="662"/>
      <c r="N186" s="662"/>
      <c r="O186" s="662"/>
      <c r="P186" s="662"/>
      <c r="Q186" s="662"/>
      <c r="R186" s="662"/>
      <c r="S186" s="662"/>
      <c r="T186" s="663"/>
      <c r="U186" s="663"/>
      <c r="V186" s="1090">
        <f t="shared" si="9"/>
        <v>7056</v>
      </c>
    </row>
    <row r="187" spans="1:22" s="655" customFormat="1" ht="18" customHeight="1">
      <c r="A187" s="813" t="s">
        <v>225</v>
      </c>
      <c r="B187" s="662"/>
      <c r="C187" s="662"/>
      <c r="D187" s="662"/>
      <c r="E187" s="662"/>
      <c r="F187" s="650">
        <v>7168</v>
      </c>
      <c r="G187" s="650"/>
      <c r="H187" s="650"/>
      <c r="I187" s="650"/>
      <c r="J187" s="662"/>
      <c r="K187" s="662"/>
      <c r="L187" s="662"/>
      <c r="M187" s="662"/>
      <c r="N187" s="662"/>
      <c r="O187" s="662"/>
      <c r="P187" s="662"/>
      <c r="Q187" s="662"/>
      <c r="R187" s="662"/>
      <c r="S187" s="662"/>
      <c r="T187" s="663"/>
      <c r="U187" s="663"/>
      <c r="V187" s="1090">
        <f t="shared" si="9"/>
        <v>7168</v>
      </c>
    </row>
    <row r="188" spans="1:22" s="655" customFormat="1" ht="18" customHeight="1">
      <c r="A188" s="813" t="s">
        <v>226</v>
      </c>
      <c r="B188" s="662"/>
      <c r="C188" s="662"/>
      <c r="D188" s="662"/>
      <c r="E188" s="662"/>
      <c r="F188" s="650">
        <v>3360</v>
      </c>
      <c r="G188" s="650"/>
      <c r="H188" s="650"/>
      <c r="I188" s="650"/>
      <c r="J188" s="662"/>
      <c r="K188" s="662"/>
      <c r="L188" s="662"/>
      <c r="M188" s="662"/>
      <c r="N188" s="662"/>
      <c r="O188" s="662"/>
      <c r="P188" s="662"/>
      <c r="Q188" s="662"/>
      <c r="R188" s="662"/>
      <c r="S188" s="662"/>
      <c r="T188" s="663"/>
      <c r="U188" s="663"/>
      <c r="V188" s="1090">
        <f t="shared" si="9"/>
        <v>3360</v>
      </c>
    </row>
    <row r="189" spans="1:22" s="655" customFormat="1" ht="18" customHeight="1">
      <c r="A189" s="813" t="s">
        <v>227</v>
      </c>
      <c r="B189" s="662"/>
      <c r="C189" s="662"/>
      <c r="D189" s="662"/>
      <c r="E189" s="662"/>
      <c r="F189" s="650">
        <v>14864</v>
      </c>
      <c r="G189" s="650"/>
      <c r="H189" s="650"/>
      <c r="I189" s="650">
        <v>224</v>
      </c>
      <c r="J189" s="662"/>
      <c r="K189" s="662"/>
      <c r="L189" s="662"/>
      <c r="M189" s="662"/>
      <c r="N189" s="662"/>
      <c r="O189" s="662"/>
      <c r="P189" s="662"/>
      <c r="Q189" s="662"/>
      <c r="R189" s="662"/>
      <c r="S189" s="662"/>
      <c r="T189" s="663"/>
      <c r="U189" s="663"/>
      <c r="V189" s="1090">
        <f t="shared" si="9"/>
        <v>15088</v>
      </c>
    </row>
    <row r="190" spans="1:22" s="655" customFormat="1" ht="18" customHeight="1">
      <c r="A190" s="813" t="s">
        <v>228</v>
      </c>
      <c r="B190" s="662"/>
      <c r="C190" s="662"/>
      <c r="D190" s="662"/>
      <c r="E190" s="662"/>
      <c r="F190" s="650">
        <v>9520</v>
      </c>
      <c r="G190" s="650"/>
      <c r="H190" s="650"/>
      <c r="I190" s="650">
        <v>168</v>
      </c>
      <c r="J190" s="662"/>
      <c r="K190" s="662"/>
      <c r="L190" s="662"/>
      <c r="M190" s="662"/>
      <c r="N190" s="662"/>
      <c r="O190" s="662"/>
      <c r="P190" s="662"/>
      <c r="Q190" s="662"/>
      <c r="R190" s="662"/>
      <c r="S190" s="662"/>
      <c r="T190" s="663"/>
      <c r="U190" s="663"/>
      <c r="V190" s="1090">
        <f t="shared" si="9"/>
        <v>9688</v>
      </c>
    </row>
    <row r="191" spans="1:22" s="655" customFormat="1" ht="18" customHeight="1">
      <c r="A191" s="813" t="s">
        <v>229</v>
      </c>
      <c r="B191" s="662"/>
      <c r="C191" s="662"/>
      <c r="D191" s="662"/>
      <c r="E191" s="662"/>
      <c r="F191" s="650">
        <v>9744</v>
      </c>
      <c r="G191" s="650"/>
      <c r="H191" s="650"/>
      <c r="I191" s="650"/>
      <c r="J191" s="662"/>
      <c r="K191" s="662"/>
      <c r="L191" s="662"/>
      <c r="M191" s="662"/>
      <c r="N191" s="662"/>
      <c r="O191" s="662"/>
      <c r="P191" s="662"/>
      <c r="Q191" s="662"/>
      <c r="R191" s="662"/>
      <c r="S191" s="662"/>
      <c r="T191" s="663"/>
      <c r="U191" s="663"/>
      <c r="V191" s="1090">
        <f t="shared" si="9"/>
        <v>9744</v>
      </c>
    </row>
    <row r="192" spans="1:22" s="655" customFormat="1" ht="18" customHeight="1">
      <c r="A192" s="813" t="s">
        <v>230</v>
      </c>
      <c r="B192" s="662"/>
      <c r="C192" s="662"/>
      <c r="D192" s="662"/>
      <c r="E192" s="662"/>
      <c r="F192" s="650">
        <v>11536</v>
      </c>
      <c r="G192" s="650"/>
      <c r="H192" s="650"/>
      <c r="I192" s="650"/>
      <c r="J192" s="662"/>
      <c r="K192" s="662"/>
      <c r="L192" s="662"/>
      <c r="M192" s="662"/>
      <c r="N192" s="662"/>
      <c r="O192" s="662"/>
      <c r="P192" s="662"/>
      <c r="Q192" s="662"/>
      <c r="R192" s="662"/>
      <c r="S192" s="662"/>
      <c r="T192" s="663"/>
      <c r="U192" s="663"/>
      <c r="V192" s="1090">
        <f t="shared" si="9"/>
        <v>11536</v>
      </c>
    </row>
    <row r="193" spans="1:22" s="655" customFormat="1" ht="18" customHeight="1">
      <c r="A193" s="813" t="s">
        <v>231</v>
      </c>
      <c r="B193" s="650"/>
      <c r="C193" s="650"/>
      <c r="D193" s="650"/>
      <c r="E193" s="650"/>
      <c r="F193" s="650">
        <v>7840</v>
      </c>
      <c r="G193" s="650"/>
      <c r="H193" s="650"/>
      <c r="I193" s="650"/>
      <c r="J193" s="650"/>
      <c r="K193" s="650"/>
      <c r="L193" s="650"/>
      <c r="M193" s="650"/>
      <c r="N193" s="650"/>
      <c r="O193" s="650"/>
      <c r="P193" s="650"/>
      <c r="Q193" s="650"/>
      <c r="R193" s="650"/>
      <c r="S193" s="650"/>
      <c r="T193" s="651"/>
      <c r="U193" s="651"/>
      <c r="V193" s="1090">
        <f t="shared" si="9"/>
        <v>7840</v>
      </c>
    </row>
    <row r="194" spans="1:22" s="655" customFormat="1" ht="18" customHeight="1">
      <c r="A194" s="813" t="s">
        <v>232</v>
      </c>
      <c r="B194" s="650"/>
      <c r="C194" s="650"/>
      <c r="D194" s="650"/>
      <c r="E194" s="650"/>
      <c r="F194" s="650">
        <v>8736</v>
      </c>
      <c r="G194" s="650"/>
      <c r="H194" s="650"/>
      <c r="I194" s="650"/>
      <c r="J194" s="650"/>
      <c r="K194" s="650"/>
      <c r="L194" s="650"/>
      <c r="M194" s="650"/>
      <c r="N194" s="650"/>
      <c r="O194" s="650"/>
      <c r="P194" s="650"/>
      <c r="Q194" s="650"/>
      <c r="R194" s="650"/>
      <c r="S194" s="650"/>
      <c r="T194" s="651"/>
      <c r="U194" s="651"/>
      <c r="V194" s="1090">
        <f t="shared" si="9"/>
        <v>8736</v>
      </c>
    </row>
    <row r="195" spans="1:22" s="655" customFormat="1" ht="18" customHeight="1">
      <c r="A195" s="813" t="s">
        <v>233</v>
      </c>
      <c r="B195" s="650"/>
      <c r="C195" s="650"/>
      <c r="D195" s="650"/>
      <c r="E195" s="650"/>
      <c r="F195" s="650">
        <v>5936</v>
      </c>
      <c r="G195" s="650"/>
      <c r="H195" s="650"/>
      <c r="I195" s="650"/>
      <c r="J195" s="650"/>
      <c r="K195" s="650"/>
      <c r="L195" s="650"/>
      <c r="M195" s="650"/>
      <c r="N195" s="650"/>
      <c r="O195" s="650"/>
      <c r="P195" s="650"/>
      <c r="Q195" s="650"/>
      <c r="R195" s="650"/>
      <c r="S195" s="650"/>
      <c r="T195" s="651"/>
      <c r="U195" s="651"/>
      <c r="V195" s="1090">
        <f t="shared" si="9"/>
        <v>5936</v>
      </c>
    </row>
    <row r="196" spans="1:22" s="655" customFormat="1" ht="18" customHeight="1">
      <c r="A196" s="813" t="s">
        <v>234</v>
      </c>
      <c r="B196" s="650"/>
      <c r="C196" s="650"/>
      <c r="D196" s="650"/>
      <c r="E196" s="650"/>
      <c r="F196" s="650">
        <v>8400</v>
      </c>
      <c r="G196" s="650"/>
      <c r="H196" s="650"/>
      <c r="I196" s="650"/>
      <c r="J196" s="650"/>
      <c r="K196" s="650"/>
      <c r="L196" s="650"/>
      <c r="M196" s="650"/>
      <c r="N196" s="650"/>
      <c r="O196" s="650"/>
      <c r="P196" s="650"/>
      <c r="Q196" s="650"/>
      <c r="R196" s="650"/>
      <c r="S196" s="650"/>
      <c r="T196" s="651"/>
      <c r="U196" s="651"/>
      <c r="V196" s="1090">
        <f t="shared" si="9"/>
        <v>8400</v>
      </c>
    </row>
    <row r="197" spans="1:22" s="655" customFormat="1" ht="18" customHeight="1">
      <c r="A197" s="813" t="s">
        <v>235</v>
      </c>
      <c r="B197" s="650"/>
      <c r="C197" s="650"/>
      <c r="D197" s="650"/>
      <c r="E197" s="650"/>
      <c r="F197" s="650">
        <v>15960</v>
      </c>
      <c r="G197" s="650"/>
      <c r="H197" s="650"/>
      <c r="I197" s="650"/>
      <c r="J197" s="650"/>
      <c r="K197" s="650"/>
      <c r="L197" s="650"/>
      <c r="M197" s="650"/>
      <c r="N197" s="650"/>
      <c r="O197" s="650"/>
      <c r="P197" s="650"/>
      <c r="Q197" s="650"/>
      <c r="R197" s="650"/>
      <c r="S197" s="650"/>
      <c r="T197" s="651"/>
      <c r="U197" s="651"/>
      <c r="V197" s="1090">
        <f t="shared" si="9"/>
        <v>15960</v>
      </c>
    </row>
    <row r="198" spans="1:22" s="655" customFormat="1" ht="18" customHeight="1">
      <c r="A198" s="813" t="s">
        <v>236</v>
      </c>
      <c r="B198" s="650"/>
      <c r="C198" s="650"/>
      <c r="D198" s="650"/>
      <c r="E198" s="650"/>
      <c r="F198" s="650">
        <v>14161</v>
      </c>
      <c r="G198" s="650"/>
      <c r="H198" s="650"/>
      <c r="I198" s="650"/>
      <c r="J198" s="650"/>
      <c r="K198" s="650"/>
      <c r="L198" s="650"/>
      <c r="M198" s="650"/>
      <c r="N198" s="650"/>
      <c r="O198" s="650"/>
      <c r="P198" s="650"/>
      <c r="Q198" s="650"/>
      <c r="R198" s="650"/>
      <c r="S198" s="650"/>
      <c r="T198" s="651"/>
      <c r="U198" s="651"/>
      <c r="V198" s="1090">
        <f t="shared" si="9"/>
        <v>14161</v>
      </c>
    </row>
    <row r="199" spans="1:22" s="655" customFormat="1" ht="18" customHeight="1">
      <c r="A199" s="813" t="s">
        <v>237</v>
      </c>
      <c r="B199" s="650"/>
      <c r="C199" s="650"/>
      <c r="D199" s="650"/>
      <c r="E199" s="650"/>
      <c r="F199" s="650">
        <v>8302</v>
      </c>
      <c r="G199" s="650"/>
      <c r="H199" s="650"/>
      <c r="I199" s="650"/>
      <c r="J199" s="650"/>
      <c r="K199" s="650"/>
      <c r="L199" s="650"/>
      <c r="M199" s="650"/>
      <c r="N199" s="650"/>
      <c r="O199" s="650"/>
      <c r="P199" s="650"/>
      <c r="Q199" s="650"/>
      <c r="R199" s="650"/>
      <c r="S199" s="650"/>
      <c r="T199" s="651"/>
      <c r="U199" s="651"/>
      <c r="V199" s="1090">
        <f t="shared" si="9"/>
        <v>8302</v>
      </c>
    </row>
    <row r="200" spans="1:22" s="655" customFormat="1" ht="18" customHeight="1">
      <c r="A200" s="813" t="s">
        <v>143</v>
      </c>
      <c r="B200" s="650"/>
      <c r="C200" s="650"/>
      <c r="D200" s="650"/>
      <c r="E200" s="650"/>
      <c r="F200" s="650">
        <v>8540</v>
      </c>
      <c r="G200" s="650"/>
      <c r="H200" s="650"/>
      <c r="I200" s="650">
        <v>224</v>
      </c>
      <c r="J200" s="650"/>
      <c r="K200" s="650"/>
      <c r="L200" s="650"/>
      <c r="M200" s="650"/>
      <c r="N200" s="650"/>
      <c r="O200" s="650"/>
      <c r="P200" s="650"/>
      <c r="Q200" s="650"/>
      <c r="R200" s="650"/>
      <c r="S200" s="650"/>
      <c r="T200" s="651"/>
      <c r="U200" s="651"/>
      <c r="V200" s="1090">
        <f t="shared" si="9"/>
        <v>8764</v>
      </c>
    </row>
    <row r="201" spans="1:22" s="655" customFormat="1" ht="18" customHeight="1">
      <c r="A201" s="813" t="s">
        <v>144</v>
      </c>
      <c r="B201" s="650"/>
      <c r="C201" s="650"/>
      <c r="D201" s="650"/>
      <c r="E201" s="650"/>
      <c r="F201" s="650">
        <v>15260</v>
      </c>
      <c r="G201" s="650"/>
      <c r="H201" s="650"/>
      <c r="I201" s="650"/>
      <c r="J201" s="650"/>
      <c r="K201" s="650"/>
      <c r="L201" s="650"/>
      <c r="M201" s="650"/>
      <c r="N201" s="650"/>
      <c r="O201" s="650"/>
      <c r="P201" s="650"/>
      <c r="Q201" s="650"/>
      <c r="R201" s="650"/>
      <c r="S201" s="650"/>
      <c r="T201" s="651"/>
      <c r="U201" s="651"/>
      <c r="V201" s="1090">
        <f t="shared" si="9"/>
        <v>15260</v>
      </c>
    </row>
    <row r="202" spans="1:22" s="655" customFormat="1" ht="18" customHeight="1">
      <c r="A202" s="813" t="s">
        <v>238</v>
      </c>
      <c r="B202" s="662"/>
      <c r="C202" s="662"/>
      <c r="D202" s="662"/>
      <c r="E202" s="662"/>
      <c r="F202" s="650">
        <v>8260</v>
      </c>
      <c r="G202" s="650"/>
      <c r="H202" s="650"/>
      <c r="I202" s="650"/>
      <c r="J202" s="662"/>
      <c r="K202" s="662"/>
      <c r="L202" s="662"/>
      <c r="M202" s="662"/>
      <c r="N202" s="662"/>
      <c r="O202" s="662"/>
      <c r="P202" s="662"/>
      <c r="Q202" s="662"/>
      <c r="R202" s="662"/>
      <c r="S202" s="662"/>
      <c r="T202" s="663"/>
      <c r="U202" s="663"/>
      <c r="V202" s="1090">
        <f t="shared" si="9"/>
        <v>8260</v>
      </c>
    </row>
    <row r="203" spans="1:22" s="655" customFormat="1" ht="18" customHeight="1">
      <c r="A203" s="813" t="s">
        <v>145</v>
      </c>
      <c r="B203" s="662"/>
      <c r="C203" s="662"/>
      <c r="D203" s="662"/>
      <c r="E203" s="662"/>
      <c r="F203" s="650">
        <v>10640</v>
      </c>
      <c r="G203" s="650"/>
      <c r="H203" s="650"/>
      <c r="I203" s="650">
        <v>224</v>
      </c>
      <c r="J203" s="662"/>
      <c r="K203" s="662"/>
      <c r="L203" s="662"/>
      <c r="M203" s="662"/>
      <c r="N203" s="662"/>
      <c r="O203" s="662"/>
      <c r="P203" s="662"/>
      <c r="Q203" s="662"/>
      <c r="R203" s="662"/>
      <c r="S203" s="662"/>
      <c r="T203" s="663"/>
      <c r="U203" s="663"/>
      <c r="V203" s="1090">
        <f t="shared" si="9"/>
        <v>10864</v>
      </c>
    </row>
    <row r="204" spans="1:22" s="655" customFormat="1" ht="18" customHeight="1">
      <c r="A204" s="813" t="s">
        <v>239</v>
      </c>
      <c r="B204" s="662"/>
      <c r="C204" s="662"/>
      <c r="D204" s="662"/>
      <c r="E204" s="662"/>
      <c r="F204" s="650">
        <v>7000</v>
      </c>
      <c r="G204" s="650"/>
      <c r="H204" s="650"/>
      <c r="I204" s="650"/>
      <c r="J204" s="662"/>
      <c r="K204" s="662"/>
      <c r="L204" s="662"/>
      <c r="M204" s="662"/>
      <c r="N204" s="662"/>
      <c r="O204" s="662"/>
      <c r="P204" s="662"/>
      <c r="Q204" s="662"/>
      <c r="R204" s="662"/>
      <c r="S204" s="662"/>
      <c r="T204" s="663"/>
      <c r="U204" s="663"/>
      <c r="V204" s="1090">
        <f t="shared" si="9"/>
        <v>7000</v>
      </c>
    </row>
    <row r="205" spans="1:22" s="655" customFormat="1" ht="18" customHeight="1">
      <c r="A205" s="813" t="s">
        <v>240</v>
      </c>
      <c r="B205" s="662"/>
      <c r="C205" s="662"/>
      <c r="D205" s="662"/>
      <c r="E205" s="662"/>
      <c r="F205" s="650">
        <v>14280</v>
      </c>
      <c r="G205" s="650"/>
      <c r="H205" s="650"/>
      <c r="I205" s="650">
        <v>504</v>
      </c>
      <c r="J205" s="662"/>
      <c r="K205" s="662"/>
      <c r="L205" s="662"/>
      <c r="M205" s="662"/>
      <c r="N205" s="662"/>
      <c r="O205" s="662"/>
      <c r="P205" s="662"/>
      <c r="Q205" s="662"/>
      <c r="R205" s="662"/>
      <c r="S205" s="662"/>
      <c r="T205" s="663"/>
      <c r="U205" s="663"/>
      <c r="V205" s="1090">
        <f t="shared" si="9"/>
        <v>14784</v>
      </c>
    </row>
    <row r="206" spans="1:22" s="655" customFormat="1" ht="18" customHeight="1">
      <c r="A206" s="813" t="s">
        <v>147</v>
      </c>
      <c r="B206" s="662"/>
      <c r="C206" s="662"/>
      <c r="D206" s="662"/>
      <c r="E206" s="662"/>
      <c r="F206" s="650">
        <v>1120</v>
      </c>
      <c r="G206" s="650"/>
      <c r="H206" s="650"/>
      <c r="I206" s="650"/>
      <c r="J206" s="662"/>
      <c r="K206" s="662"/>
      <c r="L206" s="662"/>
      <c r="M206" s="662"/>
      <c r="N206" s="662"/>
      <c r="O206" s="662"/>
      <c r="P206" s="662"/>
      <c r="Q206" s="662"/>
      <c r="R206" s="662"/>
      <c r="S206" s="662"/>
      <c r="T206" s="663"/>
      <c r="U206" s="663"/>
      <c r="V206" s="1090">
        <f aca="true" t="shared" si="10" ref="V206:V237">SUM(B206:U206)</f>
        <v>1120</v>
      </c>
    </row>
    <row r="207" spans="1:22" s="655" customFormat="1" ht="18" customHeight="1">
      <c r="A207" s="813" t="s">
        <v>241</v>
      </c>
      <c r="B207" s="650"/>
      <c r="C207" s="650"/>
      <c r="D207" s="650"/>
      <c r="E207" s="650"/>
      <c r="F207" s="650">
        <v>2100</v>
      </c>
      <c r="G207" s="650"/>
      <c r="H207" s="650"/>
      <c r="I207" s="650"/>
      <c r="J207" s="650"/>
      <c r="K207" s="650"/>
      <c r="L207" s="650"/>
      <c r="M207" s="650"/>
      <c r="N207" s="650"/>
      <c r="O207" s="650"/>
      <c r="P207" s="650"/>
      <c r="Q207" s="650"/>
      <c r="R207" s="650"/>
      <c r="S207" s="650"/>
      <c r="T207" s="651"/>
      <c r="U207" s="651"/>
      <c r="V207" s="1090">
        <f t="shared" si="10"/>
        <v>2100</v>
      </c>
    </row>
    <row r="208" spans="1:22" s="655" customFormat="1" ht="18" customHeight="1">
      <c r="A208" s="813" t="s">
        <v>242</v>
      </c>
      <c r="B208" s="662"/>
      <c r="C208" s="662"/>
      <c r="D208" s="662"/>
      <c r="E208" s="662"/>
      <c r="F208" s="650">
        <v>2520</v>
      </c>
      <c r="G208" s="650"/>
      <c r="H208" s="650"/>
      <c r="I208" s="650"/>
      <c r="J208" s="662"/>
      <c r="K208" s="662"/>
      <c r="L208" s="662"/>
      <c r="M208" s="662"/>
      <c r="N208" s="662"/>
      <c r="O208" s="662"/>
      <c r="P208" s="662"/>
      <c r="Q208" s="662"/>
      <c r="R208" s="662"/>
      <c r="S208" s="662"/>
      <c r="T208" s="663"/>
      <c r="U208" s="663"/>
      <c r="V208" s="1090">
        <f t="shared" si="10"/>
        <v>2520</v>
      </c>
    </row>
    <row r="209" spans="1:22" s="655" customFormat="1" ht="18" customHeight="1">
      <c r="A209" s="813" t="s">
        <v>243</v>
      </c>
      <c r="B209" s="650"/>
      <c r="C209" s="650"/>
      <c r="D209" s="650"/>
      <c r="E209" s="650"/>
      <c r="F209" s="650">
        <v>2940</v>
      </c>
      <c r="G209" s="650"/>
      <c r="H209" s="650"/>
      <c r="I209" s="650"/>
      <c r="J209" s="650"/>
      <c r="K209" s="650"/>
      <c r="L209" s="650"/>
      <c r="M209" s="650"/>
      <c r="N209" s="650"/>
      <c r="O209" s="650"/>
      <c r="P209" s="650"/>
      <c r="Q209" s="650"/>
      <c r="R209" s="650"/>
      <c r="S209" s="650"/>
      <c r="T209" s="651"/>
      <c r="U209" s="651"/>
      <c r="V209" s="1090">
        <f t="shared" si="10"/>
        <v>2940</v>
      </c>
    </row>
    <row r="210" spans="1:22" s="655" customFormat="1" ht="18" customHeight="1">
      <c r="A210" s="813" t="s">
        <v>244</v>
      </c>
      <c r="B210" s="662"/>
      <c r="C210" s="662"/>
      <c r="D210" s="662"/>
      <c r="E210" s="662"/>
      <c r="F210" s="650">
        <v>4200</v>
      </c>
      <c r="G210" s="650"/>
      <c r="H210" s="650"/>
      <c r="I210" s="650"/>
      <c r="J210" s="662"/>
      <c r="K210" s="662"/>
      <c r="L210" s="662"/>
      <c r="M210" s="662"/>
      <c r="N210" s="662"/>
      <c r="O210" s="662"/>
      <c r="P210" s="662"/>
      <c r="Q210" s="662"/>
      <c r="R210" s="662"/>
      <c r="S210" s="662"/>
      <c r="T210" s="663"/>
      <c r="U210" s="663"/>
      <c r="V210" s="1090">
        <f t="shared" si="10"/>
        <v>4200</v>
      </c>
    </row>
    <row r="211" spans="1:22" s="655" customFormat="1" ht="18" customHeight="1">
      <c r="A211" s="813" t="s">
        <v>245</v>
      </c>
      <c r="B211" s="650"/>
      <c r="C211" s="650"/>
      <c r="D211" s="650"/>
      <c r="E211" s="650"/>
      <c r="F211" s="650">
        <v>2660</v>
      </c>
      <c r="G211" s="650"/>
      <c r="H211" s="650"/>
      <c r="I211" s="650"/>
      <c r="J211" s="650"/>
      <c r="K211" s="650"/>
      <c r="L211" s="650"/>
      <c r="M211" s="650"/>
      <c r="N211" s="650"/>
      <c r="O211" s="650"/>
      <c r="P211" s="650"/>
      <c r="Q211" s="650"/>
      <c r="R211" s="650"/>
      <c r="S211" s="650"/>
      <c r="T211" s="651"/>
      <c r="U211" s="651"/>
      <c r="V211" s="1090">
        <f t="shared" si="10"/>
        <v>2660</v>
      </c>
    </row>
    <row r="212" spans="1:22" s="655" customFormat="1" ht="18" customHeight="1">
      <c r="A212" s="813" t="s">
        <v>148</v>
      </c>
      <c r="B212" s="662"/>
      <c r="C212" s="662"/>
      <c r="D212" s="662"/>
      <c r="E212" s="662"/>
      <c r="F212" s="650">
        <v>5880</v>
      </c>
      <c r="G212" s="650"/>
      <c r="H212" s="650"/>
      <c r="I212" s="650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3"/>
      <c r="U212" s="663"/>
      <c r="V212" s="1090">
        <f t="shared" si="10"/>
        <v>5880</v>
      </c>
    </row>
    <row r="213" spans="1:22" s="655" customFormat="1" ht="18" customHeight="1">
      <c r="A213" s="813" t="s">
        <v>246</v>
      </c>
      <c r="B213" s="650"/>
      <c r="C213" s="650"/>
      <c r="D213" s="650"/>
      <c r="E213" s="650"/>
      <c r="F213" s="650">
        <v>5320</v>
      </c>
      <c r="G213" s="650"/>
      <c r="H213" s="650"/>
      <c r="I213" s="650"/>
      <c r="J213" s="650"/>
      <c r="K213" s="650"/>
      <c r="L213" s="650"/>
      <c r="M213" s="650"/>
      <c r="N213" s="650"/>
      <c r="O213" s="650"/>
      <c r="P213" s="650"/>
      <c r="Q213" s="650"/>
      <c r="R213" s="650"/>
      <c r="S213" s="650"/>
      <c r="T213" s="651"/>
      <c r="U213" s="651"/>
      <c r="V213" s="1090">
        <f t="shared" si="10"/>
        <v>5320</v>
      </c>
    </row>
    <row r="214" spans="1:22" s="655" customFormat="1" ht="18" customHeight="1">
      <c r="A214" s="813" t="s">
        <v>247</v>
      </c>
      <c r="B214" s="662"/>
      <c r="C214" s="662"/>
      <c r="D214" s="662"/>
      <c r="E214" s="662"/>
      <c r="F214" s="650">
        <v>2240</v>
      </c>
      <c r="G214" s="650"/>
      <c r="H214" s="650"/>
      <c r="I214" s="650"/>
      <c r="J214" s="662"/>
      <c r="K214" s="662"/>
      <c r="L214" s="662"/>
      <c r="M214" s="662"/>
      <c r="N214" s="662"/>
      <c r="O214" s="662"/>
      <c r="P214" s="662"/>
      <c r="Q214" s="662"/>
      <c r="R214" s="662"/>
      <c r="S214" s="662"/>
      <c r="T214" s="663"/>
      <c r="U214" s="663"/>
      <c r="V214" s="1090">
        <f t="shared" si="10"/>
        <v>2240</v>
      </c>
    </row>
    <row r="215" spans="1:22" s="655" customFormat="1" ht="18" customHeight="1">
      <c r="A215" s="649" t="s">
        <v>388</v>
      </c>
      <c r="B215" s="650"/>
      <c r="C215" s="650"/>
      <c r="D215" s="650"/>
      <c r="E215" s="650"/>
      <c r="F215" s="650">
        <v>10780</v>
      </c>
      <c r="G215" s="650"/>
      <c r="H215" s="650"/>
      <c r="I215" s="650"/>
      <c r="J215" s="650"/>
      <c r="K215" s="650"/>
      <c r="L215" s="650"/>
      <c r="M215" s="650"/>
      <c r="N215" s="650"/>
      <c r="O215" s="650"/>
      <c r="P215" s="650"/>
      <c r="Q215" s="650"/>
      <c r="R215" s="650"/>
      <c r="S215" s="650"/>
      <c r="T215" s="651"/>
      <c r="U215" s="651"/>
      <c r="V215" s="1090">
        <f t="shared" si="10"/>
        <v>10780</v>
      </c>
    </row>
    <row r="216" spans="1:22" s="655" customFormat="1" ht="18" customHeight="1">
      <c r="A216" s="649" t="s">
        <v>248</v>
      </c>
      <c r="B216" s="662"/>
      <c r="C216" s="662"/>
      <c r="D216" s="662"/>
      <c r="E216" s="662"/>
      <c r="F216" s="650">
        <v>8820</v>
      </c>
      <c r="G216" s="650"/>
      <c r="H216" s="650"/>
      <c r="I216" s="650"/>
      <c r="J216" s="662"/>
      <c r="K216" s="662"/>
      <c r="L216" s="662"/>
      <c r="M216" s="662"/>
      <c r="N216" s="662"/>
      <c r="O216" s="662"/>
      <c r="P216" s="662"/>
      <c r="Q216" s="662"/>
      <c r="R216" s="662"/>
      <c r="S216" s="662"/>
      <c r="T216" s="663"/>
      <c r="U216" s="663"/>
      <c r="V216" s="1090">
        <f t="shared" si="10"/>
        <v>8820</v>
      </c>
    </row>
    <row r="217" spans="1:22" s="655" customFormat="1" ht="18" customHeight="1">
      <c r="A217" s="649" t="s">
        <v>249</v>
      </c>
      <c r="B217" s="650"/>
      <c r="C217" s="650"/>
      <c r="D217" s="650"/>
      <c r="E217" s="650"/>
      <c r="F217" s="650">
        <v>18480</v>
      </c>
      <c r="G217" s="650"/>
      <c r="H217" s="650"/>
      <c r="I217" s="650"/>
      <c r="J217" s="650"/>
      <c r="K217" s="650"/>
      <c r="L217" s="650"/>
      <c r="M217" s="650"/>
      <c r="N217" s="650"/>
      <c r="O217" s="650"/>
      <c r="P217" s="650"/>
      <c r="Q217" s="650"/>
      <c r="R217" s="650"/>
      <c r="S217" s="650"/>
      <c r="T217" s="651"/>
      <c r="U217" s="651"/>
      <c r="V217" s="1090">
        <f t="shared" si="10"/>
        <v>18480</v>
      </c>
    </row>
    <row r="218" spans="1:22" s="655" customFormat="1" ht="18" customHeight="1">
      <c r="A218" s="649" t="s">
        <v>250</v>
      </c>
      <c r="B218" s="662"/>
      <c r="C218" s="662"/>
      <c r="D218" s="662"/>
      <c r="E218" s="662"/>
      <c r="F218" s="650">
        <v>6580</v>
      </c>
      <c r="G218" s="650"/>
      <c r="H218" s="650"/>
      <c r="I218" s="650"/>
      <c r="J218" s="662"/>
      <c r="K218" s="662"/>
      <c r="L218" s="662"/>
      <c r="M218" s="662"/>
      <c r="N218" s="662"/>
      <c r="O218" s="662"/>
      <c r="P218" s="662"/>
      <c r="Q218" s="662"/>
      <c r="R218" s="662"/>
      <c r="S218" s="662"/>
      <c r="T218" s="663"/>
      <c r="U218" s="663"/>
      <c r="V218" s="1090">
        <f t="shared" si="10"/>
        <v>6580</v>
      </c>
    </row>
    <row r="219" spans="1:22" s="655" customFormat="1" ht="18" customHeight="1">
      <c r="A219" s="649" t="s">
        <v>251</v>
      </c>
      <c r="B219" s="662"/>
      <c r="C219" s="662"/>
      <c r="D219" s="662"/>
      <c r="E219" s="662"/>
      <c r="F219" s="650">
        <v>12180</v>
      </c>
      <c r="G219" s="650"/>
      <c r="H219" s="650"/>
      <c r="I219" s="650"/>
      <c r="J219" s="662"/>
      <c r="K219" s="662"/>
      <c r="L219" s="662"/>
      <c r="M219" s="662"/>
      <c r="N219" s="662"/>
      <c r="O219" s="662"/>
      <c r="P219" s="662"/>
      <c r="Q219" s="662"/>
      <c r="R219" s="662"/>
      <c r="S219" s="662"/>
      <c r="T219" s="663"/>
      <c r="U219" s="663"/>
      <c r="V219" s="1090">
        <f t="shared" si="10"/>
        <v>12180</v>
      </c>
    </row>
    <row r="220" spans="1:22" s="655" customFormat="1" ht="18" customHeight="1">
      <c r="A220" s="813" t="s">
        <v>375</v>
      </c>
      <c r="B220" s="662"/>
      <c r="C220" s="662"/>
      <c r="D220" s="662"/>
      <c r="E220" s="662"/>
      <c r="F220" s="650">
        <v>3360</v>
      </c>
      <c r="G220" s="650"/>
      <c r="H220" s="650"/>
      <c r="I220" s="650"/>
      <c r="J220" s="662"/>
      <c r="K220" s="662"/>
      <c r="L220" s="662"/>
      <c r="M220" s="662"/>
      <c r="N220" s="662"/>
      <c r="O220" s="662"/>
      <c r="P220" s="662"/>
      <c r="Q220" s="662"/>
      <c r="R220" s="662"/>
      <c r="S220" s="662"/>
      <c r="T220" s="663"/>
      <c r="U220" s="663"/>
      <c r="V220" s="1090">
        <f t="shared" si="10"/>
        <v>3360</v>
      </c>
    </row>
    <row r="221" spans="1:22" s="655" customFormat="1" ht="24.75" customHeight="1">
      <c r="A221" s="813" t="s">
        <v>149</v>
      </c>
      <c r="B221" s="662"/>
      <c r="C221" s="662"/>
      <c r="D221" s="662"/>
      <c r="E221" s="662"/>
      <c r="F221" s="650">
        <v>13300</v>
      </c>
      <c r="G221" s="650"/>
      <c r="H221" s="650"/>
      <c r="I221" s="650"/>
      <c r="J221" s="662"/>
      <c r="K221" s="662"/>
      <c r="L221" s="662"/>
      <c r="M221" s="662"/>
      <c r="N221" s="662"/>
      <c r="O221" s="662"/>
      <c r="P221" s="662"/>
      <c r="Q221" s="662"/>
      <c r="R221" s="662"/>
      <c r="S221" s="662"/>
      <c r="T221" s="663"/>
      <c r="U221" s="663"/>
      <c r="V221" s="1090">
        <f t="shared" si="10"/>
        <v>13300</v>
      </c>
    </row>
    <row r="222" spans="1:22" s="655" customFormat="1" ht="24.75" customHeight="1">
      <c r="A222" s="813" t="s">
        <v>253</v>
      </c>
      <c r="B222" s="662"/>
      <c r="C222" s="662"/>
      <c r="D222" s="662"/>
      <c r="E222" s="662"/>
      <c r="F222" s="650">
        <v>18147</v>
      </c>
      <c r="G222" s="650"/>
      <c r="H222" s="650"/>
      <c r="I222" s="650"/>
      <c r="J222" s="662"/>
      <c r="K222" s="662"/>
      <c r="L222" s="662"/>
      <c r="M222" s="662"/>
      <c r="N222" s="662"/>
      <c r="O222" s="662"/>
      <c r="P222" s="662"/>
      <c r="Q222" s="662"/>
      <c r="R222" s="662"/>
      <c r="S222" s="662"/>
      <c r="T222" s="663"/>
      <c r="U222" s="663"/>
      <c r="V222" s="1090">
        <f t="shared" si="10"/>
        <v>18147</v>
      </c>
    </row>
    <row r="223" spans="1:22" s="655" customFormat="1" ht="18" customHeight="1">
      <c r="A223" s="813" t="s">
        <v>376</v>
      </c>
      <c r="B223" s="650"/>
      <c r="C223" s="650"/>
      <c r="D223" s="650"/>
      <c r="E223" s="650"/>
      <c r="F223" s="650">
        <v>13020</v>
      </c>
      <c r="G223" s="650"/>
      <c r="H223" s="650"/>
      <c r="I223" s="650">
        <v>560</v>
      </c>
      <c r="J223" s="650"/>
      <c r="K223" s="650"/>
      <c r="L223" s="650"/>
      <c r="M223" s="650"/>
      <c r="N223" s="650"/>
      <c r="O223" s="650"/>
      <c r="P223" s="650"/>
      <c r="Q223" s="650"/>
      <c r="R223" s="650"/>
      <c r="S223" s="650"/>
      <c r="T223" s="651"/>
      <c r="U223" s="651"/>
      <c r="V223" s="1090">
        <f t="shared" si="10"/>
        <v>13580</v>
      </c>
    </row>
    <row r="224" spans="1:22" s="655" customFormat="1" ht="18" customHeight="1">
      <c r="A224" s="813" t="s">
        <v>377</v>
      </c>
      <c r="B224" s="662"/>
      <c r="C224" s="662"/>
      <c r="D224" s="662"/>
      <c r="E224" s="662"/>
      <c r="F224" s="650">
        <v>5740</v>
      </c>
      <c r="G224" s="650"/>
      <c r="H224" s="650"/>
      <c r="I224" s="650"/>
      <c r="J224" s="662"/>
      <c r="K224" s="662"/>
      <c r="L224" s="662"/>
      <c r="M224" s="662"/>
      <c r="N224" s="662"/>
      <c r="O224" s="662"/>
      <c r="P224" s="662"/>
      <c r="Q224" s="662"/>
      <c r="R224" s="662"/>
      <c r="S224" s="662"/>
      <c r="T224" s="663"/>
      <c r="U224" s="663"/>
      <c r="V224" s="1090">
        <f t="shared" si="10"/>
        <v>5740</v>
      </c>
    </row>
    <row r="225" spans="1:22" s="655" customFormat="1" ht="18" customHeight="1">
      <c r="A225" s="813" t="s">
        <v>378</v>
      </c>
      <c r="B225" s="662"/>
      <c r="C225" s="662"/>
      <c r="D225" s="662"/>
      <c r="E225" s="662"/>
      <c r="F225" s="650">
        <v>3500</v>
      </c>
      <c r="G225" s="650"/>
      <c r="H225" s="650"/>
      <c r="I225" s="650"/>
      <c r="J225" s="662"/>
      <c r="K225" s="662"/>
      <c r="L225" s="662"/>
      <c r="M225" s="662"/>
      <c r="N225" s="662"/>
      <c r="O225" s="662"/>
      <c r="P225" s="662"/>
      <c r="Q225" s="662"/>
      <c r="R225" s="662"/>
      <c r="S225" s="662"/>
      <c r="T225" s="663"/>
      <c r="U225" s="663"/>
      <c r="V225" s="1090">
        <f t="shared" si="10"/>
        <v>3500</v>
      </c>
    </row>
    <row r="226" spans="1:22" s="655" customFormat="1" ht="24.75" customHeight="1">
      <c r="A226" s="813" t="s">
        <v>400</v>
      </c>
      <c r="B226" s="662"/>
      <c r="C226" s="662"/>
      <c r="D226" s="662"/>
      <c r="E226" s="662"/>
      <c r="F226" s="650">
        <v>6160</v>
      </c>
      <c r="G226" s="650"/>
      <c r="H226" s="650"/>
      <c r="I226" s="650"/>
      <c r="J226" s="662"/>
      <c r="K226" s="662"/>
      <c r="L226" s="662"/>
      <c r="M226" s="662"/>
      <c r="N226" s="662"/>
      <c r="O226" s="662"/>
      <c r="P226" s="662"/>
      <c r="Q226" s="662"/>
      <c r="R226" s="662"/>
      <c r="S226" s="662"/>
      <c r="T226" s="663"/>
      <c r="U226" s="663"/>
      <c r="V226" s="1090">
        <f t="shared" si="10"/>
        <v>6160</v>
      </c>
    </row>
    <row r="227" spans="1:22" s="655" customFormat="1" ht="18" customHeight="1">
      <c r="A227" s="813" t="s">
        <v>380</v>
      </c>
      <c r="B227" s="662"/>
      <c r="C227" s="662"/>
      <c r="D227" s="662"/>
      <c r="E227" s="662"/>
      <c r="F227" s="650">
        <v>6440</v>
      </c>
      <c r="G227" s="650"/>
      <c r="H227" s="650"/>
      <c r="I227" s="650"/>
      <c r="J227" s="662"/>
      <c r="K227" s="662"/>
      <c r="L227" s="662"/>
      <c r="M227" s="662"/>
      <c r="N227" s="662"/>
      <c r="O227" s="662"/>
      <c r="P227" s="662"/>
      <c r="Q227" s="662"/>
      <c r="R227" s="662"/>
      <c r="S227" s="662"/>
      <c r="T227" s="663"/>
      <c r="U227" s="663"/>
      <c r="V227" s="1090">
        <f t="shared" si="10"/>
        <v>6440</v>
      </c>
    </row>
    <row r="228" spans="1:22" s="655" customFormat="1" ht="27.75" customHeight="1">
      <c r="A228" s="813" t="s">
        <v>393</v>
      </c>
      <c r="B228" s="650"/>
      <c r="C228" s="650"/>
      <c r="D228" s="650"/>
      <c r="E228" s="650"/>
      <c r="F228" s="650">
        <v>7700</v>
      </c>
      <c r="G228" s="650"/>
      <c r="H228" s="650"/>
      <c r="I228" s="650"/>
      <c r="J228" s="650"/>
      <c r="K228" s="650"/>
      <c r="L228" s="650"/>
      <c r="M228" s="650"/>
      <c r="N228" s="650"/>
      <c r="O228" s="650"/>
      <c r="P228" s="650"/>
      <c r="Q228" s="650"/>
      <c r="R228" s="650"/>
      <c r="S228" s="650"/>
      <c r="T228" s="651"/>
      <c r="U228" s="651"/>
      <c r="V228" s="1090">
        <f t="shared" si="10"/>
        <v>7700</v>
      </c>
    </row>
    <row r="229" spans="1:22" s="655" customFormat="1" ht="18" customHeight="1">
      <c r="A229" s="813" t="s">
        <v>441</v>
      </c>
      <c r="B229" s="662"/>
      <c r="C229" s="662"/>
      <c r="D229" s="662"/>
      <c r="E229" s="662"/>
      <c r="F229" s="650">
        <v>4340</v>
      </c>
      <c r="G229" s="650"/>
      <c r="H229" s="650"/>
      <c r="I229" s="650"/>
      <c r="J229" s="662"/>
      <c r="K229" s="662"/>
      <c r="L229" s="662"/>
      <c r="M229" s="662"/>
      <c r="N229" s="662"/>
      <c r="O229" s="662"/>
      <c r="P229" s="662"/>
      <c r="Q229" s="662"/>
      <c r="R229" s="662"/>
      <c r="S229" s="662"/>
      <c r="T229" s="663"/>
      <c r="U229" s="663"/>
      <c r="V229" s="1090">
        <f t="shared" si="10"/>
        <v>4340</v>
      </c>
    </row>
    <row r="230" spans="1:22" s="655" customFormat="1" ht="18" customHeight="1">
      <c r="A230" s="813" t="s">
        <v>381</v>
      </c>
      <c r="B230" s="662"/>
      <c r="C230" s="662"/>
      <c r="D230" s="662"/>
      <c r="E230" s="662"/>
      <c r="F230" s="650">
        <v>10257</v>
      </c>
      <c r="G230" s="650"/>
      <c r="H230" s="650"/>
      <c r="I230" s="650">
        <v>168</v>
      </c>
      <c r="J230" s="662"/>
      <c r="K230" s="662"/>
      <c r="L230" s="662"/>
      <c r="M230" s="662"/>
      <c r="N230" s="662"/>
      <c r="O230" s="662"/>
      <c r="P230" s="662"/>
      <c r="Q230" s="662"/>
      <c r="R230" s="662"/>
      <c r="S230" s="662"/>
      <c r="T230" s="663"/>
      <c r="U230" s="663"/>
      <c r="V230" s="1090">
        <f t="shared" si="10"/>
        <v>10425</v>
      </c>
    </row>
    <row r="231" spans="1:22" s="655" customFormat="1" ht="18" customHeight="1">
      <c r="A231" s="813" t="s">
        <v>382</v>
      </c>
      <c r="B231" s="662"/>
      <c r="C231" s="662"/>
      <c r="D231" s="662"/>
      <c r="E231" s="662"/>
      <c r="F231" s="650">
        <v>2520</v>
      </c>
      <c r="G231" s="650"/>
      <c r="H231" s="650"/>
      <c r="I231" s="650"/>
      <c r="J231" s="662"/>
      <c r="K231" s="662"/>
      <c r="L231" s="662"/>
      <c r="M231" s="662"/>
      <c r="N231" s="662"/>
      <c r="O231" s="662"/>
      <c r="P231" s="662"/>
      <c r="Q231" s="662"/>
      <c r="R231" s="662"/>
      <c r="S231" s="662"/>
      <c r="T231" s="663"/>
      <c r="U231" s="663"/>
      <c r="V231" s="1090">
        <f t="shared" si="10"/>
        <v>2520</v>
      </c>
    </row>
    <row r="232" spans="1:22" s="655" customFormat="1" ht="18" customHeight="1">
      <c r="A232" s="813" t="s">
        <v>389</v>
      </c>
      <c r="B232" s="662"/>
      <c r="C232" s="662"/>
      <c r="D232" s="662"/>
      <c r="E232" s="662"/>
      <c r="F232" s="650">
        <v>12942</v>
      </c>
      <c r="G232" s="650"/>
      <c r="H232" s="650"/>
      <c r="I232" s="650"/>
      <c r="J232" s="662"/>
      <c r="K232" s="662"/>
      <c r="L232" s="662"/>
      <c r="M232" s="662"/>
      <c r="N232" s="662"/>
      <c r="O232" s="662"/>
      <c r="P232" s="662"/>
      <c r="Q232" s="662"/>
      <c r="R232" s="662"/>
      <c r="S232" s="662"/>
      <c r="T232" s="663"/>
      <c r="U232" s="663"/>
      <c r="V232" s="1090">
        <f t="shared" si="10"/>
        <v>12942</v>
      </c>
    </row>
    <row r="233" spans="1:22" s="655" customFormat="1" ht="18" customHeight="1">
      <c r="A233" s="813" t="s">
        <v>383</v>
      </c>
      <c r="B233" s="662"/>
      <c r="C233" s="662"/>
      <c r="D233" s="662"/>
      <c r="E233" s="662"/>
      <c r="F233" s="650">
        <v>15300</v>
      </c>
      <c r="G233" s="650"/>
      <c r="H233" s="650"/>
      <c r="I233" s="650">
        <v>224</v>
      </c>
      <c r="J233" s="662"/>
      <c r="K233" s="662"/>
      <c r="L233" s="662"/>
      <c r="M233" s="662"/>
      <c r="N233" s="662"/>
      <c r="O233" s="662"/>
      <c r="P233" s="662"/>
      <c r="Q233" s="662"/>
      <c r="R233" s="662"/>
      <c r="S233" s="662"/>
      <c r="T233" s="663"/>
      <c r="U233" s="663"/>
      <c r="V233" s="1090">
        <f t="shared" si="10"/>
        <v>15524</v>
      </c>
    </row>
    <row r="234" spans="1:22" s="655" customFormat="1" ht="18" customHeight="1">
      <c r="A234" s="813" t="s">
        <v>384</v>
      </c>
      <c r="B234" s="662"/>
      <c r="C234" s="662"/>
      <c r="D234" s="662"/>
      <c r="E234" s="662"/>
      <c r="F234" s="650">
        <v>1820</v>
      </c>
      <c r="G234" s="650"/>
      <c r="H234" s="650"/>
      <c r="I234" s="650"/>
      <c r="J234" s="662"/>
      <c r="K234" s="662"/>
      <c r="L234" s="662"/>
      <c r="M234" s="662"/>
      <c r="N234" s="662"/>
      <c r="O234" s="662"/>
      <c r="P234" s="662"/>
      <c r="Q234" s="662"/>
      <c r="R234" s="662"/>
      <c r="S234" s="662"/>
      <c r="T234" s="663"/>
      <c r="U234" s="663"/>
      <c r="V234" s="1090">
        <f t="shared" si="10"/>
        <v>1820</v>
      </c>
    </row>
    <row r="235" spans="1:22" s="655" customFormat="1" ht="18" customHeight="1">
      <c r="A235" s="653" t="s">
        <v>575</v>
      </c>
      <c r="B235" s="662"/>
      <c r="C235" s="662"/>
      <c r="D235" s="662"/>
      <c r="E235" s="662"/>
      <c r="F235" s="650">
        <v>1540</v>
      </c>
      <c r="G235" s="650"/>
      <c r="H235" s="650"/>
      <c r="I235" s="650"/>
      <c r="J235" s="662"/>
      <c r="K235" s="662"/>
      <c r="L235" s="662"/>
      <c r="M235" s="662"/>
      <c r="N235" s="662"/>
      <c r="O235" s="662"/>
      <c r="P235" s="662"/>
      <c r="Q235" s="662"/>
      <c r="R235" s="662"/>
      <c r="S235" s="662"/>
      <c r="T235" s="663"/>
      <c r="U235" s="663"/>
      <c r="V235" s="1090">
        <f t="shared" si="10"/>
        <v>1540</v>
      </c>
    </row>
    <row r="236" spans="1:22" s="655" customFormat="1" ht="51">
      <c r="A236" s="656" t="s">
        <v>390</v>
      </c>
      <c r="B236" s="662"/>
      <c r="C236" s="662"/>
      <c r="D236" s="662"/>
      <c r="E236" s="662"/>
      <c r="F236" s="650">
        <v>224</v>
      </c>
      <c r="G236" s="650"/>
      <c r="H236" s="650"/>
      <c r="I236" s="650"/>
      <c r="J236" s="662"/>
      <c r="K236" s="662"/>
      <c r="L236" s="662"/>
      <c r="M236" s="662"/>
      <c r="N236" s="662"/>
      <c r="O236" s="662"/>
      <c r="P236" s="662"/>
      <c r="Q236" s="662"/>
      <c r="R236" s="662"/>
      <c r="S236" s="662"/>
      <c r="T236" s="663"/>
      <c r="U236" s="663"/>
      <c r="V236" s="1090">
        <f t="shared" si="10"/>
        <v>224</v>
      </c>
    </row>
    <row r="237" spans="1:22" s="655" customFormat="1" ht="31.5" customHeight="1">
      <c r="A237" s="813" t="s">
        <v>255</v>
      </c>
      <c r="B237" s="662"/>
      <c r="C237" s="662"/>
      <c r="D237" s="662"/>
      <c r="E237" s="662"/>
      <c r="F237" s="650">
        <v>10360</v>
      </c>
      <c r="G237" s="650"/>
      <c r="H237" s="650"/>
      <c r="I237" s="650"/>
      <c r="J237" s="662"/>
      <c r="K237" s="662"/>
      <c r="L237" s="662"/>
      <c r="M237" s="662"/>
      <c r="N237" s="662"/>
      <c r="O237" s="662"/>
      <c r="P237" s="662"/>
      <c r="Q237" s="662"/>
      <c r="R237" s="662"/>
      <c r="S237" s="662"/>
      <c r="T237" s="663"/>
      <c r="U237" s="663"/>
      <c r="V237" s="1090">
        <f t="shared" si="10"/>
        <v>10360</v>
      </c>
    </row>
    <row r="238" spans="1:22" s="655" customFormat="1" ht="33.75" customHeight="1">
      <c r="A238" s="813" t="s">
        <v>395</v>
      </c>
      <c r="B238" s="662"/>
      <c r="C238" s="662"/>
      <c r="D238" s="662"/>
      <c r="E238" s="662"/>
      <c r="F238" s="650">
        <v>1232</v>
      </c>
      <c r="G238" s="650"/>
      <c r="H238" s="650"/>
      <c r="I238" s="650"/>
      <c r="J238" s="662"/>
      <c r="K238" s="662"/>
      <c r="L238" s="662"/>
      <c r="M238" s="662"/>
      <c r="N238" s="662"/>
      <c r="O238" s="662"/>
      <c r="P238" s="662"/>
      <c r="Q238" s="662"/>
      <c r="R238" s="662"/>
      <c r="S238" s="662"/>
      <c r="T238" s="663"/>
      <c r="U238" s="663"/>
      <c r="V238" s="1090">
        <f aca="true" t="shared" si="11" ref="V238:V267">SUM(B238:U238)</f>
        <v>1232</v>
      </c>
    </row>
    <row r="239" spans="1:22" s="655" customFormat="1" ht="31.5" customHeight="1">
      <c r="A239" s="813" t="s">
        <v>402</v>
      </c>
      <c r="B239" s="662"/>
      <c r="C239" s="662"/>
      <c r="D239" s="662"/>
      <c r="E239" s="662"/>
      <c r="F239" s="650">
        <v>1232</v>
      </c>
      <c r="G239" s="650"/>
      <c r="H239" s="650"/>
      <c r="I239" s="650"/>
      <c r="J239" s="662"/>
      <c r="K239" s="662"/>
      <c r="L239" s="662"/>
      <c r="M239" s="662"/>
      <c r="N239" s="662"/>
      <c r="O239" s="662"/>
      <c r="P239" s="662"/>
      <c r="Q239" s="662"/>
      <c r="R239" s="662"/>
      <c r="S239" s="662"/>
      <c r="T239" s="663"/>
      <c r="U239" s="663"/>
      <c r="V239" s="1090">
        <f t="shared" si="11"/>
        <v>1232</v>
      </c>
    </row>
    <row r="240" spans="1:22" s="655" customFormat="1" ht="25.5" customHeight="1">
      <c r="A240" s="813" t="s">
        <v>386</v>
      </c>
      <c r="B240" s="662"/>
      <c r="C240" s="662"/>
      <c r="D240" s="662"/>
      <c r="E240" s="662"/>
      <c r="F240" s="650">
        <v>224</v>
      </c>
      <c r="G240" s="650"/>
      <c r="H240" s="650"/>
      <c r="I240" s="650"/>
      <c r="J240" s="662"/>
      <c r="K240" s="662"/>
      <c r="L240" s="662"/>
      <c r="M240" s="662"/>
      <c r="N240" s="662"/>
      <c r="O240" s="662"/>
      <c r="P240" s="662"/>
      <c r="Q240" s="662"/>
      <c r="R240" s="662"/>
      <c r="S240" s="662"/>
      <c r="T240" s="663"/>
      <c r="U240" s="663"/>
      <c r="V240" s="1090">
        <f t="shared" si="11"/>
        <v>224</v>
      </c>
    </row>
    <row r="241" spans="1:22" s="655" customFormat="1" ht="18" customHeight="1" thickBot="1">
      <c r="A241" s="819" t="s">
        <v>367</v>
      </c>
      <c r="B241" s="666"/>
      <c r="C241" s="666"/>
      <c r="D241" s="666"/>
      <c r="E241" s="666"/>
      <c r="F241" s="123">
        <v>224</v>
      </c>
      <c r="G241" s="123"/>
      <c r="H241" s="123"/>
      <c r="I241" s="123"/>
      <c r="J241" s="666"/>
      <c r="K241" s="666"/>
      <c r="L241" s="666"/>
      <c r="M241" s="666"/>
      <c r="N241" s="666"/>
      <c r="O241" s="666"/>
      <c r="P241" s="666"/>
      <c r="Q241" s="666"/>
      <c r="R241" s="666"/>
      <c r="S241" s="666"/>
      <c r="T241" s="855"/>
      <c r="U241" s="667"/>
      <c r="V241" s="1123">
        <f t="shared" si="11"/>
        <v>224</v>
      </c>
    </row>
    <row r="242" spans="1:22" s="655" customFormat="1" ht="30" customHeight="1" thickBot="1">
      <c r="A242" s="661" t="s">
        <v>396</v>
      </c>
      <c r="B242" s="1105"/>
      <c r="C242" s="1105"/>
      <c r="D242" s="1105"/>
      <c r="E242" s="1105"/>
      <c r="F242" s="1105"/>
      <c r="G242" s="1105"/>
      <c r="H242" s="1105"/>
      <c r="I242" s="1105"/>
      <c r="J242" s="1105"/>
      <c r="K242" s="1105">
        <f>SUM(K243:K246)</f>
        <v>5900</v>
      </c>
      <c r="L242" s="1105"/>
      <c r="M242" s="1105"/>
      <c r="N242" s="1105">
        <f>SUM(N243:N246)</f>
        <v>10000</v>
      </c>
      <c r="O242" s="1105"/>
      <c r="P242" s="1105"/>
      <c r="Q242" s="1105"/>
      <c r="R242" s="1105"/>
      <c r="S242" s="1105"/>
      <c r="T242" s="1105"/>
      <c r="U242" s="1105"/>
      <c r="V242" s="1105">
        <f t="shared" si="11"/>
        <v>15900</v>
      </c>
    </row>
    <row r="243" spans="1:22" s="635" customFormat="1" ht="18" customHeight="1">
      <c r="A243" s="656" t="s">
        <v>260</v>
      </c>
      <c r="B243" s="1106"/>
      <c r="C243" s="1106"/>
      <c r="D243" s="1106"/>
      <c r="E243" s="1106"/>
      <c r="F243" s="1106"/>
      <c r="G243" s="1106"/>
      <c r="H243" s="1106"/>
      <c r="I243" s="1106"/>
      <c r="J243" s="1106"/>
      <c r="K243" s="1106"/>
      <c r="L243" s="1106"/>
      <c r="M243" s="1106"/>
      <c r="N243" s="1106">
        <v>5000</v>
      </c>
      <c r="O243" s="1106"/>
      <c r="P243" s="1106"/>
      <c r="Q243" s="1106"/>
      <c r="R243" s="1106"/>
      <c r="S243" s="1106"/>
      <c r="T243" s="1107"/>
      <c r="U243" s="1107"/>
      <c r="V243" s="1090">
        <f t="shared" si="11"/>
        <v>5000</v>
      </c>
    </row>
    <row r="244" spans="1:22" s="635" customFormat="1" ht="18" customHeight="1">
      <c r="A244" s="813" t="s">
        <v>261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>
        <v>2900</v>
      </c>
      <c r="L244" s="1108"/>
      <c r="M244" s="1108"/>
      <c r="N244" s="1108"/>
      <c r="O244" s="1108"/>
      <c r="P244" s="1108"/>
      <c r="Q244" s="1108"/>
      <c r="R244" s="1108"/>
      <c r="S244" s="1108"/>
      <c r="T244" s="1109"/>
      <c r="U244" s="1109"/>
      <c r="V244" s="1090">
        <f t="shared" si="11"/>
        <v>2900</v>
      </c>
    </row>
    <row r="245" spans="1:22" s="635" customFormat="1" ht="30.75" customHeight="1">
      <c r="A245" s="813" t="s">
        <v>393</v>
      </c>
      <c r="B245" s="1108"/>
      <c r="C245" s="1108"/>
      <c r="D245" s="1108"/>
      <c r="E245" s="1108"/>
      <c r="F245" s="1108"/>
      <c r="G245" s="1108"/>
      <c r="H245" s="1108"/>
      <c r="I245" s="1108"/>
      <c r="J245" s="1108"/>
      <c r="K245" s="1108">
        <v>3000</v>
      </c>
      <c r="L245" s="1108"/>
      <c r="M245" s="1108"/>
      <c r="N245" s="1108"/>
      <c r="O245" s="1108"/>
      <c r="P245" s="1108"/>
      <c r="Q245" s="1108"/>
      <c r="R245" s="1108"/>
      <c r="S245" s="1108"/>
      <c r="T245" s="1109"/>
      <c r="U245" s="1109"/>
      <c r="V245" s="1090">
        <f t="shared" si="11"/>
        <v>3000</v>
      </c>
    </row>
    <row r="246" spans="1:22" s="635" customFormat="1" ht="18" customHeight="1" thickBot="1">
      <c r="A246" s="656" t="s">
        <v>382</v>
      </c>
      <c r="B246" s="1106"/>
      <c r="C246" s="1106"/>
      <c r="D246" s="1106"/>
      <c r="E246" s="1106"/>
      <c r="F246" s="1106"/>
      <c r="G246" s="1106"/>
      <c r="H246" s="1106"/>
      <c r="I246" s="1106"/>
      <c r="J246" s="1106"/>
      <c r="K246" s="1106"/>
      <c r="L246" s="1106"/>
      <c r="M246" s="1106"/>
      <c r="N246" s="1106">
        <v>5000</v>
      </c>
      <c r="O246" s="1106"/>
      <c r="P246" s="1106"/>
      <c r="Q246" s="1106"/>
      <c r="R246" s="1106"/>
      <c r="S246" s="1106"/>
      <c r="T246" s="1107"/>
      <c r="U246" s="1107"/>
      <c r="V246" s="1090">
        <f t="shared" si="11"/>
        <v>5000</v>
      </c>
    </row>
    <row r="247" spans="1:22" s="635" customFormat="1" ht="31.5" customHeight="1" thickBot="1" thickTop="1">
      <c r="A247" s="820" t="s">
        <v>397</v>
      </c>
      <c r="B247" s="1124"/>
      <c r="C247" s="1124">
        <f aca="true" t="shared" si="12" ref="C247:E248">C248</f>
        <v>-170</v>
      </c>
      <c r="D247" s="1124">
        <f t="shared" si="12"/>
        <v>148</v>
      </c>
      <c r="E247" s="1124">
        <f t="shared" si="12"/>
        <v>22</v>
      </c>
      <c r="F247" s="1124"/>
      <c r="G247" s="1124"/>
      <c r="H247" s="1124"/>
      <c r="I247" s="1124"/>
      <c r="J247" s="1124"/>
      <c r="K247" s="1124"/>
      <c r="L247" s="1124"/>
      <c r="M247" s="1124"/>
      <c r="N247" s="1124"/>
      <c r="O247" s="1124"/>
      <c r="P247" s="1124"/>
      <c r="Q247" s="1124"/>
      <c r="R247" s="1124"/>
      <c r="S247" s="1124"/>
      <c r="T247" s="1124"/>
      <c r="U247" s="1124"/>
      <c r="V247" s="1125">
        <f t="shared" si="11"/>
        <v>0</v>
      </c>
    </row>
    <row r="248" spans="1:22" ht="39.75" thickBot="1" thickTop="1">
      <c r="A248" s="664" t="s">
        <v>398</v>
      </c>
      <c r="B248" s="1119"/>
      <c r="C248" s="1119">
        <f t="shared" si="12"/>
        <v>-170</v>
      </c>
      <c r="D248" s="1119">
        <f t="shared" si="12"/>
        <v>148</v>
      </c>
      <c r="E248" s="1119">
        <f t="shared" si="12"/>
        <v>22</v>
      </c>
      <c r="F248" s="1119"/>
      <c r="G248" s="1119"/>
      <c r="H248" s="1119"/>
      <c r="I248" s="1119"/>
      <c r="J248" s="1119"/>
      <c r="K248" s="1119"/>
      <c r="L248" s="1119"/>
      <c r="M248" s="1119"/>
      <c r="N248" s="1119"/>
      <c r="O248" s="1119"/>
      <c r="P248" s="1119"/>
      <c r="Q248" s="1119"/>
      <c r="R248" s="1119"/>
      <c r="S248" s="1119"/>
      <c r="T248" s="1119"/>
      <c r="U248" s="1119"/>
      <c r="V248" s="1097">
        <f t="shared" si="11"/>
        <v>0</v>
      </c>
    </row>
    <row r="249" spans="1:22" ht="33" customHeight="1">
      <c r="A249" s="665" t="s">
        <v>399</v>
      </c>
      <c r="B249" s="1126"/>
      <c r="C249" s="1126">
        <f>SUM(C250:C250)</f>
        <v>-170</v>
      </c>
      <c r="D249" s="1126">
        <f>SUM(D250:D250)</f>
        <v>148</v>
      </c>
      <c r="E249" s="1126">
        <f>SUM(E250:E250)</f>
        <v>22</v>
      </c>
      <c r="F249" s="1126"/>
      <c r="G249" s="1126"/>
      <c r="H249" s="1126"/>
      <c r="I249" s="1126"/>
      <c r="J249" s="1126"/>
      <c r="K249" s="1126"/>
      <c r="L249" s="1126"/>
      <c r="M249" s="1126"/>
      <c r="N249" s="1126"/>
      <c r="O249" s="1126"/>
      <c r="P249" s="1126"/>
      <c r="Q249" s="1126"/>
      <c r="R249" s="1126"/>
      <c r="S249" s="1126"/>
      <c r="T249" s="1126"/>
      <c r="U249" s="1126"/>
      <c r="V249" s="1127">
        <f t="shared" si="11"/>
        <v>0</v>
      </c>
    </row>
    <row r="250" spans="1:22" ht="18" customHeight="1">
      <c r="A250" s="813" t="s">
        <v>227</v>
      </c>
      <c r="B250" s="1128"/>
      <c r="C250" s="1128">
        <v>-170</v>
      </c>
      <c r="D250" s="1128">
        <v>148</v>
      </c>
      <c r="E250" s="1128">
        <v>22</v>
      </c>
      <c r="F250" s="1128"/>
      <c r="G250" s="1128"/>
      <c r="H250" s="1128"/>
      <c r="I250" s="1128"/>
      <c r="J250" s="1128"/>
      <c r="K250" s="1128"/>
      <c r="L250" s="1128"/>
      <c r="M250" s="1128"/>
      <c r="N250" s="1128"/>
      <c r="O250" s="1128"/>
      <c r="P250" s="1128"/>
      <c r="Q250" s="1128"/>
      <c r="R250" s="1128"/>
      <c r="S250" s="1128"/>
      <c r="T250" s="1129"/>
      <c r="U250" s="1129"/>
      <c r="V250" s="1095">
        <f t="shared" si="11"/>
        <v>0</v>
      </c>
    </row>
    <row r="251" spans="1:22" s="812" customFormat="1" ht="50.25" customHeight="1" thickBot="1">
      <c r="A251" s="811" t="s">
        <v>88</v>
      </c>
      <c r="B251" s="1130"/>
      <c r="C251" s="1130"/>
      <c r="D251" s="1130"/>
      <c r="E251" s="1130"/>
      <c r="F251" s="1130"/>
      <c r="G251" s="1130">
        <f aca="true" t="shared" si="13" ref="G251:H253">G252</f>
        <v>11037</v>
      </c>
      <c r="H251" s="1130">
        <f t="shared" si="13"/>
        <v>5178</v>
      </c>
      <c r="I251" s="1131"/>
      <c r="J251" s="1131"/>
      <c r="K251" s="1130"/>
      <c r="L251" s="1130"/>
      <c r="M251" s="1130"/>
      <c r="N251" s="1131"/>
      <c r="O251" s="1130"/>
      <c r="P251" s="1130"/>
      <c r="Q251" s="1130"/>
      <c r="R251" s="1130"/>
      <c r="S251" s="1130"/>
      <c r="T251" s="1130"/>
      <c r="U251" s="1130"/>
      <c r="V251" s="1130">
        <f t="shared" si="11"/>
        <v>16215</v>
      </c>
    </row>
    <row r="252" spans="1:22" ht="37.5" customHeight="1" thickBot="1" thickTop="1">
      <c r="A252" s="821" t="s">
        <v>10</v>
      </c>
      <c r="B252" s="1132"/>
      <c r="C252" s="1132"/>
      <c r="D252" s="1132"/>
      <c r="E252" s="1132"/>
      <c r="F252" s="1132"/>
      <c r="G252" s="1132">
        <f t="shared" si="13"/>
        <v>11037</v>
      </c>
      <c r="H252" s="1132">
        <f t="shared" si="13"/>
        <v>5178</v>
      </c>
      <c r="I252" s="1132"/>
      <c r="J252" s="1132"/>
      <c r="K252" s="1132"/>
      <c r="L252" s="1132"/>
      <c r="M252" s="1132"/>
      <c r="N252" s="1132"/>
      <c r="O252" s="1132"/>
      <c r="P252" s="1132"/>
      <c r="Q252" s="1132"/>
      <c r="R252" s="1132"/>
      <c r="S252" s="1132"/>
      <c r="T252" s="1132"/>
      <c r="U252" s="1132"/>
      <c r="V252" s="1133">
        <f t="shared" si="11"/>
        <v>16215</v>
      </c>
    </row>
    <row r="253" spans="1:22" s="827" customFormat="1" ht="27.75" customHeight="1" thickBot="1" thickTop="1">
      <c r="A253" s="826" t="s">
        <v>394</v>
      </c>
      <c r="B253" s="1134"/>
      <c r="C253" s="1134"/>
      <c r="D253" s="1134"/>
      <c r="E253" s="1134"/>
      <c r="F253" s="1134"/>
      <c r="G253" s="1134">
        <f t="shared" si="13"/>
        <v>11037</v>
      </c>
      <c r="H253" s="1134">
        <f t="shared" si="13"/>
        <v>5178</v>
      </c>
      <c r="I253" s="1134"/>
      <c r="J253" s="1134"/>
      <c r="K253" s="1134"/>
      <c r="L253" s="1134"/>
      <c r="M253" s="1134"/>
      <c r="N253" s="1134"/>
      <c r="O253" s="1134"/>
      <c r="P253" s="1134"/>
      <c r="Q253" s="1134"/>
      <c r="R253" s="1134"/>
      <c r="S253" s="1134"/>
      <c r="T253" s="1134"/>
      <c r="U253" s="1134"/>
      <c r="V253" s="1134">
        <f t="shared" si="11"/>
        <v>16215</v>
      </c>
    </row>
    <row r="254" spans="1:22" ht="51">
      <c r="A254" s="806" t="s">
        <v>11</v>
      </c>
      <c r="B254" s="1135"/>
      <c r="C254" s="1135"/>
      <c r="D254" s="1135"/>
      <c r="E254" s="1135"/>
      <c r="F254" s="1135"/>
      <c r="G254" s="1135">
        <f>SUM(G255:G262)</f>
        <v>11037</v>
      </c>
      <c r="H254" s="1135">
        <f>SUM(H255:H262)</f>
        <v>5178</v>
      </c>
      <c r="I254" s="1135"/>
      <c r="J254" s="1136"/>
      <c r="K254" s="1135"/>
      <c r="L254" s="1135"/>
      <c r="M254" s="1135"/>
      <c r="N254" s="1135"/>
      <c r="O254" s="1135"/>
      <c r="P254" s="1135"/>
      <c r="Q254" s="1135"/>
      <c r="R254" s="1135"/>
      <c r="S254" s="1135"/>
      <c r="T254" s="1135"/>
      <c r="U254" s="1135"/>
      <c r="V254" s="1137">
        <f t="shared" si="11"/>
        <v>16215</v>
      </c>
    </row>
    <row r="255" spans="1:22" ht="18" customHeight="1">
      <c r="A255" s="822" t="s">
        <v>246</v>
      </c>
      <c r="B255" s="1138"/>
      <c r="C255" s="1138"/>
      <c r="D255" s="1138"/>
      <c r="E255" s="1138"/>
      <c r="F255" s="1138"/>
      <c r="G255" s="1138">
        <v>-543</v>
      </c>
      <c r="H255" s="1138">
        <v>-255</v>
      </c>
      <c r="I255" s="1139"/>
      <c r="J255" s="1140"/>
      <c r="K255" s="1138"/>
      <c r="L255" s="1138"/>
      <c r="M255" s="1138"/>
      <c r="N255" s="1138"/>
      <c r="O255" s="1138"/>
      <c r="P255" s="1138"/>
      <c r="Q255" s="1138"/>
      <c r="R255" s="1138"/>
      <c r="S255" s="1138"/>
      <c r="T255" s="1138"/>
      <c r="U255" s="1138"/>
      <c r="V255" s="1141">
        <f t="shared" si="11"/>
        <v>-798</v>
      </c>
    </row>
    <row r="256" spans="1:22" ht="18" customHeight="1">
      <c r="A256" s="807" t="s">
        <v>12</v>
      </c>
      <c r="B256" s="1128"/>
      <c r="C256" s="1128"/>
      <c r="D256" s="1128"/>
      <c r="E256" s="1128"/>
      <c r="F256" s="1128"/>
      <c r="G256" s="1128">
        <v>-186</v>
      </c>
      <c r="H256" s="1128">
        <v>-87</v>
      </c>
      <c r="I256" s="1142"/>
      <c r="J256" s="1143"/>
      <c r="K256" s="1128"/>
      <c r="L256" s="1128"/>
      <c r="M256" s="1128"/>
      <c r="N256" s="1128"/>
      <c r="O256" s="1128"/>
      <c r="P256" s="1128"/>
      <c r="Q256" s="1128"/>
      <c r="R256" s="1128"/>
      <c r="S256" s="1128"/>
      <c r="T256" s="1128"/>
      <c r="U256" s="1128"/>
      <c r="V256" s="1144">
        <f t="shared" si="11"/>
        <v>-273</v>
      </c>
    </row>
    <row r="257" spans="1:22" ht="31.5" customHeight="1">
      <c r="A257" s="807" t="s">
        <v>400</v>
      </c>
      <c r="B257" s="1128"/>
      <c r="C257" s="1128"/>
      <c r="D257" s="1128"/>
      <c r="E257" s="1128"/>
      <c r="F257" s="1128"/>
      <c r="G257" s="1128">
        <v>-771</v>
      </c>
      <c r="H257" s="1128">
        <v>-362</v>
      </c>
      <c r="I257" s="1142"/>
      <c r="J257" s="1143"/>
      <c r="K257" s="1128"/>
      <c r="L257" s="1128"/>
      <c r="M257" s="1128"/>
      <c r="N257" s="1128"/>
      <c r="O257" s="1128"/>
      <c r="P257" s="1128"/>
      <c r="Q257" s="1128"/>
      <c r="R257" s="1128"/>
      <c r="S257" s="1128"/>
      <c r="T257" s="1128"/>
      <c r="U257" s="1128"/>
      <c r="V257" s="1144">
        <f t="shared" si="11"/>
        <v>-1133</v>
      </c>
    </row>
    <row r="258" spans="1:22" ht="18" customHeight="1">
      <c r="A258" s="807" t="s">
        <v>380</v>
      </c>
      <c r="B258" s="1128"/>
      <c r="C258" s="1128"/>
      <c r="D258" s="1128"/>
      <c r="E258" s="1128"/>
      <c r="F258" s="1128"/>
      <c r="G258" s="1128">
        <f>6869-4308</f>
        <v>2561</v>
      </c>
      <c r="H258" s="1128">
        <f>3225-2027</f>
        <v>1198</v>
      </c>
      <c r="I258" s="1142"/>
      <c r="J258" s="1143"/>
      <c r="K258" s="1128"/>
      <c r="L258" s="1128"/>
      <c r="M258" s="1128"/>
      <c r="N258" s="1128"/>
      <c r="O258" s="1128"/>
      <c r="P258" s="1128"/>
      <c r="Q258" s="1128"/>
      <c r="R258" s="1128"/>
      <c r="S258" s="1128"/>
      <c r="T258" s="1128"/>
      <c r="U258" s="1128"/>
      <c r="V258" s="1144">
        <f t="shared" si="11"/>
        <v>3759</v>
      </c>
    </row>
    <row r="259" spans="1:22" ht="27.75" customHeight="1">
      <c r="A259" s="807" t="s">
        <v>379</v>
      </c>
      <c r="B259" s="1128"/>
      <c r="C259" s="1128"/>
      <c r="D259" s="1128"/>
      <c r="E259" s="1128"/>
      <c r="F259" s="1128"/>
      <c r="G259" s="1128">
        <v>643</v>
      </c>
      <c r="H259" s="1128">
        <v>301</v>
      </c>
      <c r="I259" s="1142"/>
      <c r="J259" s="1143"/>
      <c r="K259" s="1128"/>
      <c r="L259" s="1128"/>
      <c r="M259" s="1128"/>
      <c r="N259" s="1128"/>
      <c r="O259" s="1128"/>
      <c r="P259" s="1128"/>
      <c r="Q259" s="1128"/>
      <c r="R259" s="1128"/>
      <c r="S259" s="1128"/>
      <c r="T259" s="1128"/>
      <c r="U259" s="1128"/>
      <c r="V259" s="1144">
        <f t="shared" si="11"/>
        <v>944</v>
      </c>
    </row>
    <row r="260" spans="1:22" ht="18" customHeight="1">
      <c r="A260" s="807" t="s">
        <v>441</v>
      </c>
      <c r="B260" s="1128"/>
      <c r="C260" s="1128"/>
      <c r="D260" s="1128"/>
      <c r="E260" s="1128"/>
      <c r="F260" s="1128"/>
      <c r="G260" s="1128">
        <v>413</v>
      </c>
      <c r="H260" s="1128">
        <v>194</v>
      </c>
      <c r="I260" s="1142"/>
      <c r="J260" s="1143"/>
      <c r="K260" s="1128"/>
      <c r="L260" s="1128"/>
      <c r="M260" s="1128"/>
      <c r="N260" s="1128"/>
      <c r="O260" s="1128"/>
      <c r="P260" s="1128"/>
      <c r="Q260" s="1128"/>
      <c r="R260" s="1128"/>
      <c r="S260" s="1128"/>
      <c r="T260" s="1128"/>
      <c r="U260" s="1128"/>
      <c r="V260" s="1144">
        <f t="shared" si="11"/>
        <v>607</v>
      </c>
    </row>
    <row r="261" spans="1:22" ht="24.75" customHeight="1">
      <c r="A261" s="807" t="s">
        <v>676</v>
      </c>
      <c r="B261" s="1128"/>
      <c r="C261" s="1128"/>
      <c r="D261" s="1128"/>
      <c r="E261" s="1128"/>
      <c r="F261" s="1128"/>
      <c r="G261" s="1128">
        <v>6624</v>
      </c>
      <c r="H261" s="1128">
        <v>3111</v>
      </c>
      <c r="I261" s="1142"/>
      <c r="J261" s="1143"/>
      <c r="K261" s="1128"/>
      <c r="L261" s="1128"/>
      <c r="M261" s="1128"/>
      <c r="N261" s="1128"/>
      <c r="O261" s="1128"/>
      <c r="P261" s="1128"/>
      <c r="Q261" s="1128"/>
      <c r="R261" s="1128"/>
      <c r="S261" s="1128"/>
      <c r="T261" s="1128"/>
      <c r="U261" s="1128"/>
      <c r="V261" s="1144">
        <f t="shared" si="11"/>
        <v>9735</v>
      </c>
    </row>
    <row r="262" spans="1:22" ht="24" customHeight="1">
      <c r="A262" s="807" t="s">
        <v>255</v>
      </c>
      <c r="B262" s="1128"/>
      <c r="C262" s="1128"/>
      <c r="D262" s="1128"/>
      <c r="E262" s="1128"/>
      <c r="F262" s="1128"/>
      <c r="G262" s="1128">
        <v>2296</v>
      </c>
      <c r="H262" s="1128">
        <v>1078</v>
      </c>
      <c r="I262" s="1142"/>
      <c r="J262" s="1143"/>
      <c r="K262" s="1128"/>
      <c r="L262" s="1128"/>
      <c r="M262" s="1128"/>
      <c r="N262" s="1128"/>
      <c r="O262" s="1128"/>
      <c r="P262" s="1128"/>
      <c r="Q262" s="1128"/>
      <c r="R262" s="1128"/>
      <c r="S262" s="1128"/>
      <c r="T262" s="1128"/>
      <c r="U262" s="1128"/>
      <c r="V262" s="1144">
        <f t="shared" si="11"/>
        <v>3374</v>
      </c>
    </row>
    <row r="263" spans="1:22" s="672" customFormat="1" ht="30.75" customHeight="1" thickBot="1">
      <c r="A263" s="671" t="s">
        <v>90</v>
      </c>
      <c r="B263" s="1145"/>
      <c r="C263" s="1145"/>
      <c r="D263" s="1145"/>
      <c r="E263" s="1145"/>
      <c r="F263" s="1145"/>
      <c r="G263" s="1145"/>
      <c r="H263" s="1145"/>
      <c r="I263" s="1145"/>
      <c r="J263" s="1145"/>
      <c r="K263" s="1145"/>
      <c r="L263" s="1145"/>
      <c r="M263" s="1145">
        <f>M264</f>
        <v>4500</v>
      </c>
      <c r="N263" s="1145"/>
      <c r="O263" s="1145"/>
      <c r="P263" s="1145"/>
      <c r="Q263" s="1145"/>
      <c r="R263" s="1145"/>
      <c r="S263" s="1145"/>
      <c r="T263" s="1145"/>
      <c r="U263" s="1145"/>
      <c r="V263" s="1146">
        <f t="shared" si="11"/>
        <v>4500</v>
      </c>
    </row>
    <row r="264" spans="1:22" ht="34.5" customHeight="1" thickBot="1" thickTop="1">
      <c r="A264" s="821" t="s">
        <v>10</v>
      </c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>
        <f>M265</f>
        <v>4500</v>
      </c>
      <c r="N264" s="254"/>
      <c r="O264" s="254"/>
      <c r="P264" s="254"/>
      <c r="Q264" s="254"/>
      <c r="R264" s="254"/>
      <c r="S264" s="254"/>
      <c r="T264" s="254"/>
      <c r="U264" s="254"/>
      <c r="V264" s="1117">
        <f t="shared" si="11"/>
        <v>4500</v>
      </c>
    </row>
    <row r="265" spans="1:22" s="827" customFormat="1" ht="24.75" customHeight="1" thickBot="1" thickTop="1">
      <c r="A265" s="826" t="s">
        <v>15</v>
      </c>
      <c r="B265" s="1134"/>
      <c r="C265" s="1134"/>
      <c r="D265" s="1134"/>
      <c r="E265" s="1134"/>
      <c r="F265" s="1134"/>
      <c r="G265" s="1134"/>
      <c r="H265" s="1134"/>
      <c r="I265" s="1134"/>
      <c r="J265" s="1134"/>
      <c r="K265" s="1134"/>
      <c r="L265" s="1134"/>
      <c r="M265" s="1134">
        <f>M266</f>
        <v>4500</v>
      </c>
      <c r="N265" s="1134"/>
      <c r="O265" s="1134"/>
      <c r="P265" s="1134"/>
      <c r="Q265" s="1134"/>
      <c r="R265" s="1134"/>
      <c r="S265" s="1134"/>
      <c r="T265" s="1134"/>
      <c r="U265" s="1134"/>
      <c r="V265" s="1134">
        <f t="shared" si="11"/>
        <v>4500</v>
      </c>
    </row>
    <row r="266" spans="1:22" ht="30" customHeight="1">
      <c r="A266" s="656" t="s">
        <v>405</v>
      </c>
      <c r="B266" s="1147"/>
      <c r="C266" s="1147"/>
      <c r="D266" s="1147"/>
      <c r="E266" s="1147"/>
      <c r="F266" s="1147"/>
      <c r="G266" s="1147"/>
      <c r="H266" s="1147"/>
      <c r="I266" s="1147"/>
      <c r="J266" s="1147"/>
      <c r="K266" s="1147"/>
      <c r="L266" s="1147"/>
      <c r="M266" s="1138">
        <f>M267</f>
        <v>4500</v>
      </c>
      <c r="N266" s="1147"/>
      <c r="O266" s="1147"/>
      <c r="P266" s="1147"/>
      <c r="Q266" s="1147"/>
      <c r="R266" s="1147"/>
      <c r="S266" s="1147"/>
      <c r="T266" s="1148"/>
      <c r="U266" s="1148"/>
      <c r="V266" s="1100">
        <f t="shared" si="11"/>
        <v>4500</v>
      </c>
    </row>
    <row r="267" spans="1:22" ht="21" customHeight="1">
      <c r="A267" s="807" t="s">
        <v>224</v>
      </c>
      <c r="B267" s="1128"/>
      <c r="C267" s="1128"/>
      <c r="D267" s="1128"/>
      <c r="E267" s="1128"/>
      <c r="F267" s="1128"/>
      <c r="G267" s="1128"/>
      <c r="H267" s="1128"/>
      <c r="I267" s="1128"/>
      <c r="J267" s="1128"/>
      <c r="K267" s="1128"/>
      <c r="L267" s="1128"/>
      <c r="M267" s="1128">
        <v>4500</v>
      </c>
      <c r="N267" s="1128"/>
      <c r="O267" s="1128"/>
      <c r="P267" s="1128"/>
      <c r="Q267" s="1128"/>
      <c r="R267" s="1128"/>
      <c r="S267" s="1128"/>
      <c r="T267" s="1129"/>
      <c r="U267" s="1129"/>
      <c r="V267" s="1090">
        <f t="shared" si="11"/>
        <v>4500</v>
      </c>
    </row>
    <row r="268" ht="12.75">
      <c r="A268" s="823"/>
    </row>
    <row r="269" ht="12.75">
      <c r="A269" s="823"/>
    </row>
    <row r="270" ht="12.75">
      <c r="A270" s="823"/>
    </row>
    <row r="271" spans="1:6" ht="12.75">
      <c r="A271" s="823"/>
      <c r="B271" s="22" t="s">
        <v>691</v>
      </c>
      <c r="C271" s="22"/>
      <c r="D271" s="527"/>
      <c r="E271" s="528"/>
      <c r="F271" s="22" t="s">
        <v>692</v>
      </c>
    </row>
    <row r="272" spans="1:6" ht="12.75">
      <c r="A272" s="823"/>
      <c r="B272" s="22" t="s">
        <v>693</v>
      </c>
      <c r="C272" s="22"/>
      <c r="D272" s="527"/>
      <c r="E272" s="528"/>
      <c r="F272" s="22" t="s">
        <v>694</v>
      </c>
    </row>
    <row r="273" spans="1:6" ht="12.75">
      <c r="A273" s="823"/>
      <c r="B273" s="22"/>
      <c r="C273" s="22"/>
      <c r="D273" s="527"/>
      <c r="E273" s="528"/>
      <c r="F273" s="22" t="s">
        <v>695</v>
      </c>
    </row>
    <row r="274" ht="12.75">
      <c r="A274" s="823"/>
    </row>
    <row r="275" ht="12.75">
      <c r="A275" s="823"/>
    </row>
    <row r="276" ht="12.75">
      <c r="A276" s="823"/>
    </row>
    <row r="277" ht="12.75">
      <c r="A277" s="823"/>
    </row>
    <row r="278" ht="12.75">
      <c r="A278" s="823"/>
    </row>
    <row r="279" ht="12.75">
      <c r="A279" s="823"/>
    </row>
    <row r="280" ht="12.75">
      <c r="A280" s="823"/>
    </row>
    <row r="281" ht="12.75">
      <c r="A281" s="823"/>
    </row>
    <row r="282" ht="12.75">
      <c r="A282" s="823"/>
    </row>
    <row r="283" ht="12.75">
      <c r="A283" s="823"/>
    </row>
    <row r="284" ht="12.75">
      <c r="A284" s="823"/>
    </row>
    <row r="285" ht="12.75">
      <c r="A285" s="823"/>
    </row>
    <row r="286" ht="12.75">
      <c r="A286" s="823"/>
    </row>
    <row r="287" ht="12.75">
      <c r="A287" s="823"/>
    </row>
    <row r="288" ht="12.75">
      <c r="A288" s="823"/>
    </row>
    <row r="289" ht="12.75">
      <c r="A289" s="823"/>
    </row>
    <row r="290" ht="12.75">
      <c r="A290" s="823"/>
    </row>
    <row r="291" ht="12.75">
      <c r="A291" s="823"/>
    </row>
    <row r="292" ht="12.75">
      <c r="A292" s="823"/>
    </row>
    <row r="293" ht="12.75">
      <c r="A293" s="823"/>
    </row>
    <row r="294" ht="12.75">
      <c r="A294" s="823"/>
    </row>
    <row r="295" ht="12.75">
      <c r="A295" s="823"/>
    </row>
    <row r="296" ht="12.75">
      <c r="A296" s="823"/>
    </row>
    <row r="297" ht="12.75">
      <c r="A297" s="823"/>
    </row>
    <row r="298" ht="12.75">
      <c r="A298" s="823"/>
    </row>
    <row r="299" ht="12.75">
      <c r="A299" s="823"/>
    </row>
    <row r="300" ht="12.75">
      <c r="A300" s="823"/>
    </row>
    <row r="301" ht="12.75">
      <c r="A301" s="823"/>
    </row>
    <row r="302" ht="12.75">
      <c r="A302" s="823"/>
    </row>
    <row r="303" ht="12.75">
      <c r="A303" s="823"/>
    </row>
    <row r="304" ht="12.75">
      <c r="A304" s="823"/>
    </row>
    <row r="305" ht="12.75">
      <c r="A305" s="823"/>
    </row>
    <row r="306" ht="12.75">
      <c r="A306" s="823"/>
    </row>
    <row r="307" ht="12.75">
      <c r="A307" s="823"/>
    </row>
    <row r="308" ht="12.75">
      <c r="A308" s="823"/>
    </row>
    <row r="309" ht="12.75">
      <c r="A309" s="823"/>
    </row>
    <row r="310" ht="12.75">
      <c r="A310" s="823"/>
    </row>
    <row r="311" ht="12.75">
      <c r="A311" s="823"/>
    </row>
    <row r="312" ht="12.75">
      <c r="A312" s="823"/>
    </row>
    <row r="313" ht="12.75">
      <c r="A313" s="823"/>
    </row>
    <row r="314" ht="12.75">
      <c r="A314" s="823"/>
    </row>
    <row r="315" ht="12.75">
      <c r="A315" s="823"/>
    </row>
    <row r="316" ht="12.75">
      <c r="A316" s="823"/>
    </row>
    <row r="317" ht="12.75">
      <c r="A317" s="823"/>
    </row>
    <row r="318" ht="12.75">
      <c r="A318" s="823"/>
    </row>
    <row r="319" ht="12.75">
      <c r="A319" s="823"/>
    </row>
    <row r="320" ht="12.75">
      <c r="A320" s="823"/>
    </row>
    <row r="321" ht="12.75">
      <c r="A321" s="823"/>
    </row>
    <row r="322" ht="12.75">
      <c r="A322" s="823"/>
    </row>
    <row r="323" ht="12.75">
      <c r="A323" s="823"/>
    </row>
    <row r="324" ht="12.75">
      <c r="A324" s="823"/>
    </row>
    <row r="325" ht="12.75">
      <c r="A325" s="823"/>
    </row>
    <row r="326" ht="12.75">
      <c r="A326" s="823"/>
    </row>
    <row r="327" ht="12.75">
      <c r="A327" s="823"/>
    </row>
    <row r="328" ht="12.75">
      <c r="A328" s="823"/>
    </row>
    <row r="329" ht="12.75">
      <c r="A329" s="823"/>
    </row>
    <row r="330" ht="12.75">
      <c r="A330" s="823"/>
    </row>
    <row r="331" ht="12.75">
      <c r="A331" s="823"/>
    </row>
    <row r="332" ht="12.75">
      <c r="A332" s="823"/>
    </row>
    <row r="333" ht="12.75">
      <c r="A333" s="823"/>
    </row>
    <row r="334" ht="12.75">
      <c r="A334" s="823"/>
    </row>
    <row r="335" ht="12.75">
      <c r="A335" s="823"/>
    </row>
    <row r="336" ht="12.75">
      <c r="A336" s="823"/>
    </row>
    <row r="337" ht="12.75">
      <c r="A337" s="823"/>
    </row>
    <row r="338" ht="12.75">
      <c r="A338" s="823"/>
    </row>
    <row r="339" ht="12.75">
      <c r="A339" s="823"/>
    </row>
    <row r="340" ht="12.75">
      <c r="A340" s="823"/>
    </row>
    <row r="341" ht="12.75">
      <c r="A341" s="823"/>
    </row>
  </sheetData>
  <mergeCells count="1">
    <mergeCell ref="B3:C3"/>
  </mergeCells>
  <printOptions/>
  <pageMargins left="0.3937007874015748" right="0.3937007874015748" top="0.9055118110236221" bottom="0.7086614173228347" header="0.5118110236220472" footer="0.5118110236220472"/>
  <pageSetup firstPageNumber="40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Z28"/>
  <sheetViews>
    <sheetView zoomScale="70" zoomScaleNormal="70" zoomScaleSheetLayoutView="75" workbookViewId="0" topLeftCell="A1">
      <selection activeCell="C14" sqref="C14"/>
    </sheetView>
  </sheetViews>
  <sheetFormatPr defaultColWidth="9.00390625" defaultRowHeight="12.75"/>
  <cols>
    <col min="1" max="1" width="5.75390625" style="284" customWidth="1"/>
    <col min="2" max="2" width="8.25390625" style="284" customWidth="1"/>
    <col min="3" max="3" width="47.875" style="46" customWidth="1"/>
    <col min="4" max="4" width="18.75390625" style="1" customWidth="1"/>
    <col min="5" max="12" width="13.75390625" style="1" customWidth="1"/>
    <col min="13" max="16" width="13.75390625" style="2" customWidth="1"/>
    <col min="17" max="17" width="22.75390625" style="1" customWidth="1"/>
    <col min="18" max="18" width="13.875" style="1" customWidth="1"/>
    <col min="19" max="16384" width="9.125" style="1" customWidth="1"/>
  </cols>
  <sheetData>
    <row r="1" spans="14:15" ht="15">
      <c r="N1" s="1" t="s">
        <v>568</v>
      </c>
      <c r="O1" s="1"/>
    </row>
    <row r="2" spans="2:15" ht="15" customHeight="1">
      <c r="B2" s="285"/>
      <c r="N2" s="1" t="s">
        <v>624</v>
      </c>
      <c r="O2" s="1"/>
    </row>
    <row r="3" spans="3:15" ht="15.75">
      <c r="C3" s="286" t="s">
        <v>432</v>
      </c>
      <c r="N3" s="1" t="s">
        <v>27</v>
      </c>
      <c r="O3" s="1"/>
    </row>
    <row r="4" spans="14:15" ht="14.25" customHeight="1">
      <c r="N4" s="1" t="s">
        <v>625</v>
      </c>
      <c r="O4" s="1"/>
    </row>
    <row r="5" spans="3:12" ht="6" customHeight="1">
      <c r="C5" s="287"/>
      <c r="D5" s="2"/>
      <c r="E5" s="2"/>
      <c r="F5" s="2"/>
      <c r="G5" s="2"/>
      <c r="H5" s="2"/>
      <c r="I5" s="2"/>
      <c r="J5" s="2"/>
      <c r="K5" s="2"/>
      <c r="L5" s="2"/>
    </row>
    <row r="6" spans="3:16" ht="20.25" customHeight="1" thickBot="1">
      <c r="C6" s="287"/>
      <c r="D6" s="2"/>
      <c r="E6" s="2"/>
      <c r="F6" s="2"/>
      <c r="G6" s="2"/>
      <c r="H6" s="2"/>
      <c r="I6" s="2"/>
      <c r="J6" s="2"/>
      <c r="K6" s="2"/>
      <c r="L6" s="2"/>
      <c r="M6" s="288"/>
      <c r="N6" s="288"/>
      <c r="O6" s="288"/>
      <c r="P6" s="289" t="s">
        <v>28</v>
      </c>
    </row>
    <row r="7" spans="1:16" ht="18" customHeight="1" thickTop="1">
      <c r="A7" s="290"/>
      <c r="B7" s="290"/>
      <c r="C7" s="291" t="s">
        <v>29</v>
      </c>
      <c r="D7" s="291" t="s">
        <v>433</v>
      </c>
      <c r="E7" s="1256" t="s">
        <v>31</v>
      </c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8"/>
    </row>
    <row r="8" spans="1:16" ht="26.25" customHeight="1" thickBot="1">
      <c r="A8" s="292" t="s">
        <v>32</v>
      </c>
      <c r="B8" s="293" t="s">
        <v>434</v>
      </c>
      <c r="C8" s="294" t="s">
        <v>435</v>
      </c>
      <c r="D8" s="294" t="s">
        <v>35</v>
      </c>
      <c r="E8" s="294" t="s">
        <v>36</v>
      </c>
      <c r="F8" s="294" t="s">
        <v>37</v>
      </c>
      <c r="G8" s="294" t="s">
        <v>38</v>
      </c>
      <c r="H8" s="294" t="s">
        <v>39</v>
      </c>
      <c r="I8" s="294" t="s">
        <v>40</v>
      </c>
      <c r="J8" s="294" t="s">
        <v>41</v>
      </c>
      <c r="K8" s="294" t="s">
        <v>42</v>
      </c>
      <c r="L8" s="294" t="s">
        <v>43</v>
      </c>
      <c r="M8" s="295" t="s">
        <v>44</v>
      </c>
      <c r="N8" s="295" t="s">
        <v>45</v>
      </c>
      <c r="O8" s="295" t="s">
        <v>46</v>
      </c>
      <c r="P8" s="295" t="s">
        <v>47</v>
      </c>
    </row>
    <row r="9" spans="1:22" s="22" customFormat="1" ht="14.25" thickBot="1" thickTop="1">
      <c r="A9" s="296">
        <v>1</v>
      </c>
      <c r="B9" s="296">
        <v>2</v>
      </c>
      <c r="C9" s="297">
        <v>3</v>
      </c>
      <c r="D9" s="298">
        <v>4</v>
      </c>
      <c r="E9" s="298">
        <v>5</v>
      </c>
      <c r="F9" s="298">
        <v>6</v>
      </c>
      <c r="G9" s="298">
        <v>7</v>
      </c>
      <c r="H9" s="298">
        <v>8</v>
      </c>
      <c r="I9" s="298">
        <v>9</v>
      </c>
      <c r="J9" s="298">
        <v>10</v>
      </c>
      <c r="K9" s="298">
        <v>11</v>
      </c>
      <c r="L9" s="298">
        <v>12</v>
      </c>
      <c r="M9" s="298">
        <v>13</v>
      </c>
      <c r="N9" s="298">
        <v>14</v>
      </c>
      <c r="O9" s="298">
        <v>15</v>
      </c>
      <c r="P9" s="298">
        <v>16</v>
      </c>
      <c r="Q9" s="33"/>
      <c r="R9" s="33"/>
      <c r="S9" s="33"/>
      <c r="T9" s="33"/>
      <c r="U9" s="33"/>
      <c r="V9" s="33"/>
    </row>
    <row r="10" spans="1:26" s="285" customFormat="1" ht="30.75" customHeight="1" thickBot="1" thickTop="1">
      <c r="A10" s="299"/>
      <c r="B10" s="300"/>
      <c r="C10" s="301" t="s">
        <v>436</v>
      </c>
      <c r="D10" s="302">
        <f>SUM(E10:P10)</f>
        <v>784926</v>
      </c>
      <c r="E10" s="303"/>
      <c r="F10" s="303"/>
      <c r="G10" s="303"/>
      <c r="H10" s="303"/>
      <c r="I10" s="303">
        <f>I11</f>
        <v>594337</v>
      </c>
      <c r="J10" s="303">
        <f>J11</f>
        <v>190589</v>
      </c>
      <c r="K10" s="303"/>
      <c r="L10" s="303"/>
      <c r="M10" s="303"/>
      <c r="N10" s="303"/>
      <c r="O10" s="303"/>
      <c r="P10" s="303"/>
      <c r="Q10" s="304">
        <f>D10-'doch Pr'!F8</f>
        <v>0</v>
      </c>
      <c r="R10" s="305"/>
      <c r="S10" s="305"/>
      <c r="T10" s="305"/>
      <c r="U10" s="305"/>
      <c r="V10" s="305"/>
      <c r="W10" s="306"/>
      <c r="X10" s="306"/>
      <c r="Y10" s="306"/>
      <c r="Z10" s="306"/>
    </row>
    <row r="11" spans="1:26" s="311" customFormat="1" ht="24" customHeight="1" thickBot="1" thickTop="1">
      <c r="A11" s="307"/>
      <c r="B11" s="307"/>
      <c r="C11" s="308" t="s">
        <v>50</v>
      </c>
      <c r="D11" s="302">
        <f aca="true" t="shared" si="0" ref="D11:D19">SUM(E11:P11)</f>
        <v>784926</v>
      </c>
      <c r="E11" s="302"/>
      <c r="F11" s="302"/>
      <c r="G11" s="302"/>
      <c r="H11" s="302"/>
      <c r="I11" s="302">
        <f>I12+I20</f>
        <v>594337</v>
      </c>
      <c r="J11" s="302">
        <f>J12</f>
        <v>190589</v>
      </c>
      <c r="K11" s="302"/>
      <c r="L11" s="302"/>
      <c r="M11" s="302"/>
      <c r="N11" s="302"/>
      <c r="O11" s="302"/>
      <c r="P11" s="302"/>
      <c r="Q11" s="309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16" ht="23.25" customHeight="1" thickTop="1">
      <c r="A12" s="312"/>
      <c r="B12" s="312"/>
      <c r="C12" s="313" t="s">
        <v>437</v>
      </c>
      <c r="D12" s="314">
        <f t="shared" si="0"/>
        <v>784926</v>
      </c>
      <c r="E12" s="314"/>
      <c r="F12" s="314"/>
      <c r="G12" s="314"/>
      <c r="H12" s="314"/>
      <c r="I12" s="314">
        <f>I13+I20</f>
        <v>594337</v>
      </c>
      <c r="J12" s="314">
        <f>J13+J20</f>
        <v>190589</v>
      </c>
      <c r="K12" s="314"/>
      <c r="L12" s="314"/>
      <c r="M12" s="314"/>
      <c r="N12" s="314"/>
      <c r="O12" s="314"/>
      <c r="P12" s="314"/>
    </row>
    <row r="13" spans="1:16" ht="25.5" customHeight="1">
      <c r="A13" s="312"/>
      <c r="B13" s="312"/>
      <c r="C13" s="315" t="s">
        <v>431</v>
      </c>
      <c r="D13" s="316">
        <f t="shared" si="0"/>
        <v>773589</v>
      </c>
      <c r="E13" s="316"/>
      <c r="F13" s="316"/>
      <c r="G13" s="316"/>
      <c r="H13" s="316"/>
      <c r="I13" s="316">
        <f>I14+I17</f>
        <v>594337</v>
      </c>
      <c r="J13" s="316">
        <f>J14+J17</f>
        <v>179252</v>
      </c>
      <c r="K13" s="316"/>
      <c r="L13" s="316"/>
      <c r="M13" s="316"/>
      <c r="N13" s="316"/>
      <c r="O13" s="316"/>
      <c r="P13" s="316"/>
    </row>
    <row r="14" spans="1:16" s="48" customFormat="1" ht="39.75" customHeight="1" thickBot="1">
      <c r="A14" s="317"/>
      <c r="B14" s="317"/>
      <c r="C14" s="318" t="s">
        <v>423</v>
      </c>
      <c r="D14" s="319">
        <f t="shared" si="0"/>
        <v>769089</v>
      </c>
      <c r="E14" s="319"/>
      <c r="F14" s="319"/>
      <c r="G14" s="319"/>
      <c r="H14" s="319"/>
      <c r="I14" s="319">
        <f>I15</f>
        <v>591837</v>
      </c>
      <c r="J14" s="319">
        <f>J15</f>
        <v>177252</v>
      </c>
      <c r="K14" s="319"/>
      <c r="L14" s="319"/>
      <c r="M14" s="319"/>
      <c r="N14" s="319"/>
      <c r="O14" s="319"/>
      <c r="P14" s="319"/>
    </row>
    <row r="15" spans="1:16" s="4" customFormat="1" ht="21.75" customHeight="1" thickTop="1">
      <c r="A15" s="320">
        <v>854</v>
      </c>
      <c r="B15" s="320"/>
      <c r="C15" s="321" t="s">
        <v>60</v>
      </c>
      <c r="D15" s="41">
        <f t="shared" si="0"/>
        <v>769089</v>
      </c>
      <c r="E15" s="41"/>
      <c r="F15" s="41"/>
      <c r="G15" s="41"/>
      <c r="H15" s="41"/>
      <c r="I15" s="41">
        <f>I16</f>
        <v>591837</v>
      </c>
      <c r="J15" s="41">
        <f>J16</f>
        <v>177252</v>
      </c>
      <c r="K15" s="41"/>
      <c r="L15" s="41"/>
      <c r="M15" s="41"/>
      <c r="N15" s="41"/>
      <c r="O15" s="41"/>
      <c r="P15" s="41"/>
    </row>
    <row r="16" spans="1:16" s="322" customFormat="1" ht="22.5" customHeight="1">
      <c r="A16" s="444"/>
      <c r="B16" s="445">
        <v>85415</v>
      </c>
      <c r="C16" s="129" t="s">
        <v>407</v>
      </c>
      <c r="D16" s="43">
        <f t="shared" si="0"/>
        <v>769089</v>
      </c>
      <c r="E16" s="43"/>
      <c r="F16" s="43"/>
      <c r="G16" s="43"/>
      <c r="H16" s="43"/>
      <c r="I16" s="43">
        <v>591837</v>
      </c>
      <c r="J16" s="43">
        <v>177252</v>
      </c>
      <c r="K16" s="43"/>
      <c r="L16" s="43"/>
      <c r="M16" s="43"/>
      <c r="N16" s="43"/>
      <c r="O16" s="43"/>
      <c r="P16" s="43"/>
    </row>
    <row r="17" spans="1:16" s="48" customFormat="1" ht="51" customHeight="1" thickBot="1">
      <c r="A17" s="317"/>
      <c r="B17" s="317"/>
      <c r="C17" s="318" t="s">
        <v>416</v>
      </c>
      <c r="D17" s="319">
        <f t="shared" si="0"/>
        <v>4500</v>
      </c>
      <c r="E17" s="319"/>
      <c r="F17" s="319"/>
      <c r="G17" s="319"/>
      <c r="H17" s="319"/>
      <c r="I17" s="319">
        <f>I18</f>
        <v>2500</v>
      </c>
      <c r="J17" s="319">
        <f>J18</f>
        <v>2000</v>
      </c>
      <c r="K17" s="319"/>
      <c r="L17" s="319"/>
      <c r="M17" s="319"/>
      <c r="N17" s="319"/>
      <c r="O17" s="319"/>
      <c r="P17" s="319"/>
    </row>
    <row r="18" spans="1:16" s="4" customFormat="1" ht="21.75" customHeight="1" thickTop="1">
      <c r="A18" s="320">
        <v>854</v>
      </c>
      <c r="B18" s="320"/>
      <c r="C18" s="321" t="s">
        <v>60</v>
      </c>
      <c r="D18" s="41">
        <f t="shared" si="0"/>
        <v>4500</v>
      </c>
      <c r="E18" s="41"/>
      <c r="F18" s="41"/>
      <c r="G18" s="41"/>
      <c r="H18" s="41"/>
      <c r="I18" s="41">
        <f>I19</f>
        <v>2500</v>
      </c>
      <c r="J18" s="41">
        <f>J19</f>
        <v>2000</v>
      </c>
      <c r="K18" s="41"/>
      <c r="L18" s="41"/>
      <c r="M18" s="41"/>
      <c r="N18" s="41"/>
      <c r="O18" s="41"/>
      <c r="P18" s="41"/>
    </row>
    <row r="19" spans="1:16" s="322" customFormat="1" ht="22.5" customHeight="1">
      <c r="A19" s="444"/>
      <c r="B19" s="445">
        <v>85401</v>
      </c>
      <c r="C19" s="129" t="s">
        <v>552</v>
      </c>
      <c r="D19" s="43">
        <f t="shared" si="0"/>
        <v>4500</v>
      </c>
      <c r="E19" s="43"/>
      <c r="F19" s="43"/>
      <c r="G19" s="43"/>
      <c r="H19" s="43"/>
      <c r="I19" s="43">
        <v>2500</v>
      </c>
      <c r="J19" s="1081">
        <v>2000</v>
      </c>
      <c r="K19" s="43"/>
      <c r="L19" s="43"/>
      <c r="M19" s="43"/>
      <c r="N19" s="43"/>
      <c r="O19" s="43"/>
      <c r="P19" s="43"/>
    </row>
    <row r="20" spans="1:16" ht="25.5" customHeight="1">
      <c r="A20" s="312"/>
      <c r="B20" s="312"/>
      <c r="C20" s="315" t="s">
        <v>636</v>
      </c>
      <c r="D20" s="316">
        <f>SUM(E20:P20)</f>
        <v>11337</v>
      </c>
      <c r="E20" s="316"/>
      <c r="F20" s="316"/>
      <c r="G20" s="316"/>
      <c r="H20" s="316"/>
      <c r="I20" s="316"/>
      <c r="J20" s="316">
        <f>J21+J24</f>
        <v>11337</v>
      </c>
      <c r="K20" s="316"/>
      <c r="L20" s="316"/>
      <c r="M20" s="316"/>
      <c r="N20" s="316"/>
      <c r="O20" s="316"/>
      <c r="P20" s="316"/>
    </row>
    <row r="21" spans="1:16" s="48" customFormat="1" ht="50.25" customHeight="1" thickBot="1">
      <c r="A21" s="317"/>
      <c r="B21" s="317"/>
      <c r="C21" s="318" t="s">
        <v>416</v>
      </c>
      <c r="D21" s="319">
        <f>SUM(E21:P21)</f>
        <v>11337</v>
      </c>
      <c r="E21" s="319"/>
      <c r="F21" s="319"/>
      <c r="G21" s="319"/>
      <c r="H21" s="319"/>
      <c r="I21" s="319"/>
      <c r="J21" s="319">
        <f>J22</f>
        <v>11337</v>
      </c>
      <c r="K21" s="319"/>
      <c r="L21" s="319"/>
      <c r="M21" s="319"/>
      <c r="N21" s="319"/>
      <c r="O21" s="319"/>
      <c r="P21" s="319"/>
    </row>
    <row r="22" spans="1:16" s="4" customFormat="1" ht="21.75" customHeight="1" thickTop="1">
      <c r="A22" s="320">
        <v>710</v>
      </c>
      <c r="B22" s="320"/>
      <c r="C22" s="321" t="s">
        <v>526</v>
      </c>
      <c r="D22" s="41">
        <f>SUM(E22:P22)</f>
        <v>11337</v>
      </c>
      <c r="E22" s="41"/>
      <c r="F22" s="41"/>
      <c r="G22" s="41"/>
      <c r="H22" s="41"/>
      <c r="I22" s="41"/>
      <c r="J22" s="41">
        <f>J23</f>
        <v>11337</v>
      </c>
      <c r="K22" s="41"/>
      <c r="L22" s="41"/>
      <c r="M22" s="41"/>
      <c r="N22" s="41"/>
      <c r="O22" s="41"/>
      <c r="P22" s="41"/>
    </row>
    <row r="23" spans="1:16" s="993" customFormat="1" ht="22.5" customHeight="1">
      <c r="A23" s="990"/>
      <c r="B23" s="990">
        <v>71095</v>
      </c>
      <c r="C23" s="991" t="s">
        <v>57</v>
      </c>
      <c r="D23" s="992">
        <f>SUM(E23:P23)</f>
        <v>11337</v>
      </c>
      <c r="E23" s="992"/>
      <c r="F23" s="992"/>
      <c r="G23" s="992"/>
      <c r="H23" s="992"/>
      <c r="I23" s="992"/>
      <c r="J23" s="992">
        <v>11337</v>
      </c>
      <c r="K23" s="992"/>
      <c r="L23" s="992"/>
      <c r="M23" s="992"/>
      <c r="N23" s="992"/>
      <c r="O23" s="992"/>
      <c r="P23" s="992"/>
    </row>
    <row r="24" spans="4:9" ht="15">
      <c r="D24" s="322"/>
      <c r="E24" s="322"/>
      <c r="F24" s="322"/>
      <c r="G24" s="322"/>
      <c r="H24" s="322"/>
      <c r="I24" s="322"/>
    </row>
    <row r="26" spans="3:7" ht="15">
      <c r="C26" s="22" t="s">
        <v>691</v>
      </c>
      <c r="D26" s="22"/>
      <c r="E26" s="527"/>
      <c r="F26" s="528"/>
      <c r="G26" s="22" t="s">
        <v>692</v>
      </c>
    </row>
    <row r="27" spans="3:7" ht="15">
      <c r="C27" s="22" t="s">
        <v>693</v>
      </c>
      <c r="D27" s="22"/>
      <c r="E27" s="527"/>
      <c r="F27" s="528"/>
      <c r="G27" s="22" t="s">
        <v>694</v>
      </c>
    </row>
    <row r="28" spans="3:7" ht="15">
      <c r="C28" s="22"/>
      <c r="D28" s="22"/>
      <c r="E28" s="527"/>
      <c r="F28" s="528"/>
      <c r="G28" s="22" t="s">
        <v>695</v>
      </c>
    </row>
  </sheetData>
  <mergeCells count="1">
    <mergeCell ref="E7:P7"/>
  </mergeCells>
  <printOptions horizontalCentered="1"/>
  <pageMargins left="0.3937007874015748" right="0.3937007874015748" top="0.34" bottom="0.4724409448818898" header="0.19" footer="0.3937007874015748"/>
  <pageSetup firstPageNumber="48" useFirstPageNumber="1" horizontalDpi="300" verticalDpi="300" orientation="landscape" paperSize="9" scale="5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R440"/>
  <sheetViews>
    <sheetView zoomScale="68" zoomScaleNormal="68" zoomScaleSheetLayoutView="75" workbookViewId="0" topLeftCell="A8">
      <pane ySplit="1020" topLeftCell="BM160" activePane="bottomLeft" state="split"/>
      <selection pane="topLeft" activeCell="J11" sqref="J11"/>
      <selection pane="bottomLeft" activeCell="C167" sqref="C167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7.75390625" style="2" customWidth="1"/>
    <col min="5" max="16" width="14.375" style="2" customWidth="1"/>
    <col min="17" max="17" width="10.25390625" style="1" bestFit="1" customWidth="1"/>
    <col min="18" max="16384" width="9.125" style="1" customWidth="1"/>
  </cols>
  <sheetData>
    <row r="1" ht="19.5" customHeight="1">
      <c r="N1" s="2" t="s">
        <v>569</v>
      </c>
    </row>
    <row r="2" ht="19.5" customHeight="1">
      <c r="N2" s="1" t="s">
        <v>624</v>
      </c>
    </row>
    <row r="3" spans="3:14" ht="19.5" customHeight="1">
      <c r="C3" s="3" t="s">
        <v>26</v>
      </c>
      <c r="N3" s="1" t="s">
        <v>27</v>
      </c>
    </row>
    <row r="4" spans="3:14" ht="19.5" customHeight="1">
      <c r="C4" s="4"/>
      <c r="N4" s="1" t="s">
        <v>625</v>
      </c>
    </row>
    <row r="5" ht="15.75">
      <c r="C5" s="4"/>
    </row>
    <row r="6" spans="8:16" ht="15.75" thickBot="1">
      <c r="H6" s="5"/>
      <c r="P6" s="2" t="s">
        <v>28</v>
      </c>
    </row>
    <row r="7" spans="1:16" ht="19.5" customHeight="1" thickTop="1">
      <c r="A7" s="6"/>
      <c r="B7" s="6"/>
      <c r="C7" s="7" t="s">
        <v>29</v>
      </c>
      <c r="D7" s="8" t="s">
        <v>30</v>
      </c>
      <c r="E7" s="9"/>
      <c r="F7" s="10" t="s">
        <v>31</v>
      </c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3.25" customHeight="1" thickBot="1">
      <c r="A8" s="12" t="s">
        <v>32</v>
      </c>
      <c r="B8" s="12" t="s">
        <v>33</v>
      </c>
      <c r="C8" s="13" t="s">
        <v>34</v>
      </c>
      <c r="D8" s="14" t="s">
        <v>35</v>
      </c>
      <c r="E8" s="15" t="s">
        <v>36</v>
      </c>
      <c r="F8" s="15" t="s">
        <v>37</v>
      </c>
      <c r="G8" s="15" t="s">
        <v>38</v>
      </c>
      <c r="H8" s="15" t="s">
        <v>39</v>
      </c>
      <c r="I8" s="15" t="s">
        <v>40</v>
      </c>
      <c r="J8" s="15" t="s">
        <v>41</v>
      </c>
      <c r="K8" s="15" t="s">
        <v>42</v>
      </c>
      <c r="L8" s="15" t="s">
        <v>43</v>
      </c>
      <c r="M8" s="15" t="s">
        <v>44</v>
      </c>
      <c r="N8" s="15" t="s">
        <v>45</v>
      </c>
      <c r="O8" s="15" t="s">
        <v>46</v>
      </c>
      <c r="P8" s="15" t="s">
        <v>47</v>
      </c>
    </row>
    <row r="9" spans="1:16" s="18" customFormat="1" ht="14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</row>
    <row r="10" spans="1:17" s="22" customFormat="1" ht="24.75" customHeight="1" thickBot="1" thickTop="1">
      <c r="A10" s="19"/>
      <c r="B10" s="19"/>
      <c r="C10" s="20" t="s">
        <v>48</v>
      </c>
      <c r="D10" s="21">
        <f>SUM(E10:P10)</f>
        <v>784926</v>
      </c>
      <c r="E10" s="21"/>
      <c r="F10" s="21"/>
      <c r="G10" s="21">
        <f>G12+G109+G113+G117+G131+G142+G105</f>
        <v>-1902459</v>
      </c>
      <c r="H10" s="21">
        <f>H12+H109+H113+H117+H131+H142+H105</f>
        <v>-19604636</v>
      </c>
      <c r="I10" s="21">
        <f>I12+I109+I113+I117+I131+I142+I105</f>
        <v>27381589</v>
      </c>
      <c r="J10" s="21">
        <f>J12+J109+J113+J117+J131+J142+J105+J138</f>
        <v>2415827</v>
      </c>
      <c r="K10" s="21">
        <f aca="true" t="shared" si="0" ref="K10:P10">K12+K109+K113+K117+K131+K142+K105</f>
        <v>114015</v>
      </c>
      <c r="L10" s="21">
        <f t="shared" si="0"/>
        <v>-963093</v>
      </c>
      <c r="M10" s="21">
        <f t="shared" si="0"/>
        <v>-959063</v>
      </c>
      <c r="N10" s="21">
        <f t="shared" si="0"/>
        <v>-1468363</v>
      </c>
      <c r="O10" s="21">
        <f t="shared" si="0"/>
        <v>-2498329</v>
      </c>
      <c r="P10" s="21">
        <f t="shared" si="0"/>
        <v>-1730562</v>
      </c>
      <c r="Q10" s="47">
        <f>D10-'Wyd Pr'!I8</f>
        <v>0</v>
      </c>
    </row>
    <row r="11" spans="1:16" s="22" customFormat="1" ht="12.75" customHeight="1">
      <c r="A11" s="23"/>
      <c r="B11" s="23"/>
      <c r="C11" s="24" t="s">
        <v>49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s="22" customFormat="1" ht="24" customHeight="1">
      <c r="A12" s="23"/>
      <c r="B12" s="23"/>
      <c r="C12" s="27" t="s">
        <v>50</v>
      </c>
      <c r="D12" s="28">
        <f>SUM(E12:P12)</f>
        <v>-369881</v>
      </c>
      <c r="E12" s="29"/>
      <c r="F12" s="29"/>
      <c r="G12" s="29">
        <f aca="true" t="shared" si="1" ref="G12:P12">G13+G17+G27+G54+G71</f>
        <v>-431970</v>
      </c>
      <c r="H12" s="29">
        <f t="shared" si="1"/>
        <v>-13576772</v>
      </c>
      <c r="I12" s="29">
        <f t="shared" si="1"/>
        <v>12649801</v>
      </c>
      <c r="J12" s="29">
        <f t="shared" si="1"/>
        <v>1534200</v>
      </c>
      <c r="K12" s="29">
        <f t="shared" si="1"/>
        <v>73433</v>
      </c>
      <c r="L12" s="29">
        <f t="shared" si="1"/>
        <v>-350457</v>
      </c>
      <c r="M12" s="29">
        <f t="shared" si="1"/>
        <v>504318</v>
      </c>
      <c r="N12" s="29">
        <f t="shared" si="1"/>
        <v>-161033</v>
      </c>
      <c r="O12" s="29">
        <f t="shared" si="1"/>
        <v>-334956</v>
      </c>
      <c r="P12" s="29">
        <f t="shared" si="1"/>
        <v>-276445</v>
      </c>
    </row>
    <row r="13" spans="1:18" s="33" customFormat="1" ht="26.25" customHeight="1">
      <c r="A13" s="30"/>
      <c r="B13" s="30"/>
      <c r="C13" s="31" t="s">
        <v>437</v>
      </c>
      <c r="D13" s="32">
        <f aca="true" t="shared" si="2" ref="D13:D85">SUM(E13:P13)</f>
        <v>-285971</v>
      </c>
      <c r="E13" s="32"/>
      <c r="F13" s="32"/>
      <c r="G13" s="32"/>
      <c r="H13" s="32"/>
      <c r="I13" s="32"/>
      <c r="J13" s="32"/>
      <c r="K13" s="32"/>
      <c r="L13" s="32">
        <f>L14</f>
        <v>-285971</v>
      </c>
      <c r="M13" s="32"/>
      <c r="N13" s="32"/>
      <c r="O13" s="32"/>
      <c r="P13" s="32"/>
      <c r="R13" s="34"/>
    </row>
    <row r="14" spans="1:16" s="22" customFormat="1" ht="19.5" customHeight="1" thickBot="1">
      <c r="A14" s="35"/>
      <c r="B14" s="35"/>
      <c r="C14" s="36" t="s">
        <v>51</v>
      </c>
      <c r="D14" s="37">
        <f t="shared" si="2"/>
        <v>-285971</v>
      </c>
      <c r="E14" s="37"/>
      <c r="F14" s="37"/>
      <c r="G14" s="37"/>
      <c r="H14" s="37"/>
      <c r="I14" s="37"/>
      <c r="J14" s="37"/>
      <c r="K14" s="37"/>
      <c r="L14" s="37">
        <f>L15</f>
        <v>-285971</v>
      </c>
      <c r="M14" s="37"/>
      <c r="N14" s="37"/>
      <c r="O14" s="37"/>
      <c r="P14" s="37"/>
    </row>
    <row r="15" spans="1:16" s="22" customFormat="1" ht="19.5" customHeight="1" thickTop="1">
      <c r="A15" s="38">
        <v>758</v>
      </c>
      <c r="B15" s="39"/>
      <c r="C15" s="40" t="s">
        <v>53</v>
      </c>
      <c r="D15" s="41">
        <f t="shared" si="2"/>
        <v>-285971</v>
      </c>
      <c r="E15" s="41"/>
      <c r="F15" s="41"/>
      <c r="G15" s="41"/>
      <c r="H15" s="41"/>
      <c r="I15" s="41"/>
      <c r="J15" s="41"/>
      <c r="K15" s="41"/>
      <c r="L15" s="41">
        <f>L16</f>
        <v>-285971</v>
      </c>
      <c r="M15" s="41"/>
      <c r="N15" s="41"/>
      <c r="O15" s="41"/>
      <c r="P15" s="41"/>
    </row>
    <row r="16" spans="1:16" s="130" customFormat="1" ht="19.5" customHeight="1">
      <c r="A16" s="42"/>
      <c r="B16" s="445">
        <v>75818</v>
      </c>
      <c r="C16" s="129" t="s">
        <v>54</v>
      </c>
      <c r="D16" s="43">
        <f t="shared" si="2"/>
        <v>-285971</v>
      </c>
      <c r="E16" s="43"/>
      <c r="F16" s="43"/>
      <c r="G16" s="43"/>
      <c r="H16" s="43"/>
      <c r="I16" s="43"/>
      <c r="J16" s="43"/>
      <c r="K16" s="43"/>
      <c r="L16" s="43">
        <f>-260000-24800-1171</f>
        <v>-285971</v>
      </c>
      <c r="M16" s="43"/>
      <c r="N16" s="43"/>
      <c r="O16" s="43"/>
      <c r="P16" s="43"/>
    </row>
    <row r="17" spans="1:18" s="33" customFormat="1" ht="26.25" customHeight="1">
      <c r="A17" s="30"/>
      <c r="B17" s="30"/>
      <c r="C17" s="31" t="s">
        <v>610</v>
      </c>
      <c r="D17" s="32">
        <f t="shared" si="2"/>
        <v>80639</v>
      </c>
      <c r="E17" s="32"/>
      <c r="F17" s="32"/>
      <c r="G17" s="32"/>
      <c r="H17" s="32">
        <f>H18</f>
        <v>-48372</v>
      </c>
      <c r="I17" s="32">
        <f>I18</f>
        <v>-8100</v>
      </c>
      <c r="J17" s="32">
        <f>J18</f>
        <v>-943</v>
      </c>
      <c r="K17" s="32"/>
      <c r="L17" s="32">
        <f>L18</f>
        <v>-62486</v>
      </c>
      <c r="M17" s="32">
        <f>M18</f>
        <v>490190</v>
      </c>
      <c r="N17" s="32">
        <f>N18</f>
        <v>-69414</v>
      </c>
      <c r="O17" s="32"/>
      <c r="P17" s="32">
        <f>P18</f>
        <v>-220236</v>
      </c>
      <c r="R17" s="34"/>
    </row>
    <row r="18" spans="1:16" s="130" customFormat="1" ht="19.5" customHeight="1" thickBot="1">
      <c r="A18" s="44"/>
      <c r="B18" s="44"/>
      <c r="C18" s="134" t="s">
        <v>51</v>
      </c>
      <c r="D18" s="135">
        <f>SUM(E18:P18)</f>
        <v>80639</v>
      </c>
      <c r="E18" s="135"/>
      <c r="F18" s="135"/>
      <c r="G18" s="135"/>
      <c r="H18" s="135">
        <f>H22+H19+H24</f>
        <v>-48372</v>
      </c>
      <c r="I18" s="135">
        <f>I22+I19+I24</f>
        <v>-8100</v>
      </c>
      <c r="J18" s="135">
        <f>J22+J19+J24</f>
        <v>-943</v>
      </c>
      <c r="K18" s="135"/>
      <c r="L18" s="135">
        <f>L22+L19+L24</f>
        <v>-62486</v>
      </c>
      <c r="M18" s="135">
        <f>M22+M19</f>
        <v>490190</v>
      </c>
      <c r="N18" s="135">
        <f>N22+N19+N24</f>
        <v>-69414</v>
      </c>
      <c r="O18" s="135"/>
      <c r="P18" s="135">
        <f>P22+P19</f>
        <v>-220236</v>
      </c>
    </row>
    <row r="19" spans="1:16" s="22" customFormat="1" ht="21.75" customHeight="1" thickTop="1">
      <c r="A19" s="38">
        <v>801</v>
      </c>
      <c r="B19" s="39"/>
      <c r="C19" s="40" t="s">
        <v>58</v>
      </c>
      <c r="D19" s="41">
        <f t="shared" si="2"/>
        <v>-38418</v>
      </c>
      <c r="E19" s="41"/>
      <c r="F19" s="41"/>
      <c r="G19" s="41"/>
      <c r="H19" s="41">
        <f>SUM(H20:H21)</f>
        <v>-48372</v>
      </c>
      <c r="I19" s="41"/>
      <c r="J19" s="41"/>
      <c r="K19" s="41"/>
      <c r="L19" s="41"/>
      <c r="M19" s="41">
        <f>M21</f>
        <v>230190</v>
      </c>
      <c r="N19" s="41"/>
      <c r="O19" s="41"/>
      <c r="P19" s="41">
        <f>SUM(P20:P21)</f>
        <v>-220236</v>
      </c>
    </row>
    <row r="20" spans="1:16" s="130" customFormat="1" ht="21.75" customHeight="1">
      <c r="A20" s="229"/>
      <c r="B20" s="230">
        <v>80101</v>
      </c>
      <c r="C20" s="129" t="s">
        <v>409</v>
      </c>
      <c r="D20" s="43">
        <f t="shared" si="2"/>
        <v>-9018</v>
      </c>
      <c r="E20" s="43"/>
      <c r="F20" s="43"/>
      <c r="G20" s="43"/>
      <c r="H20" s="43">
        <v>-9018</v>
      </c>
      <c r="I20" s="43"/>
      <c r="J20" s="43"/>
      <c r="K20" s="43"/>
      <c r="L20" s="43"/>
      <c r="M20" s="43"/>
      <c r="N20" s="43"/>
      <c r="O20" s="43"/>
      <c r="P20" s="43"/>
    </row>
    <row r="21" spans="1:16" s="130" customFormat="1" ht="21.75" customHeight="1">
      <c r="A21" s="44"/>
      <c r="B21" s="230">
        <v>80130</v>
      </c>
      <c r="C21" s="129" t="s">
        <v>107</v>
      </c>
      <c r="D21" s="43">
        <f t="shared" si="2"/>
        <v>-29400</v>
      </c>
      <c r="E21" s="43"/>
      <c r="F21" s="43"/>
      <c r="G21" s="43"/>
      <c r="H21" s="43">
        <v>-39354</v>
      </c>
      <c r="I21" s="669"/>
      <c r="J21" s="43"/>
      <c r="K21" s="43"/>
      <c r="L21" s="43"/>
      <c r="M21" s="43">
        <v>230190</v>
      </c>
      <c r="N21" s="43"/>
      <c r="O21" s="43"/>
      <c r="P21" s="43">
        <v>-220236</v>
      </c>
    </row>
    <row r="22" spans="1:16" s="22" customFormat="1" ht="21.75" customHeight="1">
      <c r="A22" s="41">
        <v>852</v>
      </c>
      <c r="B22" s="38"/>
      <c r="C22" s="40" t="s">
        <v>59</v>
      </c>
      <c r="D22" s="41">
        <f t="shared" si="2"/>
        <v>260000</v>
      </c>
      <c r="E22" s="41"/>
      <c r="F22" s="41"/>
      <c r="G22" s="41"/>
      <c r="H22" s="41"/>
      <c r="I22" s="41"/>
      <c r="J22" s="41"/>
      <c r="K22" s="41"/>
      <c r="L22" s="41"/>
      <c r="M22" s="41">
        <f>M23</f>
        <v>260000</v>
      </c>
      <c r="N22" s="41"/>
      <c r="O22" s="41"/>
      <c r="P22" s="41"/>
    </row>
    <row r="23" spans="1:16" s="130" customFormat="1" ht="21.75" customHeight="1">
      <c r="A23" s="229"/>
      <c r="B23" s="230">
        <v>85201</v>
      </c>
      <c r="C23" s="129" t="s">
        <v>560</v>
      </c>
      <c r="D23" s="43">
        <f t="shared" si="2"/>
        <v>260000</v>
      </c>
      <c r="E23" s="43"/>
      <c r="F23" s="43"/>
      <c r="G23" s="43"/>
      <c r="H23" s="43"/>
      <c r="I23" s="43"/>
      <c r="J23" s="43"/>
      <c r="K23" s="43"/>
      <c r="L23" s="43"/>
      <c r="M23" s="43">
        <v>260000</v>
      </c>
      <c r="N23" s="43"/>
      <c r="O23" s="43"/>
      <c r="P23" s="43"/>
    </row>
    <row r="24" spans="1:16" s="22" customFormat="1" ht="21.75" customHeight="1">
      <c r="A24" s="38">
        <v>854</v>
      </c>
      <c r="B24" s="39"/>
      <c r="C24" s="40" t="s">
        <v>60</v>
      </c>
      <c r="D24" s="41">
        <f>SUM(E24:P24)</f>
        <v>-140943</v>
      </c>
      <c r="E24" s="41"/>
      <c r="F24" s="41"/>
      <c r="G24" s="41"/>
      <c r="H24" s="41"/>
      <c r="I24" s="41">
        <f>SUM(I25:I26)</f>
        <v>-8100</v>
      </c>
      <c r="J24" s="41">
        <f>SUM(J25:J26)</f>
        <v>-943</v>
      </c>
      <c r="K24" s="41"/>
      <c r="L24" s="41">
        <f>SUM(L25:L26)</f>
        <v>-62486</v>
      </c>
      <c r="M24" s="41"/>
      <c r="N24" s="41">
        <f>SUM(N25:N26)</f>
        <v>-69414</v>
      </c>
      <c r="O24" s="41"/>
      <c r="P24" s="41"/>
    </row>
    <row r="25" spans="1:16" s="130" customFormat="1" ht="21.75" customHeight="1">
      <c r="A25" s="229"/>
      <c r="B25" s="230">
        <v>85403</v>
      </c>
      <c r="C25" s="129" t="s">
        <v>553</v>
      </c>
      <c r="D25" s="43">
        <f>SUM(E25:P25)</f>
        <v>-943</v>
      </c>
      <c r="E25" s="43"/>
      <c r="F25" s="43"/>
      <c r="G25" s="43"/>
      <c r="H25" s="43"/>
      <c r="I25" s="43"/>
      <c r="J25" s="43">
        <v>-943</v>
      </c>
      <c r="K25" s="43"/>
      <c r="L25" s="43"/>
      <c r="M25" s="43"/>
      <c r="N25" s="43"/>
      <c r="O25" s="43"/>
      <c r="P25" s="43"/>
    </row>
    <row r="26" spans="1:16" s="130" customFormat="1" ht="21.75" customHeight="1">
      <c r="A26" s="42"/>
      <c r="B26" s="230">
        <v>85410</v>
      </c>
      <c r="C26" s="129" t="s">
        <v>438</v>
      </c>
      <c r="D26" s="43">
        <f>SUM(E26:P26)</f>
        <v>-140000</v>
      </c>
      <c r="E26" s="43"/>
      <c r="F26" s="43"/>
      <c r="G26" s="43"/>
      <c r="H26" s="43"/>
      <c r="I26" s="43">
        <v>-8100</v>
      </c>
      <c r="J26" s="43"/>
      <c r="K26" s="43"/>
      <c r="L26" s="43">
        <v>-62486</v>
      </c>
      <c r="M26" s="43"/>
      <c r="N26" s="43">
        <v>-69414</v>
      </c>
      <c r="O26" s="43"/>
      <c r="P26" s="43"/>
    </row>
    <row r="27" spans="1:16" s="133" customFormat="1" ht="26.25" customHeight="1">
      <c r="A27" s="42"/>
      <c r="B27" s="42"/>
      <c r="C27" s="131" t="s">
        <v>611</v>
      </c>
      <c r="D27" s="132">
        <f t="shared" si="2"/>
        <v>5451</v>
      </c>
      <c r="E27" s="132"/>
      <c r="F27" s="132"/>
      <c r="G27" s="132"/>
      <c r="H27" s="132">
        <f aca="true" t="shared" si="3" ref="H27:P27">H28+H49</f>
        <v>-1346505</v>
      </c>
      <c r="I27" s="132">
        <f t="shared" si="3"/>
        <v>362729</v>
      </c>
      <c r="J27" s="132">
        <f t="shared" si="3"/>
        <v>1131250</v>
      </c>
      <c r="K27" s="132">
        <f t="shared" si="3"/>
        <v>73433</v>
      </c>
      <c r="L27" s="132">
        <f t="shared" si="3"/>
        <v>-2000</v>
      </c>
      <c r="M27" s="132">
        <f t="shared" si="3"/>
        <v>-1000</v>
      </c>
      <c r="N27" s="132">
        <f t="shared" si="3"/>
        <v>-93291</v>
      </c>
      <c r="O27" s="132">
        <f t="shared" si="3"/>
        <v>-69956</v>
      </c>
      <c r="P27" s="132">
        <f t="shared" si="3"/>
        <v>-49209</v>
      </c>
    </row>
    <row r="28" spans="1:16" s="130" customFormat="1" ht="19.5" customHeight="1" thickBot="1">
      <c r="A28" s="44"/>
      <c r="B28" s="44"/>
      <c r="C28" s="134" t="s">
        <v>51</v>
      </c>
      <c r="D28" s="135">
        <f t="shared" si="2"/>
        <v>21666</v>
      </c>
      <c r="E28" s="135"/>
      <c r="F28" s="135"/>
      <c r="G28" s="135"/>
      <c r="H28" s="135">
        <f>H29+H41</f>
        <v>-1270641</v>
      </c>
      <c r="I28" s="135">
        <f>I29+I41</f>
        <v>373127</v>
      </c>
      <c r="J28" s="135">
        <f>J29+J41</f>
        <v>1058203</v>
      </c>
      <c r="K28" s="135">
        <f>K29+K41</f>
        <v>69433</v>
      </c>
      <c r="L28" s="135"/>
      <c r="M28" s="135"/>
      <c r="N28" s="135">
        <f>N29+N41</f>
        <v>-92291</v>
      </c>
      <c r="O28" s="135">
        <f>O29+O41</f>
        <v>-68956</v>
      </c>
      <c r="P28" s="135">
        <f>P29+P41</f>
        <v>-47209</v>
      </c>
    </row>
    <row r="29" spans="1:16" s="22" customFormat="1" ht="21.75" customHeight="1" thickTop="1">
      <c r="A29" s="38">
        <v>801</v>
      </c>
      <c r="B29" s="39"/>
      <c r="C29" s="40" t="s">
        <v>58</v>
      </c>
      <c r="D29" s="41">
        <f t="shared" si="2"/>
        <v>3190</v>
      </c>
      <c r="E29" s="41"/>
      <c r="F29" s="41"/>
      <c r="G29" s="41"/>
      <c r="H29" s="41">
        <f>SUM(H30:H40)</f>
        <v>-1017178</v>
      </c>
      <c r="I29" s="41">
        <f>SUM(I30:I40)</f>
        <v>207814</v>
      </c>
      <c r="J29" s="41">
        <f>SUM(J30:J40)</f>
        <v>1008436</v>
      </c>
      <c r="K29" s="41">
        <f>SUM(K30:K40)</f>
        <v>12574</v>
      </c>
      <c r="L29" s="41"/>
      <c r="M29" s="41"/>
      <c r="N29" s="41">
        <f>SUM(N30:N40)</f>
        <v>-92291</v>
      </c>
      <c r="O29" s="41">
        <f>SUM(O30:O40)</f>
        <v>-68956</v>
      </c>
      <c r="P29" s="41">
        <f>SUM(P30:P40)</f>
        <v>-47209</v>
      </c>
    </row>
    <row r="30" spans="1:16" s="130" customFormat="1" ht="21.75" customHeight="1">
      <c r="A30" s="229"/>
      <c r="B30" s="230">
        <v>80101</v>
      </c>
      <c r="C30" s="129" t="s">
        <v>409</v>
      </c>
      <c r="D30" s="43">
        <f t="shared" si="2"/>
        <v>0</v>
      </c>
      <c r="E30" s="43"/>
      <c r="F30" s="43"/>
      <c r="G30" s="43"/>
      <c r="H30" s="43">
        <v>-120925</v>
      </c>
      <c r="I30" s="43"/>
      <c r="J30" s="43">
        <v>120925</v>
      </c>
      <c r="K30" s="43"/>
      <c r="L30" s="43"/>
      <c r="M30" s="43"/>
      <c r="N30" s="43"/>
      <c r="O30" s="43"/>
      <c r="P30" s="43"/>
    </row>
    <row r="31" spans="1:16" s="130" customFormat="1" ht="21.75" customHeight="1">
      <c r="A31" s="42"/>
      <c r="B31" s="230">
        <v>80104</v>
      </c>
      <c r="C31" s="129" t="s">
        <v>406</v>
      </c>
      <c r="D31" s="43">
        <f t="shared" si="2"/>
        <v>127090</v>
      </c>
      <c r="E31" s="43"/>
      <c r="F31" s="43"/>
      <c r="G31" s="43"/>
      <c r="H31" s="43">
        <v>-591146</v>
      </c>
      <c r="I31" s="43">
        <v>-27197</v>
      </c>
      <c r="J31" s="43">
        <f>716711+136772</f>
        <v>853483</v>
      </c>
      <c r="K31" s="43">
        <v>12574</v>
      </c>
      <c r="L31" s="43"/>
      <c r="M31" s="43"/>
      <c r="N31" s="43">
        <v>-36624</v>
      </c>
      <c r="O31" s="43">
        <v>-42000</v>
      </c>
      <c r="P31" s="43">
        <v>-42000</v>
      </c>
    </row>
    <row r="32" spans="1:16" s="130" customFormat="1" ht="21.75" customHeight="1">
      <c r="A32" s="42"/>
      <c r="B32" s="230">
        <v>80110</v>
      </c>
      <c r="C32" s="129" t="s">
        <v>410</v>
      </c>
      <c r="D32" s="43">
        <f t="shared" si="2"/>
        <v>-38000</v>
      </c>
      <c r="E32" s="43"/>
      <c r="F32" s="43"/>
      <c r="G32" s="43"/>
      <c r="H32" s="43">
        <v>-45666</v>
      </c>
      <c r="I32" s="43">
        <v>29622</v>
      </c>
      <c r="J32" s="43"/>
      <c r="K32" s="43"/>
      <c r="L32" s="43"/>
      <c r="M32" s="43"/>
      <c r="N32" s="43"/>
      <c r="O32" s="43">
        <v>-21956</v>
      </c>
      <c r="P32" s="43"/>
    </row>
    <row r="33" spans="1:16" s="130" customFormat="1" ht="21.75" customHeight="1">
      <c r="A33" s="42"/>
      <c r="B33" s="230">
        <v>80111</v>
      </c>
      <c r="C33" s="129" t="s">
        <v>544</v>
      </c>
      <c r="D33" s="43">
        <f t="shared" si="2"/>
        <v>0</v>
      </c>
      <c r="E33" s="43"/>
      <c r="F33" s="43"/>
      <c r="G33" s="43"/>
      <c r="H33" s="43">
        <v>-4000</v>
      </c>
      <c r="I33" s="43">
        <v>4000</v>
      </c>
      <c r="J33" s="43"/>
      <c r="K33" s="43"/>
      <c r="L33" s="43"/>
      <c r="M33" s="43"/>
      <c r="N33" s="43"/>
      <c r="O33" s="43"/>
      <c r="P33" s="43"/>
    </row>
    <row r="34" spans="1:16" s="130" customFormat="1" ht="21.75" customHeight="1">
      <c r="A34" s="42"/>
      <c r="B34" s="230">
        <v>80120</v>
      </c>
      <c r="C34" s="129" t="s">
        <v>411</v>
      </c>
      <c r="D34" s="43">
        <f t="shared" si="2"/>
        <v>-17900</v>
      </c>
      <c r="E34" s="43"/>
      <c r="F34" s="43"/>
      <c r="G34" s="43"/>
      <c r="H34" s="43">
        <v>-47586</v>
      </c>
      <c r="I34" s="43">
        <v>80353</v>
      </c>
      <c r="J34" s="43"/>
      <c r="K34" s="43"/>
      <c r="L34" s="43"/>
      <c r="M34" s="43"/>
      <c r="N34" s="43">
        <v>-50667</v>
      </c>
      <c r="O34" s="43"/>
      <c r="P34" s="43"/>
    </row>
    <row r="35" spans="1:16" s="130" customFormat="1" ht="21.75" customHeight="1">
      <c r="A35" s="42"/>
      <c r="B35" s="230">
        <v>80121</v>
      </c>
      <c r="C35" s="129" t="s">
        <v>546</v>
      </c>
      <c r="D35" s="43">
        <f t="shared" si="2"/>
        <v>-4000</v>
      </c>
      <c r="E35" s="43"/>
      <c r="F35" s="43"/>
      <c r="G35" s="43"/>
      <c r="H35" s="43"/>
      <c r="I35" s="43">
        <v>-4000</v>
      </c>
      <c r="J35" s="43"/>
      <c r="K35" s="43"/>
      <c r="L35" s="43"/>
      <c r="M35" s="43"/>
      <c r="N35" s="43"/>
      <c r="O35" s="43"/>
      <c r="P35" s="43"/>
    </row>
    <row r="36" spans="1:16" s="130" customFormat="1" ht="21.75" customHeight="1">
      <c r="A36" s="42"/>
      <c r="B36" s="230">
        <v>80123</v>
      </c>
      <c r="C36" s="129" t="s">
        <v>547</v>
      </c>
      <c r="D36" s="43">
        <f t="shared" si="2"/>
        <v>-9000</v>
      </c>
      <c r="E36" s="43"/>
      <c r="F36" s="43"/>
      <c r="G36" s="43"/>
      <c r="H36" s="43">
        <v>-19243</v>
      </c>
      <c r="I36" s="43">
        <v>25452</v>
      </c>
      <c r="J36" s="43"/>
      <c r="K36" s="43"/>
      <c r="L36" s="43"/>
      <c r="M36" s="43"/>
      <c r="N36" s="43">
        <v>-5000</v>
      </c>
      <c r="O36" s="43">
        <v>-5000</v>
      </c>
      <c r="P36" s="43">
        <v>-5209</v>
      </c>
    </row>
    <row r="37" spans="1:16" s="130" customFormat="1" ht="21.75" customHeight="1">
      <c r="A37" s="42"/>
      <c r="B37" s="230">
        <v>80130</v>
      </c>
      <c r="C37" s="129" t="s">
        <v>107</v>
      </c>
      <c r="D37" s="43">
        <f t="shared" si="2"/>
        <v>-41000</v>
      </c>
      <c r="E37" s="43"/>
      <c r="F37" s="43"/>
      <c r="G37" s="43"/>
      <c r="H37" s="43">
        <v>-92222</v>
      </c>
      <c r="I37" s="43">
        <v>17194</v>
      </c>
      <c r="J37" s="43">
        <v>34028</v>
      </c>
      <c r="K37" s="43"/>
      <c r="L37" s="43"/>
      <c r="M37" s="43"/>
      <c r="N37" s="43"/>
      <c r="O37" s="43"/>
      <c r="P37" s="43"/>
    </row>
    <row r="38" spans="1:16" s="130" customFormat="1" ht="21.75" customHeight="1">
      <c r="A38" s="42"/>
      <c r="B38" s="230">
        <v>80132</v>
      </c>
      <c r="C38" s="129" t="s">
        <v>549</v>
      </c>
      <c r="D38" s="43">
        <f t="shared" si="2"/>
        <v>-8000</v>
      </c>
      <c r="E38" s="43"/>
      <c r="F38" s="43"/>
      <c r="G38" s="43"/>
      <c r="H38" s="43">
        <v>-20000</v>
      </c>
      <c r="I38" s="43">
        <v>12000</v>
      </c>
      <c r="J38" s="43"/>
      <c r="K38" s="43"/>
      <c r="L38" s="43"/>
      <c r="M38" s="43"/>
      <c r="N38" s="43"/>
      <c r="O38" s="43"/>
      <c r="P38" s="43"/>
    </row>
    <row r="39" spans="1:16" s="130" customFormat="1" ht="21.75" customHeight="1">
      <c r="A39" s="42"/>
      <c r="B39" s="230">
        <v>80134</v>
      </c>
      <c r="C39" s="129" t="s">
        <v>550</v>
      </c>
      <c r="D39" s="43">
        <f t="shared" si="2"/>
        <v>-6000</v>
      </c>
      <c r="E39" s="43"/>
      <c r="F39" s="43"/>
      <c r="G39" s="43"/>
      <c r="H39" s="43"/>
      <c r="I39" s="43">
        <v>-6000</v>
      </c>
      <c r="J39" s="43"/>
      <c r="K39" s="43"/>
      <c r="L39" s="43"/>
      <c r="M39" s="43"/>
      <c r="N39" s="43"/>
      <c r="O39" s="43"/>
      <c r="P39" s="43"/>
    </row>
    <row r="40" spans="1:16" s="130" customFormat="1" ht="21.75" customHeight="1">
      <c r="A40" s="42"/>
      <c r="B40" s="230">
        <v>80195</v>
      </c>
      <c r="C40" s="129" t="s">
        <v>57</v>
      </c>
      <c r="D40" s="43">
        <f t="shared" si="2"/>
        <v>0</v>
      </c>
      <c r="E40" s="43"/>
      <c r="F40" s="43"/>
      <c r="G40" s="43"/>
      <c r="H40" s="43">
        <v>-76390</v>
      </c>
      <c r="I40" s="43">
        <v>76390</v>
      </c>
      <c r="J40" s="43"/>
      <c r="K40" s="43"/>
      <c r="L40" s="43"/>
      <c r="M40" s="43"/>
      <c r="N40" s="43"/>
      <c r="O40" s="43"/>
      <c r="P40" s="43"/>
    </row>
    <row r="41" spans="1:16" s="22" customFormat="1" ht="21.75" customHeight="1">
      <c r="A41" s="38">
        <v>854</v>
      </c>
      <c r="B41" s="39"/>
      <c r="C41" s="40" t="s">
        <v>60</v>
      </c>
      <c r="D41" s="41">
        <f t="shared" si="2"/>
        <v>18476</v>
      </c>
      <c r="E41" s="41"/>
      <c r="F41" s="41"/>
      <c r="G41" s="41"/>
      <c r="H41" s="41">
        <f>SUM(H42:H48)</f>
        <v>-253463</v>
      </c>
      <c r="I41" s="41">
        <f>SUM(I42:I48)</f>
        <v>165313</v>
      </c>
      <c r="J41" s="41">
        <f>SUM(J42:J48)</f>
        <v>49767</v>
      </c>
      <c r="K41" s="41">
        <f>SUM(K42:K48)</f>
        <v>56859</v>
      </c>
      <c r="L41" s="41"/>
      <c r="M41" s="41"/>
      <c r="N41" s="41"/>
      <c r="O41" s="41"/>
      <c r="P41" s="41"/>
    </row>
    <row r="42" spans="1:16" s="130" customFormat="1" ht="21.75" customHeight="1">
      <c r="A42" s="229"/>
      <c r="B42" s="230">
        <v>85401</v>
      </c>
      <c r="C42" s="129" t="s">
        <v>552</v>
      </c>
      <c r="D42" s="43">
        <f t="shared" si="2"/>
        <v>0</v>
      </c>
      <c r="E42" s="43"/>
      <c r="F42" s="43"/>
      <c r="G42" s="43"/>
      <c r="H42" s="43">
        <v>-50000</v>
      </c>
      <c r="I42" s="43">
        <v>50000</v>
      </c>
      <c r="J42" s="43"/>
      <c r="K42" s="43"/>
      <c r="L42" s="43"/>
      <c r="M42" s="43"/>
      <c r="N42" s="43"/>
      <c r="O42" s="43"/>
      <c r="P42" s="43"/>
    </row>
    <row r="43" spans="1:16" s="130" customFormat="1" ht="21.75" customHeight="1">
      <c r="A43" s="42"/>
      <c r="B43" s="230">
        <v>85403</v>
      </c>
      <c r="C43" s="129" t="s">
        <v>553</v>
      </c>
      <c r="D43" s="43">
        <f t="shared" si="2"/>
        <v>0</v>
      </c>
      <c r="E43" s="43"/>
      <c r="F43" s="43"/>
      <c r="G43" s="43"/>
      <c r="H43" s="43">
        <v>-20692</v>
      </c>
      <c r="I43" s="43"/>
      <c r="J43" s="43">
        <v>20692</v>
      </c>
      <c r="K43" s="43"/>
      <c r="L43" s="43"/>
      <c r="M43" s="43"/>
      <c r="N43" s="43"/>
      <c r="O43" s="43"/>
      <c r="P43" s="43"/>
    </row>
    <row r="44" spans="1:16" s="130" customFormat="1" ht="30.75" customHeight="1">
      <c r="A44" s="44"/>
      <c r="B44" s="230">
        <v>85406</v>
      </c>
      <c r="C44" s="129" t="s">
        <v>554</v>
      </c>
      <c r="D44" s="43">
        <f t="shared" si="2"/>
        <v>-25800</v>
      </c>
      <c r="E44" s="43"/>
      <c r="F44" s="43"/>
      <c r="G44" s="43"/>
      <c r="H44" s="43"/>
      <c r="I44" s="43">
        <v>-13342</v>
      </c>
      <c r="J44" s="43">
        <v>-12458</v>
      </c>
      <c r="K44" s="43"/>
      <c r="L44" s="43"/>
      <c r="M44" s="43"/>
      <c r="N44" s="43"/>
      <c r="O44" s="43"/>
      <c r="P44" s="43"/>
    </row>
    <row r="45" spans="1:16" s="130" customFormat="1" ht="21.75" customHeight="1">
      <c r="A45" s="42"/>
      <c r="B45" s="44">
        <v>85407</v>
      </c>
      <c r="C45" s="460" t="s">
        <v>412</v>
      </c>
      <c r="D45" s="461">
        <f t="shared" si="2"/>
        <v>0</v>
      </c>
      <c r="E45" s="461"/>
      <c r="F45" s="461"/>
      <c r="G45" s="461"/>
      <c r="H45" s="461">
        <v>-11000</v>
      </c>
      <c r="I45" s="461">
        <v>11000</v>
      </c>
      <c r="J45" s="461"/>
      <c r="K45" s="461"/>
      <c r="L45" s="461"/>
      <c r="M45" s="461"/>
      <c r="N45" s="461"/>
      <c r="O45" s="461"/>
      <c r="P45" s="461"/>
    </row>
    <row r="46" spans="1:16" s="130" customFormat="1" ht="21.75" customHeight="1">
      <c r="A46" s="42"/>
      <c r="B46" s="230">
        <v>85410</v>
      </c>
      <c r="C46" s="129" t="s">
        <v>438</v>
      </c>
      <c r="D46" s="43">
        <f t="shared" si="2"/>
        <v>-17000</v>
      </c>
      <c r="E46" s="43"/>
      <c r="F46" s="43"/>
      <c r="G46" s="43"/>
      <c r="H46" s="43">
        <v>-41608</v>
      </c>
      <c r="I46" s="43">
        <v>3392</v>
      </c>
      <c r="J46" s="43">
        <v>21216</v>
      </c>
      <c r="K46" s="43"/>
      <c r="L46" s="43"/>
      <c r="M46" s="43"/>
      <c r="N46" s="43"/>
      <c r="O46" s="43"/>
      <c r="P46" s="43"/>
    </row>
    <row r="47" spans="1:16" s="130" customFormat="1" ht="21.75" customHeight="1">
      <c r="A47" s="42"/>
      <c r="B47" s="230">
        <v>85415</v>
      </c>
      <c r="C47" s="129" t="s">
        <v>407</v>
      </c>
      <c r="D47" s="43">
        <f t="shared" si="2"/>
        <v>77176</v>
      </c>
      <c r="E47" s="43"/>
      <c r="F47" s="43"/>
      <c r="G47" s="43"/>
      <c r="H47" s="43">
        <v>-96963</v>
      </c>
      <c r="I47" s="43">
        <v>96963</v>
      </c>
      <c r="J47" s="43">
        <v>20317</v>
      </c>
      <c r="K47" s="43">
        <v>56859</v>
      </c>
      <c r="L47" s="43"/>
      <c r="M47" s="43"/>
      <c r="N47" s="43"/>
      <c r="O47" s="43"/>
      <c r="P47" s="43"/>
    </row>
    <row r="48" spans="1:16" s="130" customFormat="1" ht="21.75" customHeight="1">
      <c r="A48" s="42"/>
      <c r="B48" s="230">
        <v>85495</v>
      </c>
      <c r="C48" s="129" t="s">
        <v>57</v>
      </c>
      <c r="D48" s="43">
        <f t="shared" si="2"/>
        <v>-15900</v>
      </c>
      <c r="E48" s="43"/>
      <c r="F48" s="43"/>
      <c r="G48" s="43"/>
      <c r="H48" s="43">
        <v>-33200</v>
      </c>
      <c r="I48" s="43">
        <v>17300</v>
      </c>
      <c r="J48" s="43"/>
      <c r="K48" s="43"/>
      <c r="L48" s="43"/>
      <c r="M48" s="43"/>
      <c r="N48" s="43"/>
      <c r="O48" s="43"/>
      <c r="P48" s="43"/>
    </row>
    <row r="49" spans="1:16" s="130" customFormat="1" ht="31.5" customHeight="1" thickBot="1">
      <c r="A49" s="44"/>
      <c r="B49" s="44"/>
      <c r="C49" s="134" t="s">
        <v>408</v>
      </c>
      <c r="D49" s="135">
        <f t="shared" si="2"/>
        <v>-16215</v>
      </c>
      <c r="E49" s="135"/>
      <c r="F49" s="135"/>
      <c r="G49" s="135"/>
      <c r="H49" s="135">
        <f>H52+H50</f>
        <v>-75864</v>
      </c>
      <c r="I49" s="135">
        <f aca="true" t="shared" si="4" ref="I49:P49">I52+I50</f>
        <v>-10398</v>
      </c>
      <c r="J49" s="135">
        <f t="shared" si="4"/>
        <v>73047</v>
      </c>
      <c r="K49" s="135">
        <f t="shared" si="4"/>
        <v>4000</v>
      </c>
      <c r="L49" s="135">
        <f t="shared" si="4"/>
        <v>-2000</v>
      </c>
      <c r="M49" s="135">
        <f t="shared" si="4"/>
        <v>-1000</v>
      </c>
      <c r="N49" s="135">
        <f t="shared" si="4"/>
        <v>-1000</v>
      </c>
      <c r="O49" s="135">
        <f t="shared" si="4"/>
        <v>-1000</v>
      </c>
      <c r="P49" s="135">
        <f t="shared" si="4"/>
        <v>-2000</v>
      </c>
    </row>
    <row r="50" spans="1:16" s="22" customFormat="1" ht="21.75" customHeight="1" thickTop="1">
      <c r="A50" s="38">
        <v>801</v>
      </c>
      <c r="B50" s="39"/>
      <c r="C50" s="40" t="s">
        <v>58</v>
      </c>
      <c r="D50" s="41">
        <f>SUM(E50:P50)</f>
        <v>0</v>
      </c>
      <c r="E50" s="41"/>
      <c r="F50" s="41"/>
      <c r="G50" s="41"/>
      <c r="H50" s="41">
        <f>H51</f>
        <v>-7184</v>
      </c>
      <c r="I50" s="41">
        <f aca="true" t="shared" si="5" ref="I50:P50">I51</f>
        <v>10012</v>
      </c>
      <c r="J50" s="41">
        <f t="shared" si="5"/>
        <v>5172</v>
      </c>
      <c r="K50" s="41">
        <f t="shared" si="5"/>
        <v>-1000</v>
      </c>
      <c r="L50" s="41">
        <f t="shared" si="5"/>
        <v>-2000</v>
      </c>
      <c r="M50" s="41">
        <f t="shared" si="5"/>
        <v>-1000</v>
      </c>
      <c r="N50" s="41">
        <f t="shared" si="5"/>
        <v>-1000</v>
      </c>
      <c r="O50" s="41">
        <f t="shared" si="5"/>
        <v>-1000</v>
      </c>
      <c r="P50" s="41">
        <f t="shared" si="5"/>
        <v>-2000</v>
      </c>
    </row>
    <row r="51" spans="1:16" s="130" customFormat="1" ht="21.75" customHeight="1">
      <c r="A51" s="42"/>
      <c r="B51" s="230">
        <v>80104</v>
      </c>
      <c r="C51" s="129" t="s">
        <v>406</v>
      </c>
      <c r="D51" s="43">
        <f>SUM(E51:P51)</f>
        <v>0</v>
      </c>
      <c r="E51" s="43"/>
      <c r="F51" s="43"/>
      <c r="G51" s="43"/>
      <c r="H51" s="43">
        <v>-7184</v>
      </c>
      <c r="I51" s="43">
        <v>10012</v>
      </c>
      <c r="J51" s="43">
        <v>5172</v>
      </c>
      <c r="K51" s="43">
        <v>-1000</v>
      </c>
      <c r="L51" s="43">
        <v>-2000</v>
      </c>
      <c r="M51" s="43">
        <v>-1000</v>
      </c>
      <c r="N51" s="43">
        <v>-1000</v>
      </c>
      <c r="O51" s="43">
        <v>-1000</v>
      </c>
      <c r="P51" s="43">
        <v>-2000</v>
      </c>
    </row>
    <row r="52" spans="1:16" s="22" customFormat="1" ht="21.75" customHeight="1">
      <c r="A52" s="38">
        <v>854</v>
      </c>
      <c r="B52" s="39"/>
      <c r="C52" s="40" t="s">
        <v>60</v>
      </c>
      <c r="D52" s="41">
        <f t="shared" si="2"/>
        <v>-16215</v>
      </c>
      <c r="E52" s="41"/>
      <c r="F52" s="41"/>
      <c r="G52" s="41"/>
      <c r="H52" s="41">
        <f>H53</f>
        <v>-68680</v>
      </c>
      <c r="I52" s="41">
        <f>I53</f>
        <v>-20410</v>
      </c>
      <c r="J52" s="41">
        <f>J53</f>
        <v>67875</v>
      </c>
      <c r="K52" s="41">
        <f>K53</f>
        <v>5000</v>
      </c>
      <c r="L52" s="41"/>
      <c r="M52" s="41"/>
      <c r="N52" s="41"/>
      <c r="O52" s="41"/>
      <c r="P52" s="41"/>
    </row>
    <row r="53" spans="1:16" s="130" customFormat="1" ht="21.75" customHeight="1">
      <c r="A53" s="229"/>
      <c r="B53" s="230">
        <v>85415</v>
      </c>
      <c r="C53" s="129" t="s">
        <v>407</v>
      </c>
      <c r="D53" s="43">
        <f t="shared" si="2"/>
        <v>-16215</v>
      </c>
      <c r="E53" s="43"/>
      <c r="F53" s="43"/>
      <c r="G53" s="43"/>
      <c r="H53" s="43">
        <v>-68680</v>
      </c>
      <c r="I53" s="43">
        <v>-20410</v>
      </c>
      <c r="J53" s="43">
        <v>67875</v>
      </c>
      <c r="K53" s="43">
        <v>5000</v>
      </c>
      <c r="L53" s="43"/>
      <c r="M53" s="43"/>
      <c r="N53" s="43"/>
      <c r="O53" s="43"/>
      <c r="P53" s="43"/>
    </row>
    <row r="54" spans="1:16" s="33" customFormat="1" ht="26.25" customHeight="1">
      <c r="A54" s="30"/>
      <c r="B54" s="30"/>
      <c r="C54" s="31" t="s">
        <v>299</v>
      </c>
      <c r="D54" s="32">
        <f t="shared" si="2"/>
        <v>-170000</v>
      </c>
      <c r="E54" s="32"/>
      <c r="F54" s="32"/>
      <c r="G54" s="32">
        <f>G55</f>
        <v>-431970</v>
      </c>
      <c r="H54" s="32">
        <f>H55</f>
        <v>-202668</v>
      </c>
      <c r="I54" s="32">
        <f>I55</f>
        <v>150945</v>
      </c>
      <c r="J54" s="32">
        <f>J55</f>
        <v>403893</v>
      </c>
      <c r="K54" s="32"/>
      <c r="L54" s="32"/>
      <c r="M54" s="32">
        <f>M55</f>
        <v>15128</v>
      </c>
      <c r="N54" s="32">
        <f>N55</f>
        <v>1672</v>
      </c>
      <c r="O54" s="32">
        <f>O55</f>
        <v>-100000</v>
      </c>
      <c r="P54" s="32">
        <f>P55</f>
        <v>-7000</v>
      </c>
    </row>
    <row r="55" spans="1:16" s="22" customFormat="1" ht="18.75" customHeight="1" thickBot="1">
      <c r="A55" s="35"/>
      <c r="B55" s="35"/>
      <c r="C55" s="36" t="s">
        <v>51</v>
      </c>
      <c r="D55" s="37">
        <f t="shared" si="2"/>
        <v>-170000</v>
      </c>
      <c r="E55" s="37"/>
      <c r="F55" s="37"/>
      <c r="G55" s="37">
        <f>G61+G56+G69+G59</f>
        <v>-431970</v>
      </c>
      <c r="H55" s="37">
        <f>H61+H56+H69+H59</f>
        <v>-202668</v>
      </c>
      <c r="I55" s="37">
        <f>I61+I56+I69+I59</f>
        <v>150945</v>
      </c>
      <c r="J55" s="37">
        <f>J61+J56+J69+J59+J67</f>
        <v>403893</v>
      </c>
      <c r="K55" s="37"/>
      <c r="L55" s="37"/>
      <c r="M55" s="37">
        <f>M61+M56+M69+M59</f>
        <v>15128</v>
      </c>
      <c r="N55" s="37">
        <f>N61+N56+N69+N59</f>
        <v>1672</v>
      </c>
      <c r="O55" s="37">
        <f>O61+O56+O69+O59+O67</f>
        <v>-100000</v>
      </c>
      <c r="P55" s="37">
        <f>P61+P56+P69</f>
        <v>-7000</v>
      </c>
    </row>
    <row r="56" spans="1:16" s="22" customFormat="1" ht="21.75" customHeight="1" thickTop="1">
      <c r="A56" s="38">
        <v>630</v>
      </c>
      <c r="B56" s="39"/>
      <c r="C56" s="40" t="s">
        <v>22</v>
      </c>
      <c r="D56" s="41">
        <f>SUM(E56:P56)</f>
        <v>0</v>
      </c>
      <c r="E56" s="41"/>
      <c r="F56" s="41"/>
      <c r="G56" s="41"/>
      <c r="H56" s="41">
        <f>SUM(H57:H58)</f>
        <v>-700</v>
      </c>
      <c r="I56" s="41">
        <f>SUM(I57:I58)</f>
        <v>-2735</v>
      </c>
      <c r="J56" s="41">
        <f>SUM(J57:J58)</f>
        <v>3435</v>
      </c>
      <c r="K56" s="41"/>
      <c r="L56" s="41"/>
      <c r="M56" s="41"/>
      <c r="N56" s="41"/>
      <c r="O56" s="41"/>
      <c r="P56" s="41"/>
    </row>
    <row r="57" spans="1:16" s="130" customFormat="1" ht="21.75" customHeight="1">
      <c r="A57" s="229"/>
      <c r="B57" s="230">
        <v>63001</v>
      </c>
      <c r="C57" s="129" t="s">
        <v>23</v>
      </c>
      <c r="D57" s="43">
        <f>SUM(E57:P57)</f>
        <v>0</v>
      </c>
      <c r="E57" s="43"/>
      <c r="F57" s="43"/>
      <c r="G57" s="43"/>
      <c r="H57" s="43">
        <v>-700</v>
      </c>
      <c r="I57" s="43">
        <v>700</v>
      </c>
      <c r="J57" s="43"/>
      <c r="K57" s="43"/>
      <c r="L57" s="43"/>
      <c r="M57" s="43"/>
      <c r="N57" s="43"/>
      <c r="O57" s="43"/>
      <c r="P57" s="43"/>
    </row>
    <row r="58" spans="1:16" s="130" customFormat="1" ht="30" customHeight="1">
      <c r="A58" s="42"/>
      <c r="B58" s="230">
        <v>63003</v>
      </c>
      <c r="C58" s="129" t="s">
        <v>24</v>
      </c>
      <c r="D58" s="43">
        <f>SUM(E58:P58)</f>
        <v>0</v>
      </c>
      <c r="E58" s="43"/>
      <c r="F58" s="43"/>
      <c r="G58" s="43"/>
      <c r="H58" s="43"/>
      <c r="I58" s="43">
        <v>-3435</v>
      </c>
      <c r="J58" s="43">
        <v>3435</v>
      </c>
      <c r="K58" s="43"/>
      <c r="L58" s="43"/>
      <c r="M58" s="43"/>
      <c r="N58" s="43"/>
      <c r="O58" s="43"/>
      <c r="P58" s="43"/>
    </row>
    <row r="59" spans="1:16" s="22" customFormat="1" ht="21.75" customHeight="1">
      <c r="A59" s="38">
        <v>758</v>
      </c>
      <c r="B59" s="39"/>
      <c r="C59" s="40" t="s">
        <v>53</v>
      </c>
      <c r="D59" s="41">
        <f>SUM(E59:P59)</f>
        <v>24800</v>
      </c>
      <c r="E59" s="41"/>
      <c r="F59" s="41"/>
      <c r="G59" s="41"/>
      <c r="H59" s="41"/>
      <c r="I59" s="41"/>
      <c r="J59" s="41">
        <f>J60</f>
        <v>7000</v>
      </c>
      <c r="K59" s="41"/>
      <c r="L59" s="41"/>
      <c r="M59" s="41">
        <f>M60</f>
        <v>16128</v>
      </c>
      <c r="N59" s="41">
        <f>N60</f>
        <v>1672</v>
      </c>
      <c r="O59" s="41"/>
      <c r="P59" s="41"/>
    </row>
    <row r="60" spans="1:16" s="130" customFormat="1" ht="21.75" customHeight="1">
      <c r="A60" s="229"/>
      <c r="B60" s="230">
        <v>75860</v>
      </c>
      <c r="C60" s="129" t="s">
        <v>587</v>
      </c>
      <c r="D60" s="43">
        <f>SUM(E60:P60)</f>
        <v>24800</v>
      </c>
      <c r="E60" s="43"/>
      <c r="F60" s="43"/>
      <c r="G60" s="43"/>
      <c r="H60" s="43"/>
      <c r="I60" s="43"/>
      <c r="J60" s="43">
        <v>7000</v>
      </c>
      <c r="K60" s="43"/>
      <c r="L60" s="43"/>
      <c r="M60" s="43">
        <v>16128</v>
      </c>
      <c r="N60" s="43">
        <v>1672</v>
      </c>
      <c r="O60" s="43"/>
      <c r="P60" s="43"/>
    </row>
    <row r="61" spans="1:16" s="22" customFormat="1" ht="21.75" customHeight="1">
      <c r="A61" s="38">
        <v>851</v>
      </c>
      <c r="B61" s="39"/>
      <c r="C61" s="40" t="s">
        <v>61</v>
      </c>
      <c r="D61" s="41">
        <f t="shared" si="2"/>
        <v>-194800</v>
      </c>
      <c r="E61" s="41"/>
      <c r="F61" s="41"/>
      <c r="G61" s="41">
        <f>SUM(G62:G66)</f>
        <v>-431970</v>
      </c>
      <c r="H61" s="41">
        <f>SUM(H62:H66)</f>
        <v>-79468</v>
      </c>
      <c r="I61" s="41">
        <f>SUM(I62:I66)</f>
        <v>110180</v>
      </c>
      <c r="J61" s="41">
        <f>SUM(J62:J66)</f>
        <v>206458</v>
      </c>
      <c r="K61" s="41"/>
      <c r="L61" s="41"/>
      <c r="M61" s="41"/>
      <c r="N61" s="41"/>
      <c r="O61" s="41"/>
      <c r="P61" s="41"/>
    </row>
    <row r="62" spans="1:16" s="130" customFormat="1" ht="21.75" customHeight="1">
      <c r="A62" s="229"/>
      <c r="B62" s="230">
        <v>85121</v>
      </c>
      <c r="C62" s="129" t="s">
        <v>294</v>
      </c>
      <c r="D62" s="43">
        <f t="shared" si="2"/>
        <v>-16500</v>
      </c>
      <c r="E62" s="43"/>
      <c r="F62" s="43"/>
      <c r="G62" s="43">
        <v>-125234</v>
      </c>
      <c r="H62" s="43">
        <v>-31224</v>
      </c>
      <c r="I62" s="43">
        <v>60000</v>
      </c>
      <c r="J62" s="43">
        <v>79958</v>
      </c>
      <c r="K62" s="43"/>
      <c r="L62" s="43"/>
      <c r="M62" s="43"/>
      <c r="N62" s="43"/>
      <c r="O62" s="43"/>
      <c r="P62" s="43"/>
    </row>
    <row r="63" spans="1:16" s="130" customFormat="1" ht="21.75" customHeight="1">
      <c r="A63" s="42"/>
      <c r="B63" s="230">
        <v>85149</v>
      </c>
      <c r="C63" s="129" t="s">
        <v>172</v>
      </c>
      <c r="D63" s="43">
        <f t="shared" si="2"/>
        <v>16500</v>
      </c>
      <c r="E63" s="43"/>
      <c r="F63" s="43"/>
      <c r="G63" s="43"/>
      <c r="H63" s="43">
        <v>-30000</v>
      </c>
      <c r="I63" s="43">
        <v>-30000</v>
      </c>
      <c r="J63" s="43">
        <v>76500</v>
      </c>
      <c r="K63" s="43"/>
      <c r="L63" s="43"/>
      <c r="M63" s="43"/>
      <c r="N63" s="43"/>
      <c r="O63" s="43"/>
      <c r="P63" s="43"/>
    </row>
    <row r="64" spans="1:16" s="130" customFormat="1" ht="21.75" customHeight="1">
      <c r="A64" s="42"/>
      <c r="B64" s="230">
        <v>85153</v>
      </c>
      <c r="C64" s="129" t="s">
        <v>174</v>
      </c>
      <c r="D64" s="43">
        <f t="shared" si="2"/>
        <v>0</v>
      </c>
      <c r="E64" s="43"/>
      <c r="F64" s="43"/>
      <c r="G64" s="43">
        <v>-67380</v>
      </c>
      <c r="H64" s="43">
        <v>-18244</v>
      </c>
      <c r="I64" s="43">
        <v>35624</v>
      </c>
      <c r="J64" s="43">
        <v>50000</v>
      </c>
      <c r="K64" s="43"/>
      <c r="L64" s="43"/>
      <c r="M64" s="43"/>
      <c r="N64" s="43"/>
      <c r="O64" s="43"/>
      <c r="P64" s="43"/>
    </row>
    <row r="65" spans="1:16" s="130" customFormat="1" ht="21.75" customHeight="1">
      <c r="A65" s="42"/>
      <c r="B65" s="230">
        <v>85154</v>
      </c>
      <c r="C65" s="129" t="s">
        <v>86</v>
      </c>
      <c r="D65" s="43">
        <f t="shared" si="2"/>
        <v>-191460</v>
      </c>
      <c r="E65" s="43"/>
      <c r="F65" s="43"/>
      <c r="G65" s="43">
        <v>-239356</v>
      </c>
      <c r="H65" s="43"/>
      <c r="I65" s="43">
        <v>47896</v>
      </c>
      <c r="J65" s="43"/>
      <c r="K65" s="43"/>
      <c r="L65" s="43"/>
      <c r="M65" s="43"/>
      <c r="N65" s="43"/>
      <c r="O65" s="43"/>
      <c r="P65" s="43"/>
    </row>
    <row r="66" spans="1:16" s="130" customFormat="1" ht="21.75" customHeight="1">
      <c r="A66" s="42"/>
      <c r="B66" s="230">
        <v>85195</v>
      </c>
      <c r="C66" s="129" t="s">
        <v>57</v>
      </c>
      <c r="D66" s="43">
        <f t="shared" si="2"/>
        <v>-3340</v>
      </c>
      <c r="E66" s="43"/>
      <c r="F66" s="43"/>
      <c r="G66" s="43"/>
      <c r="H66" s="43"/>
      <c r="I66" s="43">
        <v>-3340</v>
      </c>
      <c r="J66" s="43"/>
      <c r="K66" s="43"/>
      <c r="L66" s="43"/>
      <c r="M66" s="43"/>
      <c r="N66" s="43"/>
      <c r="O66" s="43"/>
      <c r="P66" s="43"/>
    </row>
    <row r="67" spans="1:16" s="22" customFormat="1" ht="28.5" customHeight="1">
      <c r="A67" s="38">
        <v>921</v>
      </c>
      <c r="B67" s="39"/>
      <c r="C67" s="40" t="s">
        <v>531</v>
      </c>
      <c r="D67" s="41">
        <f t="shared" si="2"/>
        <v>0</v>
      </c>
      <c r="E67" s="41"/>
      <c r="F67" s="41"/>
      <c r="G67" s="41"/>
      <c r="H67" s="41"/>
      <c r="I67" s="41"/>
      <c r="J67" s="41">
        <f>J68</f>
        <v>100000</v>
      </c>
      <c r="K67" s="41"/>
      <c r="L67" s="41"/>
      <c r="M67" s="41"/>
      <c r="N67" s="41"/>
      <c r="O67" s="41">
        <f>O68</f>
        <v>-100000</v>
      </c>
      <c r="P67" s="41"/>
    </row>
    <row r="68" spans="1:16" s="130" customFormat="1" ht="21.75" customHeight="1">
      <c r="A68" s="229"/>
      <c r="B68" s="608">
        <v>92113</v>
      </c>
      <c r="C68" s="609" t="s">
        <v>533</v>
      </c>
      <c r="D68" s="43">
        <f t="shared" si="2"/>
        <v>0</v>
      </c>
      <c r="E68" s="43"/>
      <c r="F68" s="43"/>
      <c r="G68" s="43"/>
      <c r="H68" s="43"/>
      <c r="I68" s="43"/>
      <c r="J68" s="43">
        <v>100000</v>
      </c>
      <c r="K68" s="43"/>
      <c r="L68" s="43"/>
      <c r="M68" s="43"/>
      <c r="N68" s="43"/>
      <c r="O68" s="43">
        <v>-100000</v>
      </c>
      <c r="P68" s="43"/>
    </row>
    <row r="69" spans="1:16" s="22" customFormat="1" ht="21.75" customHeight="1">
      <c r="A69" s="38">
        <v>926</v>
      </c>
      <c r="B69" s="39"/>
      <c r="C69" s="40" t="s">
        <v>532</v>
      </c>
      <c r="D69" s="41">
        <f>SUM(E69:P69)</f>
        <v>0</v>
      </c>
      <c r="E69" s="41"/>
      <c r="F69" s="41"/>
      <c r="G69" s="41"/>
      <c r="H69" s="41">
        <f>H70</f>
        <v>-122500</v>
      </c>
      <c r="I69" s="41">
        <f>I70</f>
        <v>43500</v>
      </c>
      <c r="J69" s="41">
        <f>J70</f>
        <v>87000</v>
      </c>
      <c r="K69" s="41"/>
      <c r="L69" s="41"/>
      <c r="M69" s="41">
        <f>M70</f>
        <v>-1000</v>
      </c>
      <c r="N69" s="41"/>
      <c r="O69" s="41"/>
      <c r="P69" s="41">
        <f>P70</f>
        <v>-7000</v>
      </c>
    </row>
    <row r="70" spans="1:16" s="130" customFormat="1" ht="21.75" customHeight="1">
      <c r="A70" s="229"/>
      <c r="B70" s="608">
        <v>92605</v>
      </c>
      <c r="C70" s="609" t="s">
        <v>551</v>
      </c>
      <c r="D70" s="43">
        <f t="shared" si="2"/>
        <v>0</v>
      </c>
      <c r="E70" s="43"/>
      <c r="F70" s="43"/>
      <c r="G70" s="43"/>
      <c r="H70" s="43">
        <v>-122500</v>
      </c>
      <c r="I70" s="43">
        <v>43500</v>
      </c>
      <c r="J70" s="43">
        <v>87000</v>
      </c>
      <c r="K70" s="43"/>
      <c r="L70" s="43"/>
      <c r="M70" s="43">
        <v>-1000</v>
      </c>
      <c r="N70" s="43"/>
      <c r="O70" s="43"/>
      <c r="P70" s="43">
        <v>-7000</v>
      </c>
    </row>
    <row r="71" spans="1:16" s="33" customFormat="1" ht="26.25" customHeight="1">
      <c r="A71" s="30"/>
      <c r="B71" s="30"/>
      <c r="C71" s="31" t="s">
        <v>300</v>
      </c>
      <c r="D71" s="32">
        <f t="shared" si="2"/>
        <v>0</v>
      </c>
      <c r="E71" s="32"/>
      <c r="F71" s="32"/>
      <c r="G71" s="32"/>
      <c r="H71" s="32">
        <f>H72+H102</f>
        <v>-11979227</v>
      </c>
      <c r="I71" s="32">
        <f>I72+I102</f>
        <v>12144227</v>
      </c>
      <c r="J71" s="32"/>
      <c r="K71" s="32"/>
      <c r="L71" s="32"/>
      <c r="M71" s="32"/>
      <c r="N71" s="32"/>
      <c r="O71" s="32">
        <f>O72</f>
        <v>-165000</v>
      </c>
      <c r="P71" s="32"/>
    </row>
    <row r="72" spans="1:16" s="22" customFormat="1" ht="19.5" customHeight="1" thickBot="1">
      <c r="A72" s="35"/>
      <c r="B72" s="35"/>
      <c r="C72" s="36" t="s">
        <v>51</v>
      </c>
      <c r="D72" s="37">
        <f t="shared" si="2"/>
        <v>0</v>
      </c>
      <c r="E72" s="37"/>
      <c r="F72" s="37"/>
      <c r="G72" s="37"/>
      <c r="H72" s="37">
        <f>H73+H78+H80+H84+H89+H91+H96+H99</f>
        <v>-11968703</v>
      </c>
      <c r="I72" s="37">
        <f>I73+I78+I80+I84+I89+I91+I96+I99</f>
        <v>12133703</v>
      </c>
      <c r="J72" s="37"/>
      <c r="K72" s="37"/>
      <c r="L72" s="37"/>
      <c r="M72" s="37"/>
      <c r="N72" s="37"/>
      <c r="O72" s="37">
        <f>O73</f>
        <v>-165000</v>
      </c>
      <c r="P72" s="37"/>
    </row>
    <row r="73" spans="1:16" s="22" customFormat="1" ht="21.75" customHeight="1" thickTop="1">
      <c r="A73" s="38">
        <v>600</v>
      </c>
      <c r="B73" s="39"/>
      <c r="C73" s="40" t="s">
        <v>55</v>
      </c>
      <c r="D73" s="41">
        <f t="shared" si="2"/>
        <v>0</v>
      </c>
      <c r="E73" s="41"/>
      <c r="F73" s="41"/>
      <c r="G73" s="41"/>
      <c r="H73" s="41">
        <f>SUM(H74:H77)</f>
        <v>-1997199</v>
      </c>
      <c r="I73" s="41">
        <f>SUM(I74:I77)</f>
        <v>2162199</v>
      </c>
      <c r="J73" s="41"/>
      <c r="K73" s="41"/>
      <c r="L73" s="41"/>
      <c r="M73" s="41"/>
      <c r="N73" s="41"/>
      <c r="O73" s="41">
        <f>O74</f>
        <v>-165000</v>
      </c>
      <c r="P73" s="41"/>
    </row>
    <row r="74" spans="1:16" s="228" customFormat="1" ht="21.75" customHeight="1">
      <c r="A74" s="418"/>
      <c r="B74" s="419">
        <v>60004</v>
      </c>
      <c r="C74" s="226" t="s">
        <v>56</v>
      </c>
      <c r="D74" s="43">
        <f t="shared" si="2"/>
        <v>0</v>
      </c>
      <c r="E74" s="227"/>
      <c r="F74" s="227"/>
      <c r="G74" s="227"/>
      <c r="H74" s="227">
        <v>-355089</v>
      </c>
      <c r="I74" s="227">
        <f>165000+355089</f>
        <v>520089</v>
      </c>
      <c r="J74" s="227"/>
      <c r="K74" s="227"/>
      <c r="L74" s="227"/>
      <c r="M74" s="227"/>
      <c r="N74" s="227"/>
      <c r="O74" s="227">
        <v>-165000</v>
      </c>
      <c r="P74" s="227"/>
    </row>
    <row r="75" spans="1:16" s="130" customFormat="1" ht="29.25" customHeight="1">
      <c r="A75" s="42"/>
      <c r="B75" s="230">
        <v>60015</v>
      </c>
      <c r="C75" s="129" t="s">
        <v>415</v>
      </c>
      <c r="D75" s="43">
        <f t="shared" si="2"/>
        <v>0</v>
      </c>
      <c r="E75" s="43"/>
      <c r="F75" s="43"/>
      <c r="G75" s="43"/>
      <c r="H75" s="43">
        <v>-1244319</v>
      </c>
      <c r="I75" s="43">
        <v>1244319</v>
      </c>
      <c r="J75" s="43"/>
      <c r="K75" s="43"/>
      <c r="L75" s="43"/>
      <c r="M75" s="43"/>
      <c r="N75" s="43"/>
      <c r="O75" s="43"/>
      <c r="P75" s="43"/>
    </row>
    <row r="76" spans="1:16" s="130" customFormat="1" ht="19.5" customHeight="1">
      <c r="A76" s="42"/>
      <c r="B76" s="44">
        <v>60016</v>
      </c>
      <c r="C76" s="460" t="s">
        <v>525</v>
      </c>
      <c r="D76" s="43">
        <f t="shared" si="2"/>
        <v>0</v>
      </c>
      <c r="E76" s="461"/>
      <c r="F76" s="461"/>
      <c r="G76" s="461"/>
      <c r="H76" s="461">
        <v>-377791</v>
      </c>
      <c r="I76" s="461">
        <v>377791</v>
      </c>
      <c r="J76" s="461"/>
      <c r="K76" s="461"/>
      <c r="L76" s="461"/>
      <c r="M76" s="461"/>
      <c r="N76" s="461"/>
      <c r="O76" s="461"/>
      <c r="P76" s="461"/>
    </row>
    <row r="77" spans="1:16" s="130" customFormat="1" ht="19.5" customHeight="1">
      <c r="A77" s="44"/>
      <c r="B77" s="44">
        <v>60017</v>
      </c>
      <c r="C77" s="460" t="s">
        <v>4</v>
      </c>
      <c r="D77" s="43">
        <f t="shared" si="2"/>
        <v>0</v>
      </c>
      <c r="E77" s="461"/>
      <c r="F77" s="461"/>
      <c r="G77" s="461"/>
      <c r="H77" s="461">
        <v>-20000</v>
      </c>
      <c r="I77" s="461">
        <v>20000</v>
      </c>
      <c r="J77" s="461"/>
      <c r="K77" s="461"/>
      <c r="L77" s="461"/>
      <c r="M77" s="461"/>
      <c r="N77" s="461"/>
      <c r="O77" s="461"/>
      <c r="P77" s="461"/>
    </row>
    <row r="78" spans="1:16" s="22" customFormat="1" ht="21.75" customHeight="1">
      <c r="A78" s="38">
        <v>700</v>
      </c>
      <c r="B78" s="39"/>
      <c r="C78" s="40" t="s">
        <v>92</v>
      </c>
      <c r="D78" s="41">
        <f t="shared" si="2"/>
        <v>0</v>
      </c>
      <c r="E78" s="41"/>
      <c r="F78" s="41"/>
      <c r="G78" s="41"/>
      <c r="H78" s="41">
        <f>H79</f>
        <v>-454990</v>
      </c>
      <c r="I78" s="41">
        <f>I79</f>
        <v>454990</v>
      </c>
      <c r="J78" s="41"/>
      <c r="K78" s="41"/>
      <c r="L78" s="41"/>
      <c r="M78" s="41"/>
      <c r="N78" s="41"/>
      <c r="O78" s="41"/>
      <c r="P78" s="41"/>
    </row>
    <row r="79" spans="1:16" s="130" customFormat="1" ht="21.75" customHeight="1">
      <c r="A79" s="229"/>
      <c r="B79" s="230">
        <v>70095</v>
      </c>
      <c r="C79" s="129" t="s">
        <v>57</v>
      </c>
      <c r="D79" s="43">
        <f t="shared" si="2"/>
        <v>0</v>
      </c>
      <c r="E79" s="43"/>
      <c r="F79" s="43"/>
      <c r="G79" s="43"/>
      <c r="H79" s="43">
        <v>-454990</v>
      </c>
      <c r="I79" s="43">
        <v>454990</v>
      </c>
      <c r="J79" s="43"/>
      <c r="K79" s="43"/>
      <c r="L79" s="43"/>
      <c r="M79" s="43"/>
      <c r="N79" s="43"/>
      <c r="O79" s="43"/>
      <c r="P79" s="43"/>
    </row>
    <row r="80" spans="1:16" s="22" customFormat="1" ht="21.75" customHeight="1">
      <c r="A80" s="38">
        <v>710</v>
      </c>
      <c r="B80" s="39"/>
      <c r="C80" s="40" t="s">
        <v>526</v>
      </c>
      <c r="D80" s="41">
        <f t="shared" si="2"/>
        <v>0</v>
      </c>
      <c r="E80" s="41"/>
      <c r="F80" s="41"/>
      <c r="G80" s="41"/>
      <c r="H80" s="41">
        <f>SUM(H81:H82)</f>
        <v>-31290</v>
      </c>
      <c r="I80" s="41">
        <f>SUM(I81:I82)</f>
        <v>31290</v>
      </c>
      <c r="J80" s="41"/>
      <c r="K80" s="41"/>
      <c r="L80" s="41"/>
      <c r="M80" s="41"/>
      <c r="N80" s="41"/>
      <c r="O80" s="41"/>
      <c r="P80" s="41"/>
    </row>
    <row r="81" spans="1:16" s="130" customFormat="1" ht="21.75" customHeight="1">
      <c r="A81" s="229"/>
      <c r="B81" s="230">
        <v>71004</v>
      </c>
      <c r="C81" s="129" t="s">
        <v>527</v>
      </c>
      <c r="D81" s="43">
        <f t="shared" si="2"/>
        <v>0</v>
      </c>
      <c r="E81" s="43"/>
      <c r="F81" s="43"/>
      <c r="G81" s="43"/>
      <c r="H81" s="43">
        <v>-1290</v>
      </c>
      <c r="I81" s="43">
        <v>1290</v>
      </c>
      <c r="J81" s="43"/>
      <c r="K81" s="43"/>
      <c r="L81" s="43"/>
      <c r="M81" s="43"/>
      <c r="N81" s="43"/>
      <c r="O81" s="43"/>
      <c r="P81" s="43"/>
    </row>
    <row r="82" spans="1:16" s="130" customFormat="1" ht="21.75" customHeight="1">
      <c r="A82" s="44"/>
      <c r="B82" s="230">
        <v>71035</v>
      </c>
      <c r="C82" s="129" t="s">
        <v>5</v>
      </c>
      <c r="D82" s="43">
        <f t="shared" si="2"/>
        <v>0</v>
      </c>
      <c r="E82" s="43"/>
      <c r="F82" s="43"/>
      <c r="G82" s="43"/>
      <c r="H82" s="43">
        <v>-30000</v>
      </c>
      <c r="I82" s="43">
        <v>30000</v>
      </c>
      <c r="J82" s="43"/>
      <c r="K82" s="43"/>
      <c r="L82" s="43"/>
      <c r="M82" s="43"/>
      <c r="N82" s="43"/>
      <c r="O82" s="43"/>
      <c r="P82" s="43"/>
    </row>
    <row r="83" spans="1:16" s="130" customFormat="1" ht="21.75" customHeight="1">
      <c r="A83" s="878"/>
      <c r="B83" s="878"/>
      <c r="C83" s="87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80"/>
    </row>
    <row r="84" spans="1:16" s="22" customFormat="1" ht="21.75" customHeight="1">
      <c r="A84" s="39">
        <v>801</v>
      </c>
      <c r="B84" s="39"/>
      <c r="C84" s="40" t="s">
        <v>58</v>
      </c>
      <c r="D84" s="41">
        <f t="shared" si="2"/>
        <v>0</v>
      </c>
      <c r="E84" s="41"/>
      <c r="F84" s="41"/>
      <c r="G84" s="41"/>
      <c r="H84" s="41">
        <f>SUM(H85:H88)</f>
        <v>-3299533</v>
      </c>
      <c r="I84" s="41">
        <f>SUM(I85:I88)</f>
        <v>3299533</v>
      </c>
      <c r="J84" s="41"/>
      <c r="K84" s="41"/>
      <c r="L84" s="41"/>
      <c r="M84" s="41"/>
      <c r="N84" s="41"/>
      <c r="O84" s="41"/>
      <c r="P84" s="41"/>
    </row>
    <row r="85" spans="1:16" s="130" customFormat="1" ht="21.75" customHeight="1">
      <c r="A85" s="229"/>
      <c r="B85" s="230">
        <v>80101</v>
      </c>
      <c r="C85" s="129" t="s">
        <v>409</v>
      </c>
      <c r="D85" s="43">
        <f t="shared" si="2"/>
        <v>0</v>
      </c>
      <c r="E85" s="43"/>
      <c r="F85" s="43"/>
      <c r="G85" s="43"/>
      <c r="H85" s="43">
        <v>-2228916</v>
      </c>
      <c r="I85" s="43">
        <v>2228916</v>
      </c>
      <c r="J85" s="43"/>
      <c r="K85" s="43"/>
      <c r="L85" s="43"/>
      <c r="M85" s="43"/>
      <c r="N85" s="43"/>
      <c r="O85" s="43"/>
      <c r="P85" s="43"/>
    </row>
    <row r="86" spans="1:16" s="130" customFormat="1" ht="21.75" customHeight="1">
      <c r="A86" s="42"/>
      <c r="B86" s="44">
        <v>80110</v>
      </c>
      <c r="C86" s="460" t="s">
        <v>410</v>
      </c>
      <c r="D86" s="43">
        <f aca="true" t="shared" si="6" ref="D86:D119">SUM(E86:P86)</f>
        <v>0</v>
      </c>
      <c r="E86" s="461"/>
      <c r="F86" s="461"/>
      <c r="G86" s="461"/>
      <c r="H86" s="461">
        <v>-628736</v>
      </c>
      <c r="I86" s="461">
        <v>628736</v>
      </c>
      <c r="J86" s="461"/>
      <c r="K86" s="461"/>
      <c r="L86" s="461"/>
      <c r="M86" s="461"/>
      <c r="N86" s="461"/>
      <c r="O86" s="461"/>
      <c r="P86" s="461"/>
    </row>
    <row r="87" spans="1:16" s="130" customFormat="1" ht="21.75" customHeight="1">
      <c r="A87" s="42"/>
      <c r="B87" s="44">
        <v>80120</v>
      </c>
      <c r="C87" s="460" t="s">
        <v>411</v>
      </c>
      <c r="D87" s="461">
        <f t="shared" si="6"/>
        <v>0</v>
      </c>
      <c r="E87" s="461"/>
      <c r="F87" s="461"/>
      <c r="G87" s="461"/>
      <c r="H87" s="461">
        <v>-67000</v>
      </c>
      <c r="I87" s="461">
        <v>67000</v>
      </c>
      <c r="J87" s="461"/>
      <c r="K87" s="461"/>
      <c r="L87" s="461"/>
      <c r="M87" s="461"/>
      <c r="N87" s="461"/>
      <c r="O87" s="461"/>
      <c r="P87" s="461"/>
    </row>
    <row r="88" spans="1:16" s="130" customFormat="1" ht="21.75" customHeight="1">
      <c r="A88" s="42"/>
      <c r="B88" s="44">
        <v>80130</v>
      </c>
      <c r="C88" s="460" t="s">
        <v>107</v>
      </c>
      <c r="D88" s="43">
        <f t="shared" si="6"/>
        <v>0</v>
      </c>
      <c r="E88" s="461"/>
      <c r="F88" s="461"/>
      <c r="G88" s="461"/>
      <c r="H88" s="461">
        <v>-374881</v>
      </c>
      <c r="I88" s="461">
        <v>374881</v>
      </c>
      <c r="J88" s="461"/>
      <c r="K88" s="461"/>
      <c r="L88" s="461"/>
      <c r="M88" s="461"/>
      <c r="N88" s="461"/>
      <c r="O88" s="461"/>
      <c r="P88" s="461"/>
    </row>
    <row r="89" spans="1:16" s="22" customFormat="1" ht="21.75" customHeight="1">
      <c r="A89" s="38">
        <v>852</v>
      </c>
      <c r="B89" s="39"/>
      <c r="C89" s="40" t="s">
        <v>59</v>
      </c>
      <c r="D89" s="41">
        <f t="shared" si="6"/>
        <v>0</v>
      </c>
      <c r="E89" s="41"/>
      <c r="F89" s="41"/>
      <c r="G89" s="41"/>
      <c r="H89" s="41">
        <f>H90</f>
        <v>-99846</v>
      </c>
      <c r="I89" s="41">
        <f>I90</f>
        <v>99846</v>
      </c>
      <c r="J89" s="41"/>
      <c r="K89" s="41"/>
      <c r="L89" s="41"/>
      <c r="M89" s="41"/>
      <c r="N89" s="41"/>
      <c r="O89" s="41"/>
      <c r="P89" s="41"/>
    </row>
    <row r="90" spans="1:16" s="130" customFormat="1" ht="21.75" customHeight="1">
      <c r="A90" s="229"/>
      <c r="B90" s="230">
        <v>85202</v>
      </c>
      <c r="C90" s="129" t="s">
        <v>427</v>
      </c>
      <c r="D90" s="43">
        <f t="shared" si="6"/>
        <v>0</v>
      </c>
      <c r="E90" s="43"/>
      <c r="F90" s="43"/>
      <c r="G90" s="43"/>
      <c r="H90" s="43">
        <v>-99846</v>
      </c>
      <c r="I90" s="43">
        <v>99846</v>
      </c>
      <c r="J90" s="43"/>
      <c r="K90" s="43"/>
      <c r="L90" s="43"/>
      <c r="M90" s="43"/>
      <c r="N90" s="43"/>
      <c r="O90" s="43"/>
      <c r="P90" s="43"/>
    </row>
    <row r="91" spans="1:16" s="22" customFormat="1" ht="34.5" customHeight="1">
      <c r="A91" s="38">
        <v>900</v>
      </c>
      <c r="B91" s="39"/>
      <c r="C91" s="40" t="s">
        <v>264</v>
      </c>
      <c r="D91" s="41">
        <f t="shared" si="6"/>
        <v>0</v>
      </c>
      <c r="E91" s="41"/>
      <c r="F91" s="41"/>
      <c r="G91" s="41"/>
      <c r="H91" s="41">
        <f>SUM(H92:H95)</f>
        <v>-5398530</v>
      </c>
      <c r="I91" s="41">
        <f>SUM(I92:I95)</f>
        <v>5398530</v>
      </c>
      <c r="J91" s="41"/>
      <c r="K91" s="41"/>
      <c r="L91" s="41"/>
      <c r="M91" s="41"/>
      <c r="N91" s="41"/>
      <c r="O91" s="41"/>
      <c r="P91" s="41"/>
    </row>
    <row r="92" spans="1:16" s="130" customFormat="1" ht="21.75" customHeight="1">
      <c r="A92" s="229"/>
      <c r="B92" s="230">
        <v>90001</v>
      </c>
      <c r="C92" s="129" t="s">
        <v>528</v>
      </c>
      <c r="D92" s="43">
        <f t="shared" si="6"/>
        <v>0</v>
      </c>
      <c r="E92" s="43"/>
      <c r="F92" s="43"/>
      <c r="G92" s="43"/>
      <c r="H92" s="43">
        <v>-437558</v>
      </c>
      <c r="I92" s="43">
        <v>437558</v>
      </c>
      <c r="J92" s="43"/>
      <c r="K92" s="43"/>
      <c r="L92" s="43"/>
      <c r="M92" s="43"/>
      <c r="N92" s="43"/>
      <c r="O92" s="43"/>
      <c r="P92" s="43"/>
    </row>
    <row r="93" spans="1:16" s="130" customFormat="1" ht="21.75" customHeight="1">
      <c r="A93" s="42"/>
      <c r="B93" s="44">
        <v>90002</v>
      </c>
      <c r="C93" s="460" t="s">
        <v>529</v>
      </c>
      <c r="D93" s="43">
        <f t="shared" si="6"/>
        <v>0</v>
      </c>
      <c r="E93" s="461"/>
      <c r="F93" s="461"/>
      <c r="G93" s="461"/>
      <c r="H93" s="461">
        <v>-2048110</v>
      </c>
      <c r="I93" s="461">
        <v>2048110</v>
      </c>
      <c r="J93" s="461"/>
      <c r="K93" s="461"/>
      <c r="L93" s="461"/>
      <c r="M93" s="461"/>
      <c r="N93" s="461"/>
      <c r="O93" s="461"/>
      <c r="P93" s="461"/>
    </row>
    <row r="94" spans="1:16" s="130" customFormat="1" ht="21.75" customHeight="1">
      <c r="A94" s="42"/>
      <c r="B94" s="44">
        <v>90003</v>
      </c>
      <c r="C94" s="460" t="s">
        <v>530</v>
      </c>
      <c r="D94" s="43">
        <f t="shared" si="6"/>
        <v>0</v>
      </c>
      <c r="E94" s="461"/>
      <c r="F94" s="461"/>
      <c r="G94" s="461"/>
      <c r="H94" s="461">
        <v>-20000</v>
      </c>
      <c r="I94" s="461">
        <v>20000</v>
      </c>
      <c r="J94" s="461"/>
      <c r="K94" s="461"/>
      <c r="L94" s="461"/>
      <c r="M94" s="461"/>
      <c r="N94" s="461"/>
      <c r="O94" s="461"/>
      <c r="P94" s="461"/>
    </row>
    <row r="95" spans="1:16" s="130" customFormat="1" ht="21.75" customHeight="1">
      <c r="A95" s="42"/>
      <c r="B95" s="44">
        <v>90095</v>
      </c>
      <c r="C95" s="460" t="s">
        <v>57</v>
      </c>
      <c r="D95" s="43">
        <f t="shared" si="6"/>
        <v>0</v>
      </c>
      <c r="E95" s="461"/>
      <c r="F95" s="461"/>
      <c r="G95" s="461"/>
      <c r="H95" s="461">
        <v>-2892862</v>
      </c>
      <c r="I95" s="461">
        <v>2892862</v>
      </c>
      <c r="J95" s="461"/>
      <c r="K95" s="461"/>
      <c r="L95" s="461"/>
      <c r="M95" s="461"/>
      <c r="N95" s="461"/>
      <c r="O95" s="461"/>
      <c r="P95" s="461"/>
    </row>
    <row r="96" spans="1:16" s="22" customFormat="1" ht="34.5" customHeight="1">
      <c r="A96" s="38">
        <v>921</v>
      </c>
      <c r="B96" s="39"/>
      <c r="C96" s="40" t="s">
        <v>531</v>
      </c>
      <c r="D96" s="41">
        <f t="shared" si="6"/>
        <v>0</v>
      </c>
      <c r="E96" s="41"/>
      <c r="F96" s="41"/>
      <c r="G96" s="41"/>
      <c r="H96" s="41">
        <f>SUM(H97:H98)</f>
        <v>-170000</v>
      </c>
      <c r="I96" s="41">
        <f>SUM(I97:I98)</f>
        <v>170000</v>
      </c>
      <c r="J96" s="41"/>
      <c r="K96" s="41"/>
      <c r="L96" s="41"/>
      <c r="M96" s="41"/>
      <c r="N96" s="41"/>
      <c r="O96" s="41"/>
      <c r="P96" s="41"/>
    </row>
    <row r="97" spans="1:16" s="130" customFormat="1" ht="21.75" customHeight="1">
      <c r="A97" s="229"/>
      <c r="B97" s="230">
        <v>92113</v>
      </c>
      <c r="C97" s="129" t="s">
        <v>533</v>
      </c>
      <c r="D97" s="43">
        <f t="shared" si="6"/>
        <v>0</v>
      </c>
      <c r="E97" s="43"/>
      <c r="F97" s="43"/>
      <c r="G97" s="43"/>
      <c r="H97" s="43">
        <v>-100000</v>
      </c>
      <c r="I97" s="43">
        <v>100000</v>
      </c>
      <c r="J97" s="43"/>
      <c r="K97" s="43"/>
      <c r="L97" s="43"/>
      <c r="M97" s="43"/>
      <c r="N97" s="43"/>
      <c r="O97" s="43"/>
      <c r="P97" s="43"/>
    </row>
    <row r="98" spans="1:16" s="130" customFormat="1" ht="21.75" customHeight="1">
      <c r="A98" s="42"/>
      <c r="B98" s="44">
        <v>92120</v>
      </c>
      <c r="C98" s="460" t="s">
        <v>571</v>
      </c>
      <c r="D98" s="43">
        <f t="shared" si="6"/>
        <v>0</v>
      </c>
      <c r="E98" s="461"/>
      <c r="F98" s="461"/>
      <c r="G98" s="461"/>
      <c r="H98" s="461">
        <v>-70000</v>
      </c>
      <c r="I98" s="461">
        <v>70000</v>
      </c>
      <c r="J98" s="461"/>
      <c r="K98" s="461"/>
      <c r="L98" s="461"/>
      <c r="M98" s="461"/>
      <c r="N98" s="461"/>
      <c r="O98" s="461"/>
      <c r="P98" s="461"/>
    </row>
    <row r="99" spans="1:16" s="22" customFormat="1" ht="21.75" customHeight="1">
      <c r="A99" s="38">
        <v>926</v>
      </c>
      <c r="B99" s="39"/>
      <c r="C99" s="40" t="s">
        <v>532</v>
      </c>
      <c r="D99" s="41">
        <f t="shared" si="6"/>
        <v>0</v>
      </c>
      <c r="E99" s="41"/>
      <c r="F99" s="41"/>
      <c r="G99" s="41"/>
      <c r="H99" s="41">
        <f>SUM(H100:H101)</f>
        <v>-517315</v>
      </c>
      <c r="I99" s="41">
        <f>SUM(I100:I101)</f>
        <v>517315</v>
      </c>
      <c r="J99" s="41"/>
      <c r="K99" s="41"/>
      <c r="L99" s="41"/>
      <c r="M99" s="41"/>
      <c r="N99" s="41"/>
      <c r="O99" s="41"/>
      <c r="P99" s="41"/>
    </row>
    <row r="100" spans="1:16" s="130" customFormat="1" ht="21.75" customHeight="1">
      <c r="A100" s="229"/>
      <c r="B100" s="230">
        <v>92604</v>
      </c>
      <c r="C100" s="129" t="s">
        <v>534</v>
      </c>
      <c r="D100" s="43">
        <f t="shared" si="6"/>
        <v>0</v>
      </c>
      <c r="E100" s="43"/>
      <c r="F100" s="43"/>
      <c r="G100" s="43"/>
      <c r="H100" s="43">
        <v>-417315</v>
      </c>
      <c r="I100" s="43">
        <v>417315</v>
      </c>
      <c r="J100" s="43"/>
      <c r="K100" s="43"/>
      <c r="L100" s="43"/>
      <c r="M100" s="43"/>
      <c r="N100" s="43"/>
      <c r="O100" s="43"/>
      <c r="P100" s="43"/>
    </row>
    <row r="101" spans="1:16" s="130" customFormat="1" ht="21.75" customHeight="1">
      <c r="A101" s="42"/>
      <c r="B101" s="230">
        <v>92605</v>
      </c>
      <c r="C101" s="129" t="s">
        <v>551</v>
      </c>
      <c r="D101" s="43">
        <f t="shared" si="6"/>
        <v>0</v>
      </c>
      <c r="E101" s="43"/>
      <c r="F101" s="43"/>
      <c r="G101" s="43"/>
      <c r="H101" s="43">
        <v>-100000</v>
      </c>
      <c r="I101" s="43">
        <v>100000</v>
      </c>
      <c r="J101" s="43"/>
      <c r="K101" s="43"/>
      <c r="L101" s="43"/>
      <c r="M101" s="43"/>
      <c r="N101" s="43"/>
      <c r="O101" s="43"/>
      <c r="P101" s="43"/>
    </row>
    <row r="102" spans="1:16" s="22" customFormat="1" ht="45" customHeight="1" thickBot="1">
      <c r="A102" s="35"/>
      <c r="B102" s="35"/>
      <c r="C102" s="36" t="s">
        <v>91</v>
      </c>
      <c r="D102" s="37">
        <f t="shared" si="6"/>
        <v>0</v>
      </c>
      <c r="E102" s="37"/>
      <c r="F102" s="37"/>
      <c r="G102" s="37"/>
      <c r="H102" s="37">
        <f>H103</f>
        <v>-10524</v>
      </c>
      <c r="I102" s="37">
        <f>I103</f>
        <v>10524</v>
      </c>
      <c r="J102" s="37"/>
      <c r="K102" s="37"/>
      <c r="L102" s="37"/>
      <c r="M102" s="37"/>
      <c r="N102" s="37"/>
      <c r="O102" s="37"/>
      <c r="P102" s="37"/>
    </row>
    <row r="103" spans="1:16" s="22" customFormat="1" ht="21.75" customHeight="1" thickTop="1">
      <c r="A103" s="38">
        <v>700</v>
      </c>
      <c r="B103" s="39"/>
      <c r="C103" s="40" t="s">
        <v>6</v>
      </c>
      <c r="D103" s="41">
        <f t="shared" si="6"/>
        <v>0</v>
      </c>
      <c r="E103" s="41"/>
      <c r="F103" s="41"/>
      <c r="G103" s="41"/>
      <c r="H103" s="41">
        <f>H104</f>
        <v>-10524</v>
      </c>
      <c r="I103" s="41">
        <f>I104</f>
        <v>10524</v>
      </c>
      <c r="J103" s="41"/>
      <c r="K103" s="41"/>
      <c r="L103" s="41"/>
      <c r="M103" s="41"/>
      <c r="N103" s="41"/>
      <c r="O103" s="41"/>
      <c r="P103" s="41"/>
    </row>
    <row r="104" spans="1:16" s="130" customFormat="1" ht="21.75" customHeight="1">
      <c r="A104" s="229"/>
      <c r="B104" s="230">
        <v>70005</v>
      </c>
      <c r="C104" s="129" t="s">
        <v>93</v>
      </c>
      <c r="D104" s="43">
        <f t="shared" si="6"/>
        <v>0</v>
      </c>
      <c r="E104" s="43"/>
      <c r="F104" s="43"/>
      <c r="G104" s="43"/>
      <c r="H104" s="43">
        <v>-10524</v>
      </c>
      <c r="I104" s="43">
        <v>10524</v>
      </c>
      <c r="J104" s="43"/>
      <c r="K104" s="43"/>
      <c r="L104" s="43"/>
      <c r="M104" s="43"/>
      <c r="N104" s="43"/>
      <c r="O104" s="43"/>
      <c r="P104" s="43"/>
    </row>
    <row r="105" spans="1:16" s="133" customFormat="1" ht="18.75" customHeight="1">
      <c r="A105" s="42"/>
      <c r="B105" s="42"/>
      <c r="C105" s="131" t="s">
        <v>267</v>
      </c>
      <c r="D105" s="132">
        <f t="shared" si="6"/>
        <v>0</v>
      </c>
      <c r="E105" s="132"/>
      <c r="F105" s="132"/>
      <c r="G105" s="132">
        <f aca="true" t="shared" si="7" ref="G105:I107">G106</f>
        <v>-142202</v>
      </c>
      <c r="H105" s="132">
        <f t="shared" si="7"/>
        <v>-138967</v>
      </c>
      <c r="I105" s="132">
        <f t="shared" si="7"/>
        <v>281169</v>
      </c>
      <c r="J105" s="132"/>
      <c r="K105" s="132"/>
      <c r="L105" s="132"/>
      <c r="M105" s="132"/>
      <c r="N105" s="132"/>
      <c r="O105" s="132"/>
      <c r="P105" s="132"/>
    </row>
    <row r="106" spans="1:16" s="130" customFormat="1" ht="19.5" customHeight="1" thickBot="1">
      <c r="A106" s="44"/>
      <c r="B106" s="44"/>
      <c r="C106" s="134" t="s">
        <v>51</v>
      </c>
      <c r="D106" s="135">
        <f t="shared" si="6"/>
        <v>0</v>
      </c>
      <c r="E106" s="135"/>
      <c r="F106" s="135"/>
      <c r="G106" s="135">
        <f t="shared" si="7"/>
        <v>-142202</v>
      </c>
      <c r="H106" s="135">
        <f t="shared" si="7"/>
        <v>-138967</v>
      </c>
      <c r="I106" s="135">
        <f t="shared" si="7"/>
        <v>281169</v>
      </c>
      <c r="J106" s="135"/>
      <c r="K106" s="135"/>
      <c r="L106" s="135"/>
      <c r="M106" s="135"/>
      <c r="N106" s="135"/>
      <c r="O106" s="135"/>
      <c r="P106" s="135"/>
    </row>
    <row r="107" spans="1:16" s="22" customFormat="1" ht="36" customHeight="1" thickTop="1">
      <c r="A107" s="38">
        <v>754</v>
      </c>
      <c r="B107" s="39"/>
      <c r="C107" s="40" t="s">
        <v>52</v>
      </c>
      <c r="D107" s="41">
        <f t="shared" si="6"/>
        <v>0</v>
      </c>
      <c r="E107" s="41"/>
      <c r="F107" s="41"/>
      <c r="G107" s="41">
        <f t="shared" si="7"/>
        <v>-142202</v>
      </c>
      <c r="H107" s="41">
        <f t="shared" si="7"/>
        <v>-138967</v>
      </c>
      <c r="I107" s="41">
        <f t="shared" si="7"/>
        <v>281169</v>
      </c>
      <c r="J107" s="41"/>
      <c r="K107" s="41"/>
      <c r="L107" s="41"/>
      <c r="M107" s="41"/>
      <c r="N107" s="41"/>
      <c r="O107" s="41"/>
      <c r="P107" s="41"/>
    </row>
    <row r="108" spans="1:16" s="130" customFormat="1" ht="21.75" customHeight="1">
      <c r="A108" s="230"/>
      <c r="B108" s="230">
        <v>75416</v>
      </c>
      <c r="C108" s="129" t="s">
        <v>268</v>
      </c>
      <c r="D108" s="43">
        <f t="shared" si="6"/>
        <v>0</v>
      </c>
      <c r="E108" s="43"/>
      <c r="F108" s="43"/>
      <c r="G108" s="43">
        <v>-142202</v>
      </c>
      <c r="H108" s="43">
        <v>-138967</v>
      </c>
      <c r="I108" s="43">
        <v>281169</v>
      </c>
      <c r="J108" s="43"/>
      <c r="K108" s="43"/>
      <c r="L108" s="43"/>
      <c r="M108" s="43"/>
      <c r="N108" s="43"/>
      <c r="O108" s="43"/>
      <c r="P108" s="43"/>
    </row>
    <row r="109" spans="1:16" s="133" customFormat="1" ht="35.25" customHeight="1">
      <c r="A109" s="42"/>
      <c r="B109" s="42"/>
      <c r="C109" s="131" t="s">
        <v>612</v>
      </c>
      <c r="D109" s="132">
        <f t="shared" si="6"/>
        <v>0</v>
      </c>
      <c r="E109" s="132"/>
      <c r="F109" s="132"/>
      <c r="G109" s="132"/>
      <c r="H109" s="132"/>
      <c r="I109" s="132">
        <f aca="true" t="shared" si="8" ref="I109:J111">I110</f>
        <v>15000</v>
      </c>
      <c r="J109" s="132">
        <f t="shared" si="8"/>
        <v>-15000</v>
      </c>
      <c r="K109" s="132"/>
      <c r="L109" s="132"/>
      <c r="M109" s="132"/>
      <c r="N109" s="132"/>
      <c r="O109" s="132"/>
      <c r="P109" s="132"/>
    </row>
    <row r="110" spans="1:16" s="130" customFormat="1" ht="21.75" customHeight="1" thickBot="1">
      <c r="A110" s="44"/>
      <c r="B110" s="44"/>
      <c r="C110" s="134" t="s">
        <v>51</v>
      </c>
      <c r="D110" s="135">
        <f t="shared" si="6"/>
        <v>0</v>
      </c>
      <c r="E110" s="135"/>
      <c r="F110" s="135"/>
      <c r="G110" s="135"/>
      <c r="H110" s="135"/>
      <c r="I110" s="135">
        <f t="shared" si="8"/>
        <v>15000</v>
      </c>
      <c r="J110" s="135">
        <f t="shared" si="8"/>
        <v>-15000</v>
      </c>
      <c r="K110" s="135"/>
      <c r="L110" s="135"/>
      <c r="M110" s="135"/>
      <c r="N110" s="135"/>
      <c r="O110" s="135"/>
      <c r="P110" s="135"/>
    </row>
    <row r="111" spans="1:16" s="22" customFormat="1" ht="24" customHeight="1" thickTop="1">
      <c r="A111" s="38">
        <v>852</v>
      </c>
      <c r="B111" s="39"/>
      <c r="C111" s="40" t="s">
        <v>59</v>
      </c>
      <c r="D111" s="41">
        <f t="shared" si="6"/>
        <v>0</v>
      </c>
      <c r="E111" s="41"/>
      <c r="F111" s="41"/>
      <c r="G111" s="41"/>
      <c r="H111" s="41"/>
      <c r="I111" s="41">
        <f t="shared" si="8"/>
        <v>15000</v>
      </c>
      <c r="J111" s="41">
        <f t="shared" si="8"/>
        <v>-15000</v>
      </c>
      <c r="K111" s="41"/>
      <c r="L111" s="41"/>
      <c r="M111" s="41"/>
      <c r="N111" s="41"/>
      <c r="O111" s="41"/>
      <c r="P111" s="41"/>
    </row>
    <row r="112" spans="1:16" s="130" customFormat="1" ht="21.75" customHeight="1">
      <c r="A112" s="608"/>
      <c r="B112" s="608">
        <v>85202</v>
      </c>
      <c r="C112" s="609" t="s">
        <v>427</v>
      </c>
      <c r="D112" s="43">
        <f t="shared" si="6"/>
        <v>0</v>
      </c>
      <c r="E112" s="43"/>
      <c r="F112" s="43"/>
      <c r="G112" s="43"/>
      <c r="H112" s="43"/>
      <c r="I112" s="43">
        <v>15000</v>
      </c>
      <c r="J112" s="43">
        <v>-15000</v>
      </c>
      <c r="K112" s="43"/>
      <c r="L112" s="43"/>
      <c r="M112" s="43"/>
      <c r="N112" s="43"/>
      <c r="O112" s="43"/>
      <c r="P112" s="43"/>
    </row>
    <row r="113" spans="1:16" s="133" customFormat="1" ht="30.75" customHeight="1">
      <c r="A113" s="42"/>
      <c r="B113" s="42"/>
      <c r="C113" s="131" t="s">
        <v>613</v>
      </c>
      <c r="D113" s="132">
        <f t="shared" si="6"/>
        <v>-600</v>
      </c>
      <c r="E113" s="132"/>
      <c r="F113" s="132"/>
      <c r="G113" s="132"/>
      <c r="H113" s="132"/>
      <c r="I113" s="132">
        <f>I114</f>
        <v>-600</v>
      </c>
      <c r="J113" s="132"/>
      <c r="K113" s="132"/>
      <c r="L113" s="132"/>
      <c r="M113" s="132"/>
      <c r="N113" s="132"/>
      <c r="O113" s="132"/>
      <c r="P113" s="132"/>
    </row>
    <row r="114" spans="1:16" s="22" customFormat="1" ht="18.75" customHeight="1" thickBot="1">
      <c r="A114" s="35"/>
      <c r="B114" s="35"/>
      <c r="C114" s="36" t="s">
        <v>51</v>
      </c>
      <c r="D114" s="37">
        <f t="shared" si="6"/>
        <v>-600</v>
      </c>
      <c r="E114" s="37"/>
      <c r="F114" s="37"/>
      <c r="G114" s="37"/>
      <c r="H114" s="37"/>
      <c r="I114" s="37">
        <f>I115</f>
        <v>-600</v>
      </c>
      <c r="J114" s="37"/>
      <c r="K114" s="37"/>
      <c r="L114" s="37"/>
      <c r="M114" s="37"/>
      <c r="N114" s="37"/>
      <c r="O114" s="37"/>
      <c r="P114" s="37"/>
    </row>
    <row r="115" spans="1:16" s="22" customFormat="1" ht="16.5" thickTop="1">
      <c r="A115" s="38">
        <v>851</v>
      </c>
      <c r="B115" s="39"/>
      <c r="C115" s="40" t="s">
        <v>61</v>
      </c>
      <c r="D115" s="41">
        <f t="shared" si="6"/>
        <v>-600</v>
      </c>
      <c r="E115" s="41"/>
      <c r="F115" s="41"/>
      <c r="G115" s="41"/>
      <c r="H115" s="41"/>
      <c r="I115" s="41">
        <f>I116</f>
        <v>-600</v>
      </c>
      <c r="J115" s="41"/>
      <c r="K115" s="41"/>
      <c r="L115" s="41"/>
      <c r="M115" s="41"/>
      <c r="N115" s="41"/>
      <c r="O115" s="41"/>
      <c r="P115" s="41"/>
    </row>
    <row r="116" spans="1:16" s="130" customFormat="1" ht="21.75" customHeight="1">
      <c r="A116" s="229"/>
      <c r="B116" s="230">
        <v>85195</v>
      </c>
      <c r="C116" s="129" t="s">
        <v>57</v>
      </c>
      <c r="D116" s="43">
        <f t="shared" si="6"/>
        <v>-600</v>
      </c>
      <c r="E116" s="43"/>
      <c r="F116" s="43"/>
      <c r="G116" s="43"/>
      <c r="H116" s="43"/>
      <c r="I116" s="43">
        <v>-600</v>
      </c>
      <c r="J116" s="43"/>
      <c r="K116" s="43"/>
      <c r="L116" s="43"/>
      <c r="M116" s="43"/>
      <c r="N116" s="43"/>
      <c r="O116" s="43"/>
      <c r="P116" s="43"/>
    </row>
    <row r="117" spans="1:16" s="33" customFormat="1" ht="21.75" customHeight="1">
      <c r="A117" s="30"/>
      <c r="B117" s="30"/>
      <c r="C117" s="31" t="s">
        <v>614</v>
      </c>
      <c r="D117" s="32">
        <f t="shared" si="6"/>
        <v>5871</v>
      </c>
      <c r="E117" s="32"/>
      <c r="F117" s="32"/>
      <c r="G117" s="32">
        <f>G118+G128</f>
        <v>-10176</v>
      </c>
      <c r="H117" s="32">
        <f>H118+H128</f>
        <v>-155405</v>
      </c>
      <c r="I117" s="32">
        <f aca="true" t="shared" si="9" ref="I117:P117">I118+I128</f>
        <v>512045</v>
      </c>
      <c r="J117" s="32">
        <f t="shared" si="9"/>
        <v>-2860</v>
      </c>
      <c r="K117" s="32">
        <f t="shared" si="9"/>
        <v>480</v>
      </c>
      <c r="L117" s="32">
        <f t="shared" si="9"/>
        <v>-1078</v>
      </c>
      <c r="M117" s="32">
        <f t="shared" si="9"/>
        <v>480</v>
      </c>
      <c r="N117" s="32">
        <f t="shared" si="9"/>
        <v>-128378</v>
      </c>
      <c r="O117" s="32">
        <f t="shared" si="9"/>
        <v>-101246</v>
      </c>
      <c r="P117" s="32">
        <f t="shared" si="9"/>
        <v>-107991</v>
      </c>
    </row>
    <row r="118" spans="1:16" s="22" customFormat="1" ht="19.5" customHeight="1" thickBot="1">
      <c r="A118" s="35"/>
      <c r="B118" s="35"/>
      <c r="C118" s="36" t="s">
        <v>51</v>
      </c>
      <c r="D118" s="37">
        <f t="shared" si="6"/>
        <v>5871</v>
      </c>
      <c r="E118" s="37"/>
      <c r="F118" s="37"/>
      <c r="G118" s="37">
        <f>G119+G121</f>
        <v>-10176</v>
      </c>
      <c r="H118" s="37">
        <f aca="true" t="shared" si="10" ref="H118:P118">H119+H121</f>
        <v>-150515</v>
      </c>
      <c r="I118" s="37">
        <f t="shared" si="10"/>
        <v>543861</v>
      </c>
      <c r="J118" s="37">
        <f t="shared" si="10"/>
        <v>-2860</v>
      </c>
      <c r="K118" s="37">
        <f t="shared" si="10"/>
        <v>480</v>
      </c>
      <c r="L118" s="37">
        <f t="shared" si="10"/>
        <v>-1078</v>
      </c>
      <c r="M118" s="37">
        <f t="shared" si="10"/>
        <v>480</v>
      </c>
      <c r="N118" s="37">
        <f t="shared" si="10"/>
        <v>-128378</v>
      </c>
      <c r="O118" s="37">
        <f t="shared" si="10"/>
        <v>-101246</v>
      </c>
      <c r="P118" s="37">
        <f t="shared" si="10"/>
        <v>-144697</v>
      </c>
    </row>
    <row r="119" spans="1:16" s="450" customFormat="1" ht="21.75" customHeight="1" thickTop="1">
      <c r="A119" s="446">
        <v>851</v>
      </c>
      <c r="B119" s="447"/>
      <c r="C119" s="448" t="s">
        <v>61</v>
      </c>
      <c r="D119" s="449">
        <f t="shared" si="6"/>
        <v>4700</v>
      </c>
      <c r="E119" s="449"/>
      <c r="F119" s="449"/>
      <c r="G119" s="449"/>
      <c r="H119" s="449"/>
      <c r="I119" s="449">
        <f aca="true" t="shared" si="11" ref="I119:P119">I120</f>
        <v>960</v>
      </c>
      <c r="J119" s="449">
        <f t="shared" si="11"/>
        <v>480</v>
      </c>
      <c r="K119" s="449">
        <f t="shared" si="11"/>
        <v>480</v>
      </c>
      <c r="L119" s="449">
        <f t="shared" si="11"/>
        <v>480</v>
      </c>
      <c r="M119" s="449">
        <f t="shared" si="11"/>
        <v>480</v>
      </c>
      <c r="N119" s="449">
        <f t="shared" si="11"/>
        <v>480</v>
      </c>
      <c r="O119" s="449">
        <f t="shared" si="11"/>
        <v>480</v>
      </c>
      <c r="P119" s="449">
        <f t="shared" si="11"/>
        <v>860</v>
      </c>
    </row>
    <row r="120" spans="1:16" s="130" customFormat="1" ht="21.75" customHeight="1">
      <c r="A120" s="230"/>
      <c r="B120" s="230">
        <v>85154</v>
      </c>
      <c r="C120" s="129" t="s">
        <v>86</v>
      </c>
      <c r="D120" s="43">
        <f aca="true" t="shared" si="12" ref="D120:D175">SUM(E120:P120)</f>
        <v>4700</v>
      </c>
      <c r="E120" s="43"/>
      <c r="F120" s="43"/>
      <c r="G120" s="43"/>
      <c r="H120" s="43"/>
      <c r="I120" s="43">
        <v>960</v>
      </c>
      <c r="J120" s="43">
        <v>480</v>
      </c>
      <c r="K120" s="43">
        <v>480</v>
      </c>
      <c r="L120" s="43">
        <v>480</v>
      </c>
      <c r="M120" s="43">
        <v>480</v>
      </c>
      <c r="N120" s="43">
        <v>480</v>
      </c>
      <c r="O120" s="43">
        <v>480</v>
      </c>
      <c r="P120" s="43">
        <v>860</v>
      </c>
    </row>
    <row r="121" spans="1:16" s="450" customFormat="1" ht="21.75" customHeight="1">
      <c r="A121" s="446">
        <v>852</v>
      </c>
      <c r="B121" s="447"/>
      <c r="C121" s="448" t="s">
        <v>59</v>
      </c>
      <c r="D121" s="449">
        <f t="shared" si="12"/>
        <v>1171</v>
      </c>
      <c r="E121" s="449"/>
      <c r="F121" s="449"/>
      <c r="G121" s="449">
        <f>SUM(G122:G127)</f>
        <v>-10176</v>
      </c>
      <c r="H121" s="449">
        <f aca="true" t="shared" si="13" ref="H121:P121">SUM(H122:H127)</f>
        <v>-150515</v>
      </c>
      <c r="I121" s="449">
        <f t="shared" si="13"/>
        <v>542901</v>
      </c>
      <c r="J121" s="449">
        <f t="shared" si="13"/>
        <v>-3340</v>
      </c>
      <c r="K121" s="449"/>
      <c r="L121" s="449">
        <f t="shared" si="13"/>
        <v>-1558</v>
      </c>
      <c r="M121" s="449"/>
      <c r="N121" s="449">
        <f t="shared" si="13"/>
        <v>-128858</v>
      </c>
      <c r="O121" s="449">
        <f t="shared" si="13"/>
        <v>-101726</v>
      </c>
      <c r="P121" s="449">
        <f t="shared" si="13"/>
        <v>-145557</v>
      </c>
    </row>
    <row r="122" spans="1:16" s="130" customFormat="1" ht="24.75" customHeight="1">
      <c r="A122" s="229"/>
      <c r="B122" s="230">
        <v>85201</v>
      </c>
      <c r="C122" s="475" t="s">
        <v>560</v>
      </c>
      <c r="D122" s="43">
        <f t="shared" si="12"/>
        <v>0</v>
      </c>
      <c r="E122" s="43"/>
      <c r="F122" s="43"/>
      <c r="G122" s="43"/>
      <c r="H122" s="43"/>
      <c r="I122" s="43">
        <v>3284</v>
      </c>
      <c r="J122" s="43"/>
      <c r="K122" s="43"/>
      <c r="L122" s="43">
        <v>-1558</v>
      </c>
      <c r="M122" s="43"/>
      <c r="N122" s="43"/>
      <c r="O122" s="43">
        <v>-1726</v>
      </c>
      <c r="P122" s="43"/>
    </row>
    <row r="123" spans="1:16" s="130" customFormat="1" ht="24.75" customHeight="1">
      <c r="A123" s="462"/>
      <c r="B123" s="1226">
        <v>85202</v>
      </c>
      <c r="C123" s="875" t="s">
        <v>427</v>
      </c>
      <c r="D123" s="1227">
        <f t="shared" si="12"/>
        <v>0</v>
      </c>
      <c r="E123" s="1227"/>
      <c r="F123" s="1227"/>
      <c r="G123" s="1227">
        <v>-10176</v>
      </c>
      <c r="H123" s="1227"/>
      <c r="I123" s="1227">
        <v>25515</v>
      </c>
      <c r="J123" s="1227">
        <v>-15339</v>
      </c>
      <c r="K123" s="1227"/>
      <c r="L123" s="1227"/>
      <c r="M123" s="1227"/>
      <c r="N123" s="1227"/>
      <c r="O123" s="1227"/>
      <c r="P123" s="1227"/>
    </row>
    <row r="124" spans="1:16" s="130" customFormat="1" ht="36" customHeight="1">
      <c r="A124" s="462"/>
      <c r="B124" s="876">
        <v>85214</v>
      </c>
      <c r="C124" s="874" t="s">
        <v>590</v>
      </c>
      <c r="D124" s="463">
        <f t="shared" si="12"/>
        <v>0</v>
      </c>
      <c r="E124" s="463"/>
      <c r="F124" s="463"/>
      <c r="G124" s="463"/>
      <c r="H124" s="463">
        <v>-134073</v>
      </c>
      <c r="I124" s="463">
        <v>155775</v>
      </c>
      <c r="J124" s="463"/>
      <c r="K124" s="463"/>
      <c r="L124" s="463"/>
      <c r="M124" s="463"/>
      <c r="N124" s="463">
        <v>-21702</v>
      </c>
      <c r="O124" s="463"/>
      <c r="P124" s="463"/>
    </row>
    <row r="125" spans="1:16" s="130" customFormat="1" ht="24.75" customHeight="1">
      <c r="A125" s="462"/>
      <c r="B125" s="230">
        <v>85219</v>
      </c>
      <c r="C125" s="475" t="s">
        <v>540</v>
      </c>
      <c r="D125" s="463">
        <f t="shared" si="12"/>
        <v>1171</v>
      </c>
      <c r="E125" s="463"/>
      <c r="F125" s="463"/>
      <c r="G125" s="463"/>
      <c r="H125" s="463">
        <v>-11999</v>
      </c>
      <c r="I125" s="463">
        <v>1171</v>
      </c>
      <c r="J125" s="463">
        <v>11999</v>
      </c>
      <c r="K125" s="463"/>
      <c r="L125" s="463"/>
      <c r="M125" s="463"/>
      <c r="N125" s="463"/>
      <c r="O125" s="463"/>
      <c r="P125" s="463"/>
    </row>
    <row r="126" spans="1:16" s="130" customFormat="1" ht="36" customHeight="1">
      <c r="A126" s="462"/>
      <c r="B126" s="608">
        <v>85228</v>
      </c>
      <c r="C126" s="609" t="s">
        <v>539</v>
      </c>
      <c r="D126" s="463">
        <f t="shared" si="12"/>
        <v>0</v>
      </c>
      <c r="E126" s="463"/>
      <c r="F126" s="463"/>
      <c r="G126" s="463"/>
      <c r="H126" s="463"/>
      <c r="I126" s="463">
        <v>307156</v>
      </c>
      <c r="J126" s="463"/>
      <c r="K126" s="463"/>
      <c r="L126" s="463"/>
      <c r="M126" s="463"/>
      <c r="N126" s="463">
        <v>-107156</v>
      </c>
      <c r="O126" s="463">
        <v>-100000</v>
      </c>
      <c r="P126" s="463">
        <v>-100000</v>
      </c>
    </row>
    <row r="127" spans="1:16" s="130" customFormat="1" ht="24.75" customHeight="1">
      <c r="A127" s="462"/>
      <c r="B127" s="30">
        <v>85295</v>
      </c>
      <c r="C127" s="875" t="s">
        <v>57</v>
      </c>
      <c r="D127" s="463">
        <f t="shared" si="12"/>
        <v>0</v>
      </c>
      <c r="E127" s="463"/>
      <c r="F127" s="463"/>
      <c r="G127" s="463"/>
      <c r="H127" s="463">
        <v>-4443</v>
      </c>
      <c r="I127" s="463">
        <v>50000</v>
      </c>
      <c r="J127" s="463"/>
      <c r="K127" s="463"/>
      <c r="L127" s="463"/>
      <c r="M127" s="463"/>
      <c r="N127" s="463"/>
      <c r="O127" s="463"/>
      <c r="P127" s="463">
        <v>-45557</v>
      </c>
    </row>
    <row r="128" spans="1:16" s="468" customFormat="1" ht="36" customHeight="1" thickBot="1">
      <c r="A128" s="464"/>
      <c r="B128" s="465"/>
      <c r="C128" s="466" t="s">
        <v>90</v>
      </c>
      <c r="D128" s="467">
        <f t="shared" si="12"/>
        <v>0</v>
      </c>
      <c r="E128" s="467"/>
      <c r="F128" s="467"/>
      <c r="G128" s="467"/>
      <c r="H128" s="467">
        <f>H129</f>
        <v>-4890</v>
      </c>
      <c r="I128" s="467">
        <f>I129</f>
        <v>-31816</v>
      </c>
      <c r="J128" s="467"/>
      <c r="K128" s="467"/>
      <c r="L128" s="467"/>
      <c r="M128" s="467"/>
      <c r="N128" s="467"/>
      <c r="O128" s="467"/>
      <c r="P128" s="467">
        <f>P129</f>
        <v>36706</v>
      </c>
    </row>
    <row r="129" spans="1:16" s="450" customFormat="1" ht="21.75" customHeight="1" thickTop="1">
      <c r="A129" s="446">
        <v>852</v>
      </c>
      <c r="B129" s="447"/>
      <c r="C129" s="448" t="s">
        <v>59</v>
      </c>
      <c r="D129" s="449">
        <f>SUM(E129:P129)</f>
        <v>0</v>
      </c>
      <c r="E129" s="449"/>
      <c r="F129" s="449"/>
      <c r="G129" s="449"/>
      <c r="H129" s="449">
        <f>H130</f>
        <v>-4890</v>
      </c>
      <c r="I129" s="449">
        <f>I130</f>
        <v>-31816</v>
      </c>
      <c r="J129" s="449"/>
      <c r="K129" s="449"/>
      <c r="L129" s="449"/>
      <c r="M129" s="449"/>
      <c r="N129" s="449"/>
      <c r="O129" s="449"/>
      <c r="P129" s="449">
        <f>P130</f>
        <v>36706</v>
      </c>
    </row>
    <row r="130" spans="1:16" s="130" customFormat="1" ht="32.25" customHeight="1">
      <c r="A130" s="462"/>
      <c r="B130" s="230">
        <v>85228</v>
      </c>
      <c r="C130" s="475" t="s">
        <v>539</v>
      </c>
      <c r="D130" s="43">
        <f>SUM(E130:P130)</f>
        <v>0</v>
      </c>
      <c r="E130" s="43"/>
      <c r="F130" s="43"/>
      <c r="G130" s="43"/>
      <c r="H130" s="43">
        <v>-4890</v>
      </c>
      <c r="I130" s="43">
        <v>-31816</v>
      </c>
      <c r="J130" s="43"/>
      <c r="K130" s="43"/>
      <c r="L130" s="43"/>
      <c r="M130" s="43"/>
      <c r="N130" s="43"/>
      <c r="O130" s="43"/>
      <c r="P130" s="43">
        <v>36706</v>
      </c>
    </row>
    <row r="131" spans="1:16" s="33" customFormat="1" ht="26.25" customHeight="1">
      <c r="A131" s="30"/>
      <c r="B131" s="30"/>
      <c r="C131" s="31" t="s">
        <v>615</v>
      </c>
      <c r="D131" s="32">
        <f t="shared" si="12"/>
        <v>0</v>
      </c>
      <c r="E131" s="32"/>
      <c r="F131" s="32"/>
      <c r="G131" s="32">
        <f aca="true" t="shared" si="14" ref="G131:P131">G132+G135</f>
        <v>-66693</v>
      </c>
      <c r="H131" s="32">
        <f t="shared" si="14"/>
        <v>-80802</v>
      </c>
      <c r="I131" s="32">
        <f t="shared" si="14"/>
        <v>9736</v>
      </c>
      <c r="J131" s="32">
        <f t="shared" si="14"/>
        <v>100000</v>
      </c>
      <c r="K131" s="32"/>
      <c r="L131" s="32">
        <f t="shared" si="14"/>
        <v>25896</v>
      </c>
      <c r="M131" s="32"/>
      <c r="N131" s="32"/>
      <c r="O131" s="32"/>
      <c r="P131" s="32">
        <f t="shared" si="14"/>
        <v>11863</v>
      </c>
    </row>
    <row r="132" spans="1:16" s="130" customFormat="1" ht="20.25" customHeight="1" thickBot="1">
      <c r="A132" s="44"/>
      <c r="B132" s="44"/>
      <c r="C132" s="134" t="s">
        <v>51</v>
      </c>
      <c r="D132" s="135">
        <f t="shared" si="12"/>
        <v>0</v>
      </c>
      <c r="E132" s="135"/>
      <c r="F132" s="135"/>
      <c r="G132" s="135">
        <f aca="true" t="shared" si="15" ref="G132:J133">G133</f>
        <v>-66693</v>
      </c>
      <c r="H132" s="135">
        <f t="shared" si="15"/>
        <v>-79203</v>
      </c>
      <c r="I132" s="135">
        <f t="shared" si="15"/>
        <v>20000</v>
      </c>
      <c r="J132" s="135">
        <f t="shared" si="15"/>
        <v>100000</v>
      </c>
      <c r="K132" s="135"/>
      <c r="L132" s="135">
        <f>L133</f>
        <v>25896</v>
      </c>
      <c r="M132" s="135"/>
      <c r="N132" s="135"/>
      <c r="O132" s="135"/>
      <c r="P132" s="135"/>
    </row>
    <row r="133" spans="1:16" s="22" customFormat="1" ht="33.75" customHeight="1" thickTop="1">
      <c r="A133" s="38">
        <v>853</v>
      </c>
      <c r="B133" s="39"/>
      <c r="C133" s="40" t="s">
        <v>104</v>
      </c>
      <c r="D133" s="41">
        <f t="shared" si="12"/>
        <v>0</v>
      </c>
      <c r="E133" s="41"/>
      <c r="F133" s="41"/>
      <c r="G133" s="41">
        <f t="shared" si="15"/>
        <v>-66693</v>
      </c>
      <c r="H133" s="41">
        <f t="shared" si="15"/>
        <v>-79203</v>
      </c>
      <c r="I133" s="41">
        <f t="shared" si="15"/>
        <v>20000</v>
      </c>
      <c r="J133" s="41">
        <f t="shared" si="15"/>
        <v>100000</v>
      </c>
      <c r="K133" s="41"/>
      <c r="L133" s="41">
        <f>L134</f>
        <v>25896</v>
      </c>
      <c r="M133" s="41"/>
      <c r="N133" s="41"/>
      <c r="O133" s="41"/>
      <c r="P133" s="41"/>
    </row>
    <row r="134" spans="1:16" s="130" customFormat="1" ht="21.75" customHeight="1">
      <c r="A134" s="229"/>
      <c r="B134" s="230">
        <v>85333</v>
      </c>
      <c r="C134" s="129" t="s">
        <v>3</v>
      </c>
      <c r="D134" s="43">
        <f t="shared" si="12"/>
        <v>0</v>
      </c>
      <c r="E134" s="43"/>
      <c r="F134" s="43"/>
      <c r="G134" s="43">
        <v>-66693</v>
      </c>
      <c r="H134" s="43">
        <v>-79203</v>
      </c>
      <c r="I134" s="43">
        <v>20000</v>
      </c>
      <c r="J134" s="43">
        <v>100000</v>
      </c>
      <c r="K134" s="43"/>
      <c r="L134" s="43">
        <v>25896</v>
      </c>
      <c r="M134" s="43"/>
      <c r="N134" s="43"/>
      <c r="O134" s="43"/>
      <c r="P134" s="43"/>
    </row>
    <row r="135" spans="1:16" s="130" customFormat="1" ht="43.5" customHeight="1" thickBot="1">
      <c r="A135" s="44"/>
      <c r="B135" s="44"/>
      <c r="C135" s="134" t="s">
        <v>91</v>
      </c>
      <c r="D135" s="135">
        <f t="shared" si="12"/>
        <v>0</v>
      </c>
      <c r="E135" s="135"/>
      <c r="F135" s="135"/>
      <c r="G135" s="135"/>
      <c r="H135" s="135">
        <f>H136</f>
        <v>-1599</v>
      </c>
      <c r="I135" s="135">
        <f>I136</f>
        <v>-10264</v>
      </c>
      <c r="J135" s="135"/>
      <c r="K135" s="135"/>
      <c r="L135" s="135"/>
      <c r="M135" s="135"/>
      <c r="N135" s="135"/>
      <c r="O135" s="135"/>
      <c r="P135" s="135">
        <f>P136</f>
        <v>11863</v>
      </c>
    </row>
    <row r="136" spans="1:16" s="22" customFormat="1" ht="22.5" customHeight="1" thickTop="1">
      <c r="A136" s="38">
        <v>851</v>
      </c>
      <c r="B136" s="39"/>
      <c r="C136" s="40" t="s">
        <v>61</v>
      </c>
      <c r="D136" s="41">
        <f t="shared" si="12"/>
        <v>0</v>
      </c>
      <c r="E136" s="41"/>
      <c r="F136" s="41"/>
      <c r="G136" s="41"/>
      <c r="H136" s="41">
        <f>H137</f>
        <v>-1599</v>
      </c>
      <c r="I136" s="41">
        <f>I137</f>
        <v>-10264</v>
      </c>
      <c r="J136" s="41"/>
      <c r="K136" s="41"/>
      <c r="L136" s="41"/>
      <c r="M136" s="41"/>
      <c r="N136" s="41"/>
      <c r="O136" s="41"/>
      <c r="P136" s="41">
        <f>P137</f>
        <v>11863</v>
      </c>
    </row>
    <row r="137" spans="1:16" s="130" customFormat="1" ht="45.75" customHeight="1">
      <c r="A137" s="229"/>
      <c r="B137" s="230">
        <v>85156</v>
      </c>
      <c r="C137" s="129" t="s">
        <v>557</v>
      </c>
      <c r="D137" s="43">
        <f t="shared" si="12"/>
        <v>0</v>
      </c>
      <c r="E137" s="43"/>
      <c r="F137" s="43"/>
      <c r="G137" s="43"/>
      <c r="H137" s="43">
        <v>-1599</v>
      </c>
      <c r="I137" s="43">
        <v>-10264</v>
      </c>
      <c r="J137" s="43"/>
      <c r="K137" s="43"/>
      <c r="L137" s="43"/>
      <c r="M137" s="43"/>
      <c r="N137" s="43"/>
      <c r="O137" s="43"/>
      <c r="P137" s="43">
        <v>11863</v>
      </c>
    </row>
    <row r="138" spans="1:16" s="33" customFormat="1" ht="33.75" customHeight="1">
      <c r="A138" s="30"/>
      <c r="B138" s="30"/>
      <c r="C138" s="31" t="s">
        <v>640</v>
      </c>
      <c r="D138" s="32">
        <f>SUM(E138:P138)</f>
        <v>11337</v>
      </c>
      <c r="E138" s="32"/>
      <c r="F138" s="32"/>
      <c r="G138" s="32"/>
      <c r="H138" s="32"/>
      <c r="I138" s="32"/>
      <c r="J138" s="32">
        <f>J139</f>
        <v>11337</v>
      </c>
      <c r="K138" s="32"/>
      <c r="L138" s="32"/>
      <c r="M138" s="32"/>
      <c r="N138" s="32"/>
      <c r="O138" s="32"/>
      <c r="P138" s="32"/>
    </row>
    <row r="139" spans="1:16" s="130" customFormat="1" ht="43.5" customHeight="1" thickBot="1">
      <c r="A139" s="44"/>
      <c r="B139" s="44"/>
      <c r="C139" s="134" t="s">
        <v>91</v>
      </c>
      <c r="D139" s="135">
        <f>SUM(E139:P139)</f>
        <v>11337</v>
      </c>
      <c r="E139" s="135"/>
      <c r="F139" s="135"/>
      <c r="G139" s="135"/>
      <c r="H139" s="135"/>
      <c r="I139" s="135"/>
      <c r="J139" s="135">
        <f>J140</f>
        <v>11337</v>
      </c>
      <c r="K139" s="135"/>
      <c r="L139" s="135"/>
      <c r="M139" s="135"/>
      <c r="N139" s="135"/>
      <c r="O139" s="135"/>
      <c r="P139" s="135"/>
    </row>
    <row r="140" spans="1:16" s="22" customFormat="1" ht="22.5" customHeight="1" thickTop="1">
      <c r="A140" s="38">
        <v>710</v>
      </c>
      <c r="B140" s="39"/>
      <c r="C140" s="40" t="s">
        <v>526</v>
      </c>
      <c r="D140" s="41">
        <f>SUM(E140:P140)</f>
        <v>11337</v>
      </c>
      <c r="E140" s="41"/>
      <c r="F140" s="41"/>
      <c r="G140" s="41"/>
      <c r="H140" s="41"/>
      <c r="I140" s="41"/>
      <c r="J140" s="41">
        <f>J141</f>
        <v>11337</v>
      </c>
      <c r="K140" s="41"/>
      <c r="L140" s="41"/>
      <c r="M140" s="41"/>
      <c r="N140" s="41"/>
      <c r="O140" s="41"/>
      <c r="P140" s="41"/>
    </row>
    <row r="141" spans="1:16" s="130" customFormat="1" ht="21.75" customHeight="1">
      <c r="A141" s="229"/>
      <c r="B141" s="230">
        <v>71095</v>
      </c>
      <c r="C141" s="129" t="s">
        <v>57</v>
      </c>
      <c r="D141" s="43">
        <f>SUM(E141:P141)</f>
        <v>11337</v>
      </c>
      <c r="E141" s="43"/>
      <c r="F141" s="43"/>
      <c r="G141" s="43"/>
      <c r="H141" s="43"/>
      <c r="I141" s="43"/>
      <c r="J141" s="43">
        <v>11337</v>
      </c>
      <c r="K141" s="43"/>
      <c r="L141" s="43"/>
      <c r="M141" s="43"/>
      <c r="N141" s="43"/>
      <c r="O141" s="43"/>
      <c r="P141" s="43"/>
    </row>
    <row r="142" spans="1:16" s="176" customFormat="1" ht="20.25" customHeight="1">
      <c r="A142" s="199"/>
      <c r="B142" s="200"/>
      <c r="C142" s="201" t="s">
        <v>641</v>
      </c>
      <c r="D142" s="202">
        <f t="shared" si="12"/>
        <v>1138199</v>
      </c>
      <c r="E142" s="202"/>
      <c r="F142" s="202"/>
      <c r="G142" s="202">
        <f>G143+G179+G185+G182</f>
        <v>-1251418</v>
      </c>
      <c r="H142" s="202">
        <f aca="true" t="shared" si="16" ref="H142:P142">H143+H179+H185+H182</f>
        <v>-5652690</v>
      </c>
      <c r="I142" s="202">
        <f t="shared" si="16"/>
        <v>13914438</v>
      </c>
      <c r="J142" s="202">
        <f t="shared" si="16"/>
        <v>788150</v>
      </c>
      <c r="K142" s="202">
        <f t="shared" si="16"/>
        <v>40102</v>
      </c>
      <c r="L142" s="202">
        <f t="shared" si="16"/>
        <v>-637454</v>
      </c>
      <c r="M142" s="202">
        <f t="shared" si="16"/>
        <v>-1463861</v>
      </c>
      <c r="N142" s="202">
        <f t="shared" si="16"/>
        <v>-1178952</v>
      </c>
      <c r="O142" s="202">
        <f t="shared" si="16"/>
        <v>-2062127</v>
      </c>
      <c r="P142" s="202">
        <f t="shared" si="16"/>
        <v>-1357989</v>
      </c>
    </row>
    <row r="143" spans="1:16" s="45" customFormat="1" ht="21.75" customHeight="1" thickBot="1">
      <c r="A143" s="203"/>
      <c r="B143" s="204"/>
      <c r="C143" s="205" t="s">
        <v>51</v>
      </c>
      <c r="D143" s="206">
        <f t="shared" si="12"/>
        <v>1117484</v>
      </c>
      <c r="E143" s="206"/>
      <c r="F143" s="206"/>
      <c r="G143" s="206">
        <f>G144+G163+G166+G177</f>
        <v>-1251418</v>
      </c>
      <c r="H143" s="206">
        <f>H144+H163+H166+H177</f>
        <v>-5135715</v>
      </c>
      <c r="I143" s="206">
        <f>I144+I163+I166+I177</f>
        <v>13397463</v>
      </c>
      <c r="J143" s="206">
        <f aca="true" t="shared" si="17" ref="J143:P143">J144+J163+J166+J177</f>
        <v>767435</v>
      </c>
      <c r="K143" s="206">
        <f t="shared" si="17"/>
        <v>40102</v>
      </c>
      <c r="L143" s="206">
        <f t="shared" si="17"/>
        <v>-637454</v>
      </c>
      <c r="M143" s="206">
        <f t="shared" si="17"/>
        <v>-1463861</v>
      </c>
      <c r="N143" s="206">
        <f t="shared" si="17"/>
        <v>-1178952</v>
      </c>
      <c r="O143" s="206">
        <f t="shared" si="17"/>
        <v>-2062127</v>
      </c>
      <c r="P143" s="206">
        <f t="shared" si="17"/>
        <v>-1357989</v>
      </c>
    </row>
    <row r="144" spans="1:16" s="22" customFormat="1" ht="21.75" customHeight="1" thickTop="1">
      <c r="A144" s="41">
        <v>801</v>
      </c>
      <c r="B144" s="38"/>
      <c r="C144" s="40" t="s">
        <v>58</v>
      </c>
      <c r="D144" s="41">
        <f t="shared" si="12"/>
        <v>35228</v>
      </c>
      <c r="E144" s="41"/>
      <c r="F144" s="41"/>
      <c r="G144" s="41">
        <f>SUM(G145:G162)</f>
        <v>-1251418</v>
      </c>
      <c r="H144" s="41">
        <f>SUM(H145:H162)</f>
        <v>-4329837</v>
      </c>
      <c r="I144" s="41">
        <f aca="true" t="shared" si="18" ref="I144:P144">SUM(I145:I162)</f>
        <v>12380902</v>
      </c>
      <c r="J144" s="41">
        <f t="shared" si="18"/>
        <v>38418</v>
      </c>
      <c r="K144" s="41">
        <f t="shared" si="18"/>
        <v>-16000</v>
      </c>
      <c r="L144" s="41">
        <f t="shared" si="18"/>
        <v>-640000</v>
      </c>
      <c r="M144" s="41">
        <f t="shared" si="18"/>
        <v>-1617900</v>
      </c>
      <c r="N144" s="41">
        <f t="shared" si="18"/>
        <v>-1179251</v>
      </c>
      <c r="O144" s="41">
        <f t="shared" si="18"/>
        <v>-2084675</v>
      </c>
      <c r="P144" s="41">
        <f t="shared" si="18"/>
        <v>-1265011</v>
      </c>
    </row>
    <row r="145" spans="1:16" s="473" customFormat="1" ht="21.75" customHeight="1">
      <c r="A145" s="469"/>
      <c r="B145" s="470">
        <v>80101</v>
      </c>
      <c r="C145" s="471" t="s">
        <v>409</v>
      </c>
      <c r="D145" s="43">
        <f t="shared" si="12"/>
        <v>7258</v>
      </c>
      <c r="E145" s="472"/>
      <c r="F145" s="472"/>
      <c r="G145" s="472"/>
      <c r="H145" s="472">
        <v>-666669</v>
      </c>
      <c r="I145" s="472">
        <v>2492724</v>
      </c>
      <c r="J145" s="472">
        <v>7258</v>
      </c>
      <c r="K145" s="472"/>
      <c r="L145" s="472">
        <v>-1500</v>
      </c>
      <c r="M145" s="472">
        <v>-1006400</v>
      </c>
      <c r="N145" s="472">
        <v>-255252</v>
      </c>
      <c r="O145" s="472">
        <v>-420975</v>
      </c>
      <c r="P145" s="472">
        <v>-141928</v>
      </c>
    </row>
    <row r="146" spans="1:16" s="473" customFormat="1" ht="21.75" customHeight="1">
      <c r="A146" s="469"/>
      <c r="B146" s="470">
        <v>80102</v>
      </c>
      <c r="C146" s="471" t="s">
        <v>542</v>
      </c>
      <c r="D146" s="43">
        <f t="shared" si="12"/>
        <v>0</v>
      </c>
      <c r="E146" s="472"/>
      <c r="F146" s="472"/>
      <c r="G146" s="472"/>
      <c r="H146" s="472">
        <v>-50168</v>
      </c>
      <c r="I146" s="472">
        <v>165018</v>
      </c>
      <c r="J146" s="472"/>
      <c r="K146" s="472"/>
      <c r="L146" s="472"/>
      <c r="M146" s="472"/>
      <c r="N146" s="472"/>
      <c r="O146" s="472">
        <v>-30000</v>
      </c>
      <c r="P146" s="472">
        <v>-84850</v>
      </c>
    </row>
    <row r="147" spans="1:16" s="473" customFormat="1" ht="33.75" customHeight="1">
      <c r="A147" s="469"/>
      <c r="B147" s="470">
        <v>80103</v>
      </c>
      <c r="C147" s="471" t="s">
        <v>541</v>
      </c>
      <c r="D147" s="43">
        <f t="shared" si="12"/>
        <v>0</v>
      </c>
      <c r="E147" s="472"/>
      <c r="F147" s="472"/>
      <c r="G147" s="472"/>
      <c r="H147" s="472">
        <v>-16935</v>
      </c>
      <c r="I147" s="472">
        <v>20335</v>
      </c>
      <c r="J147" s="472"/>
      <c r="K147" s="472"/>
      <c r="L147" s="472">
        <v>-1500</v>
      </c>
      <c r="M147" s="472">
        <v>-1500</v>
      </c>
      <c r="N147" s="472"/>
      <c r="O147" s="472">
        <v>-400</v>
      </c>
      <c r="P147" s="472"/>
    </row>
    <row r="148" spans="1:16" s="473" customFormat="1" ht="21.75" customHeight="1">
      <c r="A148" s="469"/>
      <c r="B148" s="470">
        <v>80104</v>
      </c>
      <c r="C148" s="471" t="s">
        <v>406</v>
      </c>
      <c r="D148" s="43">
        <f t="shared" si="12"/>
        <v>-127090</v>
      </c>
      <c r="E148" s="472"/>
      <c r="F148" s="472"/>
      <c r="G148" s="472">
        <v>-1251418</v>
      </c>
      <c r="H148" s="472"/>
      <c r="I148" s="472">
        <v>2524328</v>
      </c>
      <c r="J148" s="472"/>
      <c r="K148" s="472"/>
      <c r="L148" s="472">
        <v>-400000</v>
      </c>
      <c r="M148" s="472">
        <v>-150000</v>
      </c>
      <c r="N148" s="472"/>
      <c r="O148" s="472">
        <v>-700000</v>
      </c>
      <c r="P148" s="472">
        <v>-150000</v>
      </c>
    </row>
    <row r="149" spans="1:16" s="473" customFormat="1" ht="21.75" customHeight="1">
      <c r="A149" s="469"/>
      <c r="B149" s="881">
        <v>80105</v>
      </c>
      <c r="C149" s="471" t="s">
        <v>543</v>
      </c>
      <c r="D149" s="461">
        <f t="shared" si="12"/>
        <v>0</v>
      </c>
      <c r="E149" s="472"/>
      <c r="F149" s="472"/>
      <c r="G149" s="472"/>
      <c r="H149" s="472">
        <v>-1951</v>
      </c>
      <c r="I149" s="472">
        <v>5951</v>
      </c>
      <c r="J149" s="472"/>
      <c r="K149" s="472"/>
      <c r="L149" s="472"/>
      <c r="M149" s="472"/>
      <c r="N149" s="472"/>
      <c r="O149" s="472"/>
      <c r="P149" s="472">
        <v>-4000</v>
      </c>
    </row>
    <row r="150" spans="1:16" s="473" customFormat="1" ht="21.75" customHeight="1">
      <c r="A150" s="469"/>
      <c r="B150" s="470">
        <v>80110</v>
      </c>
      <c r="C150" s="471" t="s">
        <v>410</v>
      </c>
      <c r="D150" s="43">
        <f t="shared" si="12"/>
        <v>39760</v>
      </c>
      <c r="E150" s="472"/>
      <c r="F150" s="472"/>
      <c r="G150" s="472"/>
      <c r="H150" s="472">
        <v>-225689</v>
      </c>
      <c r="I150" s="472">
        <v>1379189</v>
      </c>
      <c r="J150" s="472">
        <v>1760</v>
      </c>
      <c r="K150" s="472">
        <v>-12000</v>
      </c>
      <c r="L150" s="472">
        <v>-32000</v>
      </c>
      <c r="M150" s="472">
        <v>-55000</v>
      </c>
      <c r="N150" s="472">
        <v>-407000</v>
      </c>
      <c r="O150" s="472">
        <v>-258000</v>
      </c>
      <c r="P150" s="472">
        <v>-351500</v>
      </c>
    </row>
    <row r="151" spans="1:16" s="473" customFormat="1" ht="21.75" customHeight="1">
      <c r="A151" s="469"/>
      <c r="B151" s="470">
        <v>80111</v>
      </c>
      <c r="C151" s="471" t="s">
        <v>544</v>
      </c>
      <c r="D151" s="43">
        <f t="shared" si="12"/>
        <v>0</v>
      </c>
      <c r="E151" s="472"/>
      <c r="F151" s="472"/>
      <c r="G151" s="472"/>
      <c r="H151" s="472">
        <v>-71882</v>
      </c>
      <c r="I151" s="472">
        <v>130682</v>
      </c>
      <c r="J151" s="472"/>
      <c r="K151" s="472"/>
      <c r="L151" s="472"/>
      <c r="M151" s="472"/>
      <c r="N151" s="472"/>
      <c r="O151" s="472">
        <v>-11800</v>
      </c>
      <c r="P151" s="472">
        <v>-47000</v>
      </c>
    </row>
    <row r="152" spans="1:16" s="473" customFormat="1" ht="21.75" customHeight="1">
      <c r="A152" s="472"/>
      <c r="B152" s="470">
        <v>80113</v>
      </c>
      <c r="C152" s="471" t="s">
        <v>545</v>
      </c>
      <c r="D152" s="43">
        <f t="shared" si="12"/>
        <v>0</v>
      </c>
      <c r="E152" s="472"/>
      <c r="F152" s="472"/>
      <c r="G152" s="472"/>
      <c r="H152" s="472">
        <v>-48214</v>
      </c>
      <c r="I152" s="472">
        <v>48214</v>
      </c>
      <c r="J152" s="472"/>
      <c r="K152" s="472"/>
      <c r="L152" s="472"/>
      <c r="M152" s="472"/>
      <c r="N152" s="472"/>
      <c r="O152" s="472"/>
      <c r="P152" s="472"/>
    </row>
    <row r="153" spans="1:16" s="473" customFormat="1" ht="21.75" customHeight="1">
      <c r="A153" s="469"/>
      <c r="B153" s="881">
        <v>80120</v>
      </c>
      <c r="C153" s="471" t="s">
        <v>411</v>
      </c>
      <c r="D153" s="461">
        <f t="shared" si="12"/>
        <v>17900</v>
      </c>
      <c r="E153" s="472"/>
      <c r="F153" s="472"/>
      <c r="G153" s="472"/>
      <c r="H153" s="472">
        <v>-191381</v>
      </c>
      <c r="I153" s="472">
        <v>1182340</v>
      </c>
      <c r="J153" s="472"/>
      <c r="K153" s="472"/>
      <c r="L153" s="472"/>
      <c r="M153" s="472">
        <v>-200000</v>
      </c>
      <c r="N153" s="472">
        <v>-213999</v>
      </c>
      <c r="O153" s="472">
        <v>-300000</v>
      </c>
      <c r="P153" s="472">
        <v>-259060</v>
      </c>
    </row>
    <row r="154" spans="1:16" s="473" customFormat="1" ht="21.75" customHeight="1">
      <c r="A154" s="469"/>
      <c r="B154" s="470">
        <v>80121</v>
      </c>
      <c r="C154" s="471" t="s">
        <v>546</v>
      </c>
      <c r="D154" s="43">
        <f t="shared" si="12"/>
        <v>4000</v>
      </c>
      <c r="E154" s="472"/>
      <c r="F154" s="472"/>
      <c r="G154" s="472"/>
      <c r="H154" s="472"/>
      <c r="I154" s="472">
        <v>44000</v>
      </c>
      <c r="J154" s="472"/>
      <c r="K154" s="472">
        <v>-4000</v>
      </c>
      <c r="L154" s="472">
        <v>-5000</v>
      </c>
      <c r="M154" s="472">
        <v>-5000</v>
      </c>
      <c r="N154" s="472">
        <v>-3000</v>
      </c>
      <c r="O154" s="472">
        <v>-12000</v>
      </c>
      <c r="P154" s="472">
        <v>-11000</v>
      </c>
    </row>
    <row r="155" spans="1:16" s="473" customFormat="1" ht="21.75" customHeight="1">
      <c r="A155" s="469"/>
      <c r="B155" s="881">
        <v>80123</v>
      </c>
      <c r="C155" s="471" t="s">
        <v>547</v>
      </c>
      <c r="D155" s="461">
        <f t="shared" si="12"/>
        <v>9000</v>
      </c>
      <c r="E155" s="472"/>
      <c r="F155" s="472"/>
      <c r="G155" s="472"/>
      <c r="H155" s="472">
        <v>-201937</v>
      </c>
      <c r="I155" s="472">
        <v>389937</v>
      </c>
      <c r="J155" s="472"/>
      <c r="K155" s="472"/>
      <c r="L155" s="472"/>
      <c r="M155" s="472"/>
      <c r="N155" s="472">
        <v>-100000</v>
      </c>
      <c r="O155" s="472">
        <v>-79000</v>
      </c>
      <c r="P155" s="472"/>
    </row>
    <row r="156" spans="1:16" s="473" customFormat="1" ht="21.75" customHeight="1">
      <c r="A156" s="469"/>
      <c r="B156" s="470">
        <v>80124</v>
      </c>
      <c r="C156" s="471" t="s">
        <v>548</v>
      </c>
      <c r="D156" s="43">
        <f t="shared" si="12"/>
        <v>0</v>
      </c>
      <c r="E156" s="472"/>
      <c r="F156" s="472"/>
      <c r="G156" s="472"/>
      <c r="H156" s="472">
        <v>-13547</v>
      </c>
      <c r="I156" s="472">
        <v>18500</v>
      </c>
      <c r="J156" s="472"/>
      <c r="K156" s="472"/>
      <c r="L156" s="472"/>
      <c r="M156" s="472"/>
      <c r="N156" s="472"/>
      <c r="O156" s="472"/>
      <c r="P156" s="472">
        <v>-4953</v>
      </c>
    </row>
    <row r="157" spans="1:16" s="130" customFormat="1" ht="21.75" customHeight="1">
      <c r="A157" s="42"/>
      <c r="B157" s="230">
        <v>80130</v>
      </c>
      <c r="C157" s="129" t="s">
        <v>107</v>
      </c>
      <c r="D157" s="43">
        <f t="shared" si="12"/>
        <v>65400</v>
      </c>
      <c r="E157" s="43"/>
      <c r="F157" s="43"/>
      <c r="G157" s="43"/>
      <c r="H157" s="43">
        <v>-688537</v>
      </c>
      <c r="I157" s="43">
        <v>1448337</v>
      </c>
      <c r="J157" s="43">
        <v>29400</v>
      </c>
      <c r="K157" s="43"/>
      <c r="L157" s="43"/>
      <c r="M157" s="43">
        <v>-200000</v>
      </c>
      <c r="N157" s="43">
        <v>-200000</v>
      </c>
      <c r="O157" s="43">
        <v>-180000</v>
      </c>
      <c r="P157" s="43">
        <v>-143800</v>
      </c>
    </row>
    <row r="158" spans="1:16" s="130" customFormat="1" ht="21.75" customHeight="1">
      <c r="A158" s="42"/>
      <c r="B158" s="44">
        <v>80132</v>
      </c>
      <c r="C158" s="460" t="s">
        <v>549</v>
      </c>
      <c r="D158" s="43">
        <f t="shared" si="12"/>
        <v>8000</v>
      </c>
      <c r="E158" s="461"/>
      <c r="F158" s="461"/>
      <c r="G158" s="461"/>
      <c r="H158" s="461">
        <v>-32209</v>
      </c>
      <c r="I158" s="461">
        <v>54209</v>
      </c>
      <c r="J158" s="461"/>
      <c r="K158" s="461"/>
      <c r="L158" s="461"/>
      <c r="M158" s="461"/>
      <c r="N158" s="461"/>
      <c r="O158" s="461"/>
      <c r="P158" s="461">
        <v>-14000</v>
      </c>
    </row>
    <row r="159" spans="1:16" s="130" customFormat="1" ht="21.75" customHeight="1">
      <c r="A159" s="42"/>
      <c r="B159" s="44">
        <v>80134</v>
      </c>
      <c r="C159" s="460" t="s">
        <v>550</v>
      </c>
      <c r="D159" s="43">
        <f t="shared" si="12"/>
        <v>6000</v>
      </c>
      <c r="E159" s="461"/>
      <c r="F159" s="461"/>
      <c r="G159" s="461"/>
      <c r="H159" s="461">
        <v>-14407</v>
      </c>
      <c r="I159" s="461">
        <v>25407</v>
      </c>
      <c r="J159" s="461"/>
      <c r="K159" s="461"/>
      <c r="L159" s="461"/>
      <c r="M159" s="461"/>
      <c r="N159" s="461"/>
      <c r="O159" s="461">
        <v>-2500</v>
      </c>
      <c r="P159" s="461">
        <v>-2500</v>
      </c>
    </row>
    <row r="160" spans="1:16" s="130" customFormat="1" ht="47.25" customHeight="1">
      <c r="A160" s="42"/>
      <c r="B160" s="44">
        <v>80140</v>
      </c>
      <c r="C160" s="460" t="s">
        <v>442</v>
      </c>
      <c r="D160" s="43">
        <f t="shared" si="12"/>
        <v>5000</v>
      </c>
      <c r="E160" s="461"/>
      <c r="F160" s="461"/>
      <c r="G160" s="461"/>
      <c r="H160" s="461">
        <v>-170802</v>
      </c>
      <c r="I160" s="461">
        <v>516222</v>
      </c>
      <c r="J160" s="461"/>
      <c r="K160" s="461"/>
      <c r="L160" s="461">
        <v>-200000</v>
      </c>
      <c r="M160" s="461"/>
      <c r="N160" s="461"/>
      <c r="O160" s="461">
        <v>-90000</v>
      </c>
      <c r="P160" s="461">
        <v>-50420</v>
      </c>
    </row>
    <row r="161" spans="1:16" s="130" customFormat="1" ht="20.25" customHeight="1">
      <c r="A161" s="42"/>
      <c r="B161" s="44">
        <v>80146</v>
      </c>
      <c r="C161" s="460" t="s">
        <v>413</v>
      </c>
      <c r="D161" s="43">
        <f t="shared" si="12"/>
        <v>0</v>
      </c>
      <c r="E161" s="461"/>
      <c r="F161" s="461"/>
      <c r="G161" s="461"/>
      <c r="H161" s="461">
        <v>-356311</v>
      </c>
      <c r="I161" s="461">
        <v>356311</v>
      </c>
      <c r="J161" s="461"/>
      <c r="K161" s="461"/>
      <c r="L161" s="461"/>
      <c r="M161" s="461"/>
      <c r="N161" s="461"/>
      <c r="O161" s="461"/>
      <c r="P161" s="461"/>
    </row>
    <row r="162" spans="1:16" s="130" customFormat="1" ht="20.25" customHeight="1">
      <c r="A162" s="42"/>
      <c r="B162" s="44">
        <v>80195</v>
      </c>
      <c r="C162" s="460" t="s">
        <v>57</v>
      </c>
      <c r="D162" s="43">
        <f t="shared" si="12"/>
        <v>0</v>
      </c>
      <c r="E162" s="461"/>
      <c r="F162" s="461"/>
      <c r="G162" s="461"/>
      <c r="H162" s="461">
        <v>-1579198</v>
      </c>
      <c r="I162" s="461">
        <v>1579198</v>
      </c>
      <c r="J162" s="461"/>
      <c r="K162" s="461"/>
      <c r="L162" s="461"/>
      <c r="M162" s="461"/>
      <c r="N162" s="461"/>
      <c r="O162" s="461"/>
      <c r="P162" s="461"/>
    </row>
    <row r="163" spans="1:16" s="22" customFormat="1" ht="21.75" customHeight="1">
      <c r="A163" s="38">
        <v>851</v>
      </c>
      <c r="B163" s="39"/>
      <c r="C163" s="40" t="s">
        <v>61</v>
      </c>
      <c r="D163" s="41">
        <f t="shared" si="12"/>
        <v>190700</v>
      </c>
      <c r="E163" s="41"/>
      <c r="F163" s="41"/>
      <c r="G163" s="41"/>
      <c r="H163" s="41">
        <f>SUM(H164:H165)</f>
        <v>-56231</v>
      </c>
      <c r="I163" s="41">
        <f>SUM(I164:I165)</f>
        <v>63987</v>
      </c>
      <c r="J163" s="41">
        <f aca="true" t="shared" si="19" ref="J163:P163">SUM(J164:J165)</f>
        <v>36161</v>
      </c>
      <c r="K163" s="41">
        <f t="shared" si="19"/>
        <v>57102</v>
      </c>
      <c r="L163" s="41">
        <f t="shared" si="19"/>
        <v>3546</v>
      </c>
      <c r="M163" s="41">
        <f t="shared" si="19"/>
        <v>15039</v>
      </c>
      <c r="N163" s="41">
        <f t="shared" si="19"/>
        <v>4699</v>
      </c>
      <c r="O163" s="41">
        <f t="shared" si="19"/>
        <v>26298</v>
      </c>
      <c r="P163" s="41">
        <f t="shared" si="19"/>
        <v>40099</v>
      </c>
    </row>
    <row r="164" spans="1:16" s="130" customFormat="1" ht="21.75" customHeight="1">
      <c r="A164" s="229"/>
      <c r="B164" s="230">
        <v>85154</v>
      </c>
      <c r="C164" s="129" t="s">
        <v>86</v>
      </c>
      <c r="D164" s="43">
        <f t="shared" si="12"/>
        <v>186760</v>
      </c>
      <c r="E164" s="43"/>
      <c r="F164" s="43"/>
      <c r="G164" s="43"/>
      <c r="H164" s="43">
        <v>-44395</v>
      </c>
      <c r="I164" s="43">
        <f>7756+44395</f>
        <v>52151</v>
      </c>
      <c r="J164" s="43">
        <v>32221</v>
      </c>
      <c r="K164" s="43">
        <v>57102</v>
      </c>
      <c r="L164" s="43">
        <v>3546</v>
      </c>
      <c r="M164" s="43">
        <v>15039</v>
      </c>
      <c r="N164" s="43">
        <v>4699</v>
      </c>
      <c r="O164" s="43">
        <v>26298</v>
      </c>
      <c r="P164" s="43">
        <v>40099</v>
      </c>
    </row>
    <row r="165" spans="1:16" s="130" customFormat="1" ht="21.75" customHeight="1">
      <c r="A165" s="42"/>
      <c r="B165" s="44">
        <v>85195</v>
      </c>
      <c r="C165" s="460" t="s">
        <v>57</v>
      </c>
      <c r="D165" s="43">
        <f t="shared" si="12"/>
        <v>3940</v>
      </c>
      <c r="E165" s="461"/>
      <c r="F165" s="461"/>
      <c r="G165" s="461"/>
      <c r="H165" s="461">
        <v>-11836</v>
      </c>
      <c r="I165" s="461">
        <v>11836</v>
      </c>
      <c r="J165" s="461">
        <v>3940</v>
      </c>
      <c r="K165" s="461"/>
      <c r="L165" s="461"/>
      <c r="M165" s="461"/>
      <c r="N165" s="461"/>
      <c r="O165" s="461"/>
      <c r="P165" s="461"/>
    </row>
    <row r="166" spans="1:16" s="22" customFormat="1" ht="21.75" customHeight="1">
      <c r="A166" s="38">
        <v>854</v>
      </c>
      <c r="B166" s="39"/>
      <c r="C166" s="40" t="s">
        <v>60</v>
      </c>
      <c r="D166" s="41">
        <f t="shared" si="12"/>
        <v>891556</v>
      </c>
      <c r="E166" s="41"/>
      <c r="F166" s="41"/>
      <c r="G166" s="41"/>
      <c r="H166" s="41">
        <f>SUM(H167:H176)</f>
        <v>-689593</v>
      </c>
      <c r="I166" s="41">
        <f>SUM(I167:I176)</f>
        <v>892520</v>
      </c>
      <c r="J166" s="41">
        <f>SUM(J167:J176)</f>
        <v>692856</v>
      </c>
      <c r="K166" s="41">
        <f aca="true" t="shared" si="20" ref="K166:P166">SUM(K167:K176)</f>
        <v>-1000</v>
      </c>
      <c r="L166" s="41">
        <f t="shared" si="20"/>
        <v>-1000</v>
      </c>
      <c r="M166" s="41">
        <f t="shared" si="20"/>
        <v>139000</v>
      </c>
      <c r="N166" s="41">
        <f t="shared" si="20"/>
        <v>-4400</v>
      </c>
      <c r="O166" s="41">
        <f t="shared" si="20"/>
        <v>-3750</v>
      </c>
      <c r="P166" s="41">
        <f t="shared" si="20"/>
        <v>-133077</v>
      </c>
    </row>
    <row r="167" spans="1:16" s="130" customFormat="1" ht="21.75" customHeight="1">
      <c r="A167" s="229"/>
      <c r="B167" s="230">
        <v>85401</v>
      </c>
      <c r="C167" s="129" t="s">
        <v>552</v>
      </c>
      <c r="D167" s="43">
        <f t="shared" si="12"/>
        <v>0</v>
      </c>
      <c r="E167" s="43"/>
      <c r="F167" s="43"/>
      <c r="G167" s="43"/>
      <c r="H167" s="43">
        <v>-128242</v>
      </c>
      <c r="I167" s="43">
        <v>134792</v>
      </c>
      <c r="J167" s="43"/>
      <c r="K167" s="43"/>
      <c r="L167" s="43"/>
      <c r="M167" s="43"/>
      <c r="N167" s="43">
        <v>-3000</v>
      </c>
      <c r="O167" s="43">
        <v>-2400</v>
      </c>
      <c r="P167" s="43">
        <v>-1150</v>
      </c>
    </row>
    <row r="168" spans="1:16" s="130" customFormat="1" ht="21.75" customHeight="1">
      <c r="A168" s="42"/>
      <c r="B168" s="230">
        <v>85403</v>
      </c>
      <c r="C168" s="129" t="s">
        <v>553</v>
      </c>
      <c r="D168" s="43">
        <f t="shared" si="12"/>
        <v>943</v>
      </c>
      <c r="E168" s="43"/>
      <c r="F168" s="43"/>
      <c r="G168" s="43"/>
      <c r="H168" s="43">
        <v>-159132</v>
      </c>
      <c r="I168" s="43">
        <v>266132</v>
      </c>
      <c r="J168" s="43">
        <v>943</v>
      </c>
      <c r="K168" s="43"/>
      <c r="L168" s="43"/>
      <c r="M168" s="43"/>
      <c r="N168" s="43"/>
      <c r="O168" s="43"/>
      <c r="P168" s="43">
        <v>-107000</v>
      </c>
    </row>
    <row r="169" spans="1:16" s="130" customFormat="1" ht="34.5" customHeight="1">
      <c r="A169" s="42"/>
      <c r="B169" s="230">
        <v>85406</v>
      </c>
      <c r="C169" s="129" t="s">
        <v>554</v>
      </c>
      <c r="D169" s="43">
        <f t="shared" si="12"/>
        <v>25800</v>
      </c>
      <c r="E169" s="43"/>
      <c r="F169" s="43"/>
      <c r="G169" s="43"/>
      <c r="H169" s="43">
        <v>-70115</v>
      </c>
      <c r="I169" s="43">
        <v>97015</v>
      </c>
      <c r="J169" s="43"/>
      <c r="K169" s="43"/>
      <c r="L169" s="43"/>
      <c r="M169" s="43"/>
      <c r="N169" s="43"/>
      <c r="O169" s="43"/>
      <c r="P169" s="43">
        <v>-1100</v>
      </c>
    </row>
    <row r="170" spans="1:16" s="130" customFormat="1" ht="21.75" customHeight="1">
      <c r="A170" s="42"/>
      <c r="B170" s="230">
        <v>85407</v>
      </c>
      <c r="C170" s="129" t="s">
        <v>412</v>
      </c>
      <c r="D170" s="43">
        <f t="shared" si="12"/>
        <v>0</v>
      </c>
      <c r="E170" s="43"/>
      <c r="F170" s="43"/>
      <c r="G170" s="43"/>
      <c r="H170" s="43">
        <v>-46446</v>
      </c>
      <c r="I170" s="43">
        <v>46446</v>
      </c>
      <c r="J170" s="43"/>
      <c r="K170" s="43"/>
      <c r="L170" s="43"/>
      <c r="M170" s="43"/>
      <c r="N170" s="43"/>
      <c r="O170" s="43"/>
      <c r="P170" s="43"/>
    </row>
    <row r="171" spans="1:16" s="130" customFormat="1" ht="21.75" customHeight="1">
      <c r="A171" s="42"/>
      <c r="B171" s="230">
        <v>85410</v>
      </c>
      <c r="C171" s="129" t="s">
        <v>438</v>
      </c>
      <c r="D171" s="43">
        <f t="shared" si="12"/>
        <v>157000</v>
      </c>
      <c r="E171" s="43"/>
      <c r="F171" s="43"/>
      <c r="G171" s="43"/>
      <c r="H171" s="43">
        <v>-10063</v>
      </c>
      <c r="I171" s="43">
        <v>42063</v>
      </c>
      <c r="J171" s="43"/>
      <c r="K171" s="43"/>
      <c r="L171" s="43"/>
      <c r="M171" s="43">
        <v>140000</v>
      </c>
      <c r="N171" s="43"/>
      <c r="O171" s="43"/>
      <c r="P171" s="43">
        <v>-15000</v>
      </c>
    </row>
    <row r="172" spans="1:16" s="130" customFormat="1" ht="21.75" customHeight="1">
      <c r="A172" s="42"/>
      <c r="B172" s="230">
        <v>85415</v>
      </c>
      <c r="C172" s="129" t="s">
        <v>407</v>
      </c>
      <c r="D172" s="43">
        <f t="shared" si="12"/>
        <v>691913</v>
      </c>
      <c r="E172" s="43"/>
      <c r="F172" s="43"/>
      <c r="G172" s="43"/>
      <c r="H172" s="43">
        <v>-23200</v>
      </c>
      <c r="I172" s="43">
        <v>23200</v>
      </c>
      <c r="J172" s="43">
        <v>691913</v>
      </c>
      <c r="K172" s="43"/>
      <c r="L172" s="43"/>
      <c r="M172" s="43"/>
      <c r="N172" s="43"/>
      <c r="O172" s="43"/>
      <c r="P172" s="43"/>
    </row>
    <row r="173" spans="1:16" s="130" customFormat="1" ht="21.75" customHeight="1">
      <c r="A173" s="42"/>
      <c r="B173" s="230">
        <v>85417</v>
      </c>
      <c r="C173" s="129" t="s">
        <v>555</v>
      </c>
      <c r="D173" s="43">
        <f t="shared" si="12"/>
        <v>0</v>
      </c>
      <c r="E173" s="43"/>
      <c r="F173" s="43"/>
      <c r="G173" s="43"/>
      <c r="H173" s="43">
        <v>-7323</v>
      </c>
      <c r="I173" s="43">
        <v>7323</v>
      </c>
      <c r="J173" s="43"/>
      <c r="K173" s="43"/>
      <c r="L173" s="43"/>
      <c r="M173" s="43"/>
      <c r="N173" s="43"/>
      <c r="O173" s="43"/>
      <c r="P173" s="43"/>
    </row>
    <row r="174" spans="1:16" s="130" customFormat="1" ht="21.75" customHeight="1">
      <c r="A174" s="42"/>
      <c r="B174" s="44">
        <v>85421</v>
      </c>
      <c r="C174" s="460" t="s">
        <v>556</v>
      </c>
      <c r="D174" s="461">
        <f t="shared" si="12"/>
        <v>0</v>
      </c>
      <c r="E174" s="461"/>
      <c r="F174" s="461"/>
      <c r="G174" s="461"/>
      <c r="H174" s="461">
        <v>-11798</v>
      </c>
      <c r="I174" s="461">
        <v>11798</v>
      </c>
      <c r="J174" s="461"/>
      <c r="K174" s="461"/>
      <c r="L174" s="461"/>
      <c r="M174" s="461"/>
      <c r="N174" s="461"/>
      <c r="O174" s="461"/>
      <c r="P174" s="461"/>
    </row>
    <row r="175" spans="1:16" s="130" customFormat="1" ht="24.75" customHeight="1">
      <c r="A175" s="42"/>
      <c r="B175" s="230">
        <v>85446</v>
      </c>
      <c r="C175" s="129" t="s">
        <v>413</v>
      </c>
      <c r="D175" s="43">
        <f t="shared" si="12"/>
        <v>0</v>
      </c>
      <c r="E175" s="43"/>
      <c r="F175" s="43"/>
      <c r="G175" s="43"/>
      <c r="H175" s="43">
        <v>-43866</v>
      </c>
      <c r="I175" s="43">
        <v>43866</v>
      </c>
      <c r="J175" s="43"/>
      <c r="K175" s="43"/>
      <c r="L175" s="43"/>
      <c r="M175" s="43"/>
      <c r="N175" s="43"/>
      <c r="O175" s="43"/>
      <c r="P175" s="43"/>
    </row>
    <row r="176" spans="1:16" s="130" customFormat="1" ht="21.75" customHeight="1">
      <c r="A176" s="44"/>
      <c r="B176" s="44">
        <v>85495</v>
      </c>
      <c r="C176" s="460" t="s">
        <v>57</v>
      </c>
      <c r="D176" s="43">
        <f aca="true" t="shared" si="21" ref="D176:D187">SUM(E176:P176)</f>
        <v>15900</v>
      </c>
      <c r="E176" s="461"/>
      <c r="F176" s="461"/>
      <c r="G176" s="461"/>
      <c r="H176" s="461">
        <v>-189408</v>
      </c>
      <c r="I176" s="461">
        <v>219885</v>
      </c>
      <c r="J176" s="461"/>
      <c r="K176" s="461">
        <v>-1000</v>
      </c>
      <c r="L176" s="461">
        <v>-1000</v>
      </c>
      <c r="M176" s="461">
        <v>-1000</v>
      </c>
      <c r="N176" s="461">
        <v>-1400</v>
      </c>
      <c r="O176" s="461">
        <v>-1350</v>
      </c>
      <c r="P176" s="461">
        <v>-8827</v>
      </c>
    </row>
    <row r="177" spans="1:16" s="22" customFormat="1" ht="21.75" customHeight="1">
      <c r="A177" s="38">
        <v>926</v>
      </c>
      <c r="B177" s="39"/>
      <c r="C177" s="40" t="s">
        <v>532</v>
      </c>
      <c r="D177" s="41">
        <f t="shared" si="21"/>
        <v>0</v>
      </c>
      <c r="E177" s="41"/>
      <c r="F177" s="41"/>
      <c r="G177" s="41"/>
      <c r="H177" s="41">
        <f>H178</f>
        <v>-60054</v>
      </c>
      <c r="I177" s="41">
        <f>I178</f>
        <v>60054</v>
      </c>
      <c r="J177" s="41"/>
      <c r="K177" s="41"/>
      <c r="L177" s="41"/>
      <c r="M177" s="41"/>
      <c r="N177" s="41"/>
      <c r="O177" s="41"/>
      <c r="P177" s="41"/>
    </row>
    <row r="178" spans="1:16" s="130" customFormat="1" ht="21.75" customHeight="1">
      <c r="A178" s="229"/>
      <c r="B178" s="230">
        <v>92605</v>
      </c>
      <c r="C178" s="129" t="s">
        <v>551</v>
      </c>
      <c r="D178" s="43">
        <f t="shared" si="21"/>
        <v>0</v>
      </c>
      <c r="E178" s="43"/>
      <c r="F178" s="43"/>
      <c r="G178" s="43"/>
      <c r="H178" s="43">
        <v>-60054</v>
      </c>
      <c r="I178" s="43">
        <v>60054</v>
      </c>
      <c r="J178" s="43"/>
      <c r="K178" s="43"/>
      <c r="L178" s="43"/>
      <c r="M178" s="43"/>
      <c r="N178" s="43"/>
      <c r="O178" s="43"/>
      <c r="P178" s="43"/>
    </row>
    <row r="179" spans="1:16" s="45" customFormat="1" ht="33.75" customHeight="1" thickBot="1">
      <c r="A179" s="203"/>
      <c r="B179" s="204"/>
      <c r="C179" s="36" t="s">
        <v>558</v>
      </c>
      <c r="D179" s="206">
        <f t="shared" si="21"/>
        <v>16215</v>
      </c>
      <c r="E179" s="206"/>
      <c r="F179" s="206"/>
      <c r="G179" s="206"/>
      <c r="H179" s="206">
        <f aca="true" t="shared" si="22" ref="H179:J180">H180</f>
        <v>-516895</v>
      </c>
      <c r="I179" s="206">
        <f t="shared" si="22"/>
        <v>516895</v>
      </c>
      <c r="J179" s="206">
        <f t="shared" si="22"/>
        <v>16215</v>
      </c>
      <c r="K179" s="206"/>
      <c r="L179" s="206"/>
      <c r="M179" s="206"/>
      <c r="N179" s="206"/>
      <c r="O179" s="206"/>
      <c r="P179" s="206"/>
    </row>
    <row r="180" spans="1:16" s="22" customFormat="1" ht="21.75" customHeight="1" thickTop="1">
      <c r="A180" s="41">
        <v>854</v>
      </c>
      <c r="B180" s="38"/>
      <c r="C180" s="40" t="s">
        <v>60</v>
      </c>
      <c r="D180" s="41">
        <f t="shared" si="21"/>
        <v>16215</v>
      </c>
      <c r="E180" s="41"/>
      <c r="F180" s="41"/>
      <c r="G180" s="41"/>
      <c r="H180" s="41">
        <f t="shared" si="22"/>
        <v>-516895</v>
      </c>
      <c r="I180" s="41">
        <f t="shared" si="22"/>
        <v>516895</v>
      </c>
      <c r="J180" s="41">
        <f t="shared" si="22"/>
        <v>16215</v>
      </c>
      <c r="K180" s="41"/>
      <c r="L180" s="41"/>
      <c r="M180" s="41"/>
      <c r="N180" s="41"/>
      <c r="O180" s="41"/>
      <c r="P180" s="41"/>
    </row>
    <row r="181" spans="1:16" s="473" customFormat="1" ht="21.75" customHeight="1">
      <c r="A181" s="469"/>
      <c r="B181" s="470">
        <v>85415</v>
      </c>
      <c r="C181" s="129" t="s">
        <v>407</v>
      </c>
      <c r="D181" s="43">
        <f t="shared" si="21"/>
        <v>16215</v>
      </c>
      <c r="E181" s="472"/>
      <c r="F181" s="472"/>
      <c r="G181" s="472"/>
      <c r="H181" s="472">
        <v>-516895</v>
      </c>
      <c r="I181" s="472">
        <v>516895</v>
      </c>
      <c r="J181" s="461">
        <v>16215</v>
      </c>
      <c r="K181" s="472"/>
      <c r="L181" s="472"/>
      <c r="M181" s="472"/>
      <c r="N181" s="472"/>
      <c r="O181" s="472"/>
      <c r="P181" s="472"/>
    </row>
    <row r="182" spans="1:16" s="45" customFormat="1" ht="33.75" customHeight="1" thickBot="1">
      <c r="A182" s="203"/>
      <c r="B182" s="204"/>
      <c r="C182" s="36" t="s">
        <v>90</v>
      </c>
      <c r="D182" s="206">
        <f t="shared" si="21"/>
        <v>4500</v>
      </c>
      <c r="E182" s="206"/>
      <c r="F182" s="206"/>
      <c r="G182" s="206"/>
      <c r="H182" s="206"/>
      <c r="I182" s="206"/>
      <c r="J182" s="206">
        <f>J183</f>
        <v>4500</v>
      </c>
      <c r="K182" s="206"/>
      <c r="L182" s="206"/>
      <c r="M182" s="206"/>
      <c r="N182" s="206"/>
      <c r="O182" s="206"/>
      <c r="P182" s="206"/>
    </row>
    <row r="183" spans="1:16" s="22" customFormat="1" ht="21.75" customHeight="1" thickTop="1">
      <c r="A183" s="41">
        <v>854</v>
      </c>
      <c r="B183" s="38"/>
      <c r="C183" s="40" t="s">
        <v>60</v>
      </c>
      <c r="D183" s="41">
        <f t="shared" si="21"/>
        <v>4500</v>
      </c>
      <c r="E183" s="41"/>
      <c r="F183" s="41"/>
      <c r="G183" s="41"/>
      <c r="H183" s="41"/>
      <c r="I183" s="41"/>
      <c r="J183" s="41">
        <f>J184</f>
        <v>4500</v>
      </c>
      <c r="K183" s="41"/>
      <c r="L183" s="41"/>
      <c r="M183" s="41"/>
      <c r="N183" s="41"/>
      <c r="O183" s="41"/>
      <c r="P183" s="41"/>
    </row>
    <row r="184" spans="1:16" s="473" customFormat="1" ht="21.75" customHeight="1">
      <c r="A184" s="1228"/>
      <c r="B184" s="470">
        <v>85401</v>
      </c>
      <c r="C184" s="129" t="s">
        <v>552</v>
      </c>
      <c r="D184" s="43">
        <f t="shared" si="21"/>
        <v>4500</v>
      </c>
      <c r="E184" s="474"/>
      <c r="F184" s="474"/>
      <c r="G184" s="474"/>
      <c r="H184" s="474"/>
      <c r="I184" s="474"/>
      <c r="J184" s="474">
        <v>4500</v>
      </c>
      <c r="K184" s="474"/>
      <c r="L184" s="474"/>
      <c r="M184" s="474"/>
      <c r="N184" s="474"/>
      <c r="O184" s="474"/>
      <c r="P184" s="474"/>
    </row>
    <row r="185" spans="1:16" s="45" customFormat="1" ht="49.5" customHeight="1" thickBot="1">
      <c r="A185" s="203"/>
      <c r="B185" s="204"/>
      <c r="C185" s="994" t="s">
        <v>91</v>
      </c>
      <c r="D185" s="206">
        <f t="shared" si="21"/>
        <v>0</v>
      </c>
      <c r="E185" s="206"/>
      <c r="F185" s="206"/>
      <c r="G185" s="206"/>
      <c r="H185" s="206">
        <f>H186</f>
        <v>-80</v>
      </c>
      <c r="I185" s="206">
        <f>I186</f>
        <v>80</v>
      </c>
      <c r="J185" s="206"/>
      <c r="K185" s="206"/>
      <c r="L185" s="206"/>
      <c r="M185" s="206"/>
      <c r="N185" s="206"/>
      <c r="O185" s="206"/>
      <c r="P185" s="206"/>
    </row>
    <row r="186" spans="1:16" s="22" customFormat="1" ht="21.75" customHeight="1" thickTop="1">
      <c r="A186" s="41">
        <v>851</v>
      </c>
      <c r="B186" s="38"/>
      <c r="C186" s="451" t="s">
        <v>61</v>
      </c>
      <c r="D186" s="41">
        <f t="shared" si="21"/>
        <v>0</v>
      </c>
      <c r="E186" s="41"/>
      <c r="F186" s="41"/>
      <c r="G186" s="41"/>
      <c r="H186" s="41">
        <f>H187</f>
        <v>-80</v>
      </c>
      <c r="I186" s="41">
        <f>I187</f>
        <v>80</v>
      </c>
      <c r="J186" s="41"/>
      <c r="K186" s="41"/>
      <c r="L186" s="41"/>
      <c r="M186" s="41"/>
      <c r="N186" s="41"/>
      <c r="O186" s="41"/>
      <c r="P186" s="41"/>
    </row>
    <row r="187" spans="1:16" s="473" customFormat="1" ht="47.25" customHeight="1">
      <c r="A187" s="474"/>
      <c r="B187" s="470">
        <v>85156</v>
      </c>
      <c r="C187" s="129" t="s">
        <v>557</v>
      </c>
      <c r="D187" s="43">
        <f t="shared" si="21"/>
        <v>0</v>
      </c>
      <c r="E187" s="472"/>
      <c r="F187" s="472"/>
      <c r="G187" s="472"/>
      <c r="H187" s="472">
        <v>-80</v>
      </c>
      <c r="I187" s="472">
        <v>80</v>
      </c>
      <c r="J187" s="472"/>
      <c r="K187" s="472"/>
      <c r="L187" s="472"/>
      <c r="M187" s="472"/>
      <c r="N187" s="472"/>
      <c r="O187" s="472"/>
      <c r="P187" s="472"/>
    </row>
    <row r="188" spans="3:16" ht="30" customHeight="1">
      <c r="C188" s="46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3:16" ht="33.75" customHeight="1"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3:16" ht="30" customHeight="1">
      <c r="C190" s="22" t="s">
        <v>691</v>
      </c>
      <c r="D190" s="22"/>
      <c r="E190" s="527"/>
      <c r="F190" s="528"/>
      <c r="G190" s="22" t="s">
        <v>692</v>
      </c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3:16" ht="20.25" customHeight="1">
      <c r="C191" s="22" t="s">
        <v>693</v>
      </c>
      <c r="D191" s="22"/>
      <c r="E191" s="527"/>
      <c r="F191" s="528"/>
      <c r="G191" s="22" t="s">
        <v>694</v>
      </c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3:16" ht="24" customHeight="1">
      <c r="C192" s="22"/>
      <c r="D192" s="22"/>
      <c r="E192" s="527"/>
      <c r="F192" s="528"/>
      <c r="G192" s="22" t="s">
        <v>695</v>
      </c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3:16" ht="35.25" customHeight="1">
      <c r="C193" s="46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3:16" ht="35.25" customHeight="1">
      <c r="C194" s="46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3:16" ht="30" customHeight="1">
      <c r="C195" s="46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3:16" ht="30" customHeight="1">
      <c r="C196" s="46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3:16" ht="30" customHeight="1">
      <c r="C197" s="46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3:16" ht="30" customHeight="1">
      <c r="C198" s="46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3:16" ht="30" customHeight="1">
      <c r="C199" s="46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3:16" ht="30" customHeight="1">
      <c r="C200" s="46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3:16" ht="30" customHeight="1">
      <c r="C201" s="46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3:16" ht="30" customHeight="1">
      <c r="C202" s="46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3:16" ht="30" customHeight="1">
      <c r="C203" s="46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3:16" ht="30" customHeight="1">
      <c r="C204" s="46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3:16" ht="30" customHeight="1">
      <c r="C205" s="46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3:16" ht="30" customHeight="1">
      <c r="C206" s="46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3:16" ht="30" customHeight="1">
      <c r="C207" s="46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3:16" ht="30" customHeight="1">
      <c r="C208" s="46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3:16" ht="30" customHeight="1">
      <c r="C209" s="46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3:16" ht="30" customHeight="1">
      <c r="C210" s="46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3:16" ht="48.75" customHeight="1">
      <c r="C211" s="46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3:16" ht="48.75" customHeight="1">
      <c r="C212" s="46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3:16" ht="48.75" customHeight="1">
      <c r="C213" s="46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3:16" ht="30" customHeight="1">
      <c r="C214" s="46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3:16" ht="30" customHeight="1"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3:16" ht="30" customHeight="1">
      <c r="C216" s="46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3:16" ht="30" customHeight="1">
      <c r="C217" s="46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3:16" ht="30" customHeight="1">
      <c r="C218" s="46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3:16" ht="30" customHeight="1"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ht="30" customHeight="1">
      <c r="C220" s="46"/>
    </row>
    <row r="221" ht="30" customHeight="1">
      <c r="C221" s="46"/>
    </row>
    <row r="222" ht="30" customHeight="1">
      <c r="C222" s="46"/>
    </row>
    <row r="223" ht="30" customHeight="1">
      <c r="C223" s="46"/>
    </row>
    <row r="224" ht="30" customHeight="1">
      <c r="C224" s="46"/>
    </row>
    <row r="225" ht="30" customHeight="1">
      <c r="C225" s="46"/>
    </row>
    <row r="226" ht="30" customHeight="1">
      <c r="C226" s="46"/>
    </row>
    <row r="227" ht="30" customHeight="1">
      <c r="C227" s="46"/>
    </row>
    <row r="228" ht="30" customHeight="1">
      <c r="C228" s="46"/>
    </row>
    <row r="229" ht="30" customHeight="1">
      <c r="C229" s="46"/>
    </row>
    <row r="230" ht="106.5" customHeight="1">
      <c r="C230" s="46"/>
    </row>
    <row r="231" ht="77.25" customHeight="1">
      <c r="C231" s="46"/>
    </row>
    <row r="232" ht="30" customHeight="1">
      <c r="C232" s="46"/>
    </row>
    <row r="233" ht="28.5" customHeight="1">
      <c r="C233" s="46"/>
    </row>
    <row r="234" ht="30" customHeight="1">
      <c r="C234" s="46"/>
    </row>
    <row r="235" ht="21.75" customHeight="1">
      <c r="C235" s="46"/>
    </row>
    <row r="236" ht="30" customHeight="1">
      <c r="C236" s="46"/>
    </row>
    <row r="237" ht="30" customHeight="1">
      <c r="C237" s="46"/>
    </row>
    <row r="238" ht="27.75" customHeight="1">
      <c r="C238" s="46"/>
    </row>
    <row r="239" ht="33" customHeight="1">
      <c r="C239" s="46"/>
    </row>
    <row r="240" ht="32.25" customHeight="1">
      <c r="C240" s="46"/>
    </row>
    <row r="241" ht="21" customHeight="1">
      <c r="C241" s="46"/>
    </row>
    <row r="242" ht="30" customHeight="1">
      <c r="C242" s="46"/>
    </row>
    <row r="243" ht="24" customHeight="1">
      <c r="C243" s="46"/>
    </row>
    <row r="244" ht="24.75" customHeight="1">
      <c r="C244" s="46"/>
    </row>
    <row r="245" ht="24.75" customHeight="1">
      <c r="C245" s="46"/>
    </row>
    <row r="246" ht="26.25" customHeight="1">
      <c r="C246" s="46"/>
    </row>
    <row r="247" ht="24" customHeight="1">
      <c r="C247" s="46"/>
    </row>
    <row r="248" ht="24" customHeight="1">
      <c r="C248" s="46"/>
    </row>
    <row r="249" ht="24.75" customHeight="1">
      <c r="C249" s="46"/>
    </row>
    <row r="250" ht="33.75" customHeight="1">
      <c r="C250" s="46"/>
    </row>
    <row r="251" ht="33.75" customHeight="1">
      <c r="C251" s="46"/>
    </row>
    <row r="252" ht="39.75" customHeight="1">
      <c r="C252" s="46"/>
    </row>
    <row r="253" spans="1:16" s="48" customFormat="1" ht="21.75" customHeight="1">
      <c r="A253" s="1"/>
      <c r="B253" s="1"/>
      <c r="C253" s="4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ht="24.75" customHeight="1">
      <c r="C254" s="46"/>
    </row>
    <row r="255" ht="49.5" customHeight="1">
      <c r="C255" s="46"/>
    </row>
    <row r="256" ht="30.75" customHeight="1">
      <c r="C256" s="46"/>
    </row>
    <row r="257" ht="27.75" customHeight="1">
      <c r="C257" s="46"/>
    </row>
    <row r="258" ht="15">
      <c r="C258" s="46"/>
    </row>
    <row r="259" ht="15">
      <c r="C259" s="46"/>
    </row>
    <row r="260" ht="15">
      <c r="C260" s="46"/>
    </row>
    <row r="261" ht="15">
      <c r="C261" s="46"/>
    </row>
    <row r="262" ht="15">
      <c r="C262" s="46"/>
    </row>
    <row r="263" ht="15">
      <c r="C263" s="46"/>
    </row>
    <row r="264" ht="15">
      <c r="C264" s="46"/>
    </row>
    <row r="265" ht="15">
      <c r="C265" s="46"/>
    </row>
    <row r="266" ht="15">
      <c r="C266" s="46"/>
    </row>
    <row r="267" ht="15">
      <c r="C267" s="46"/>
    </row>
    <row r="268" ht="15">
      <c r="C268" s="46"/>
    </row>
    <row r="269" ht="15">
      <c r="C269" s="46"/>
    </row>
    <row r="270" ht="15">
      <c r="C270" s="46"/>
    </row>
    <row r="271" ht="15">
      <c r="C271" s="46"/>
    </row>
    <row r="272" ht="15">
      <c r="C272" s="46"/>
    </row>
    <row r="273" ht="15">
      <c r="C273" s="46"/>
    </row>
    <row r="274" ht="15">
      <c r="C274" s="46"/>
    </row>
    <row r="275" ht="15">
      <c r="C275" s="46"/>
    </row>
    <row r="276" ht="15">
      <c r="C276" s="46"/>
    </row>
    <row r="277" ht="15">
      <c r="C277" s="46"/>
    </row>
    <row r="278" ht="15">
      <c r="C278" s="46"/>
    </row>
    <row r="279" ht="15">
      <c r="C279" s="46"/>
    </row>
    <row r="280" ht="15">
      <c r="C280" s="46"/>
    </row>
    <row r="281" ht="15">
      <c r="C281" s="46"/>
    </row>
    <row r="282" ht="15">
      <c r="C282" s="46"/>
    </row>
    <row r="283" ht="15">
      <c r="C283" s="46"/>
    </row>
    <row r="284" ht="15">
      <c r="C284" s="46"/>
    </row>
    <row r="285" ht="15">
      <c r="C285" s="46"/>
    </row>
    <row r="286" ht="15">
      <c r="C286" s="46"/>
    </row>
    <row r="287" ht="15">
      <c r="C287" s="46"/>
    </row>
    <row r="288" ht="15">
      <c r="C288" s="46"/>
    </row>
    <row r="289" ht="15">
      <c r="C289" s="46"/>
    </row>
    <row r="290" ht="15">
      <c r="C290" s="46"/>
    </row>
    <row r="291" ht="15">
      <c r="C291" s="46"/>
    </row>
    <row r="292" ht="15">
      <c r="C292" s="46"/>
    </row>
    <row r="293" ht="15">
      <c r="C293" s="46"/>
    </row>
    <row r="294" ht="15">
      <c r="C294" s="46"/>
    </row>
    <row r="295" ht="15">
      <c r="C295" s="46"/>
    </row>
    <row r="296" ht="15">
      <c r="C296" s="46"/>
    </row>
    <row r="297" ht="15">
      <c r="C297" s="46"/>
    </row>
    <row r="298" ht="15">
      <c r="C298" s="46"/>
    </row>
    <row r="299" ht="15">
      <c r="C299" s="46"/>
    </row>
    <row r="300" ht="15">
      <c r="C300" s="46"/>
    </row>
    <row r="301" ht="15">
      <c r="C301" s="46"/>
    </row>
    <row r="302" ht="15">
      <c r="C302" s="46"/>
    </row>
    <row r="303" ht="15">
      <c r="C303" s="46"/>
    </row>
    <row r="304" ht="15">
      <c r="C304" s="46"/>
    </row>
    <row r="305" ht="15">
      <c r="C305" s="46"/>
    </row>
    <row r="306" ht="15">
      <c r="C306" s="46"/>
    </row>
    <row r="307" ht="15">
      <c r="C307" s="46"/>
    </row>
    <row r="308" ht="15">
      <c r="C308" s="46"/>
    </row>
    <row r="309" ht="15">
      <c r="C309" s="46"/>
    </row>
    <row r="310" ht="15">
      <c r="C310" s="46"/>
    </row>
    <row r="311" ht="15">
      <c r="C311" s="46"/>
    </row>
    <row r="312" ht="15">
      <c r="C312" s="46"/>
    </row>
    <row r="313" ht="15">
      <c r="C313" s="46"/>
    </row>
    <row r="314" ht="15">
      <c r="C314" s="46"/>
    </row>
    <row r="315" ht="15">
      <c r="C315" s="46"/>
    </row>
    <row r="316" ht="15">
      <c r="C316" s="46"/>
    </row>
    <row r="317" ht="15">
      <c r="C317" s="46"/>
    </row>
    <row r="318" ht="15">
      <c r="C318" s="46"/>
    </row>
    <row r="319" ht="15">
      <c r="C319" s="46"/>
    </row>
    <row r="320" ht="15">
      <c r="C320" s="46"/>
    </row>
    <row r="321" ht="15">
      <c r="C321" s="46"/>
    </row>
    <row r="322" ht="15">
      <c r="C322" s="46"/>
    </row>
    <row r="323" ht="15">
      <c r="C323" s="46"/>
    </row>
    <row r="324" ht="15">
      <c r="C324" s="46"/>
    </row>
    <row r="325" ht="15">
      <c r="C325" s="46"/>
    </row>
    <row r="326" ht="15">
      <c r="C326" s="46"/>
    </row>
    <row r="327" ht="15">
      <c r="C327" s="46"/>
    </row>
    <row r="328" ht="15">
      <c r="C328" s="46"/>
    </row>
    <row r="329" ht="15">
      <c r="C329" s="46"/>
    </row>
    <row r="330" ht="15">
      <c r="C330" s="46"/>
    </row>
    <row r="331" ht="15">
      <c r="C331" s="46"/>
    </row>
    <row r="332" ht="15">
      <c r="C332" s="46"/>
    </row>
    <row r="333" ht="15">
      <c r="C333" s="46"/>
    </row>
    <row r="334" ht="15">
      <c r="C334" s="46"/>
    </row>
    <row r="335" ht="15">
      <c r="C335" s="46"/>
    </row>
    <row r="336" ht="15">
      <c r="C336" s="46"/>
    </row>
    <row r="337" ht="15">
      <c r="C337" s="46"/>
    </row>
    <row r="338" ht="15">
      <c r="C338" s="46"/>
    </row>
    <row r="339" ht="15">
      <c r="C339" s="46"/>
    </row>
    <row r="340" ht="15">
      <c r="C340" s="46"/>
    </row>
    <row r="341" ht="15">
      <c r="C341" s="46"/>
    </row>
    <row r="342" ht="15">
      <c r="C342" s="46"/>
    </row>
    <row r="343" ht="15">
      <c r="C343" s="46"/>
    </row>
    <row r="344" ht="15">
      <c r="C344" s="46"/>
    </row>
    <row r="345" ht="15">
      <c r="C345" s="46"/>
    </row>
    <row r="346" ht="15">
      <c r="C346" s="46"/>
    </row>
    <row r="347" ht="15">
      <c r="C347" s="46"/>
    </row>
    <row r="348" ht="15">
      <c r="C348" s="46"/>
    </row>
    <row r="349" ht="15">
      <c r="C349" s="46"/>
    </row>
    <row r="350" ht="15">
      <c r="C350" s="46"/>
    </row>
    <row r="351" ht="15">
      <c r="C351" s="46"/>
    </row>
    <row r="352" ht="15">
      <c r="C352" s="46"/>
    </row>
    <row r="353" ht="15">
      <c r="C353" s="46"/>
    </row>
    <row r="354" ht="15">
      <c r="C354" s="46"/>
    </row>
    <row r="355" ht="15">
      <c r="C355" s="46"/>
    </row>
    <row r="356" ht="15">
      <c r="C356" s="46"/>
    </row>
    <row r="357" ht="15">
      <c r="C357" s="46"/>
    </row>
    <row r="358" ht="15">
      <c r="C358" s="46"/>
    </row>
    <row r="359" ht="15">
      <c r="C359" s="46"/>
    </row>
    <row r="360" ht="15">
      <c r="C360" s="46"/>
    </row>
    <row r="361" ht="15">
      <c r="C361" s="46"/>
    </row>
    <row r="362" ht="15">
      <c r="C362" s="46"/>
    </row>
    <row r="363" ht="15">
      <c r="C363" s="46"/>
    </row>
    <row r="364" ht="15">
      <c r="C364" s="46"/>
    </row>
    <row r="365" ht="15">
      <c r="C365" s="46"/>
    </row>
    <row r="366" ht="15">
      <c r="C366" s="46"/>
    </row>
    <row r="367" ht="15">
      <c r="C367" s="46"/>
    </row>
    <row r="368" ht="15">
      <c r="C368" s="46"/>
    </row>
    <row r="369" ht="15">
      <c r="C369" s="46"/>
    </row>
    <row r="370" ht="15">
      <c r="C370" s="46"/>
    </row>
    <row r="371" ht="15">
      <c r="C371" s="46"/>
    </row>
    <row r="372" ht="15">
      <c r="C372" s="46"/>
    </row>
    <row r="373" ht="15">
      <c r="C373" s="46"/>
    </row>
    <row r="374" ht="15">
      <c r="C374" s="46"/>
    </row>
    <row r="375" ht="15">
      <c r="C375" s="46"/>
    </row>
    <row r="376" ht="15">
      <c r="C376" s="46"/>
    </row>
    <row r="377" ht="15">
      <c r="C377" s="46"/>
    </row>
    <row r="378" ht="15">
      <c r="C378" s="46"/>
    </row>
    <row r="379" ht="15">
      <c r="C379" s="46"/>
    </row>
    <row r="380" ht="15">
      <c r="C380" s="46"/>
    </row>
    <row r="381" ht="15">
      <c r="C381" s="46"/>
    </row>
    <row r="382" ht="15">
      <c r="C382" s="46"/>
    </row>
    <row r="383" ht="15">
      <c r="C383" s="46"/>
    </row>
    <row r="384" ht="15">
      <c r="C384" s="46"/>
    </row>
    <row r="385" ht="15">
      <c r="C385" s="46"/>
    </row>
    <row r="386" ht="15">
      <c r="C386" s="46"/>
    </row>
    <row r="387" ht="15">
      <c r="C387" s="46"/>
    </row>
    <row r="388" ht="15">
      <c r="C388" s="46"/>
    </row>
    <row r="389" ht="15">
      <c r="C389" s="46"/>
    </row>
    <row r="390" ht="15">
      <c r="C390" s="46"/>
    </row>
    <row r="391" ht="15">
      <c r="C391" s="46"/>
    </row>
    <row r="392" ht="15">
      <c r="C392" s="46"/>
    </row>
    <row r="393" ht="15">
      <c r="C393" s="46"/>
    </row>
    <row r="394" ht="15">
      <c r="C394" s="46"/>
    </row>
    <row r="395" ht="15">
      <c r="C395" s="46"/>
    </row>
    <row r="396" ht="15">
      <c r="C396" s="46"/>
    </row>
    <row r="397" ht="15">
      <c r="C397" s="46"/>
    </row>
    <row r="398" ht="15">
      <c r="C398" s="46"/>
    </row>
    <row r="399" ht="15">
      <c r="C399" s="46"/>
    </row>
    <row r="400" ht="15">
      <c r="C400" s="46"/>
    </row>
    <row r="401" ht="15">
      <c r="C401" s="46"/>
    </row>
    <row r="402" ht="15">
      <c r="C402" s="46"/>
    </row>
    <row r="403" ht="15">
      <c r="C403" s="46"/>
    </row>
    <row r="404" ht="15">
      <c r="C404" s="46"/>
    </row>
    <row r="405" ht="15">
      <c r="C405" s="46"/>
    </row>
    <row r="406" ht="15">
      <c r="C406" s="46"/>
    </row>
    <row r="407" ht="15">
      <c r="C407" s="46"/>
    </row>
    <row r="408" ht="15">
      <c r="C408" s="46"/>
    </row>
    <row r="409" ht="15">
      <c r="C409" s="46"/>
    </row>
    <row r="410" ht="15">
      <c r="C410" s="46"/>
    </row>
    <row r="411" ht="15">
      <c r="C411" s="46"/>
    </row>
    <row r="412" ht="15">
      <c r="C412" s="46"/>
    </row>
    <row r="413" ht="15">
      <c r="C413" s="46"/>
    </row>
    <row r="414" ht="15">
      <c r="C414" s="46"/>
    </row>
    <row r="415" ht="15">
      <c r="C415" s="46"/>
    </row>
    <row r="416" ht="15">
      <c r="C416" s="46"/>
    </row>
    <row r="417" ht="15">
      <c r="C417" s="46"/>
    </row>
    <row r="418" ht="15">
      <c r="C418" s="46"/>
    </row>
    <row r="419" ht="15">
      <c r="C419" s="46"/>
    </row>
    <row r="420" ht="15">
      <c r="C420" s="46"/>
    </row>
    <row r="421" ht="15">
      <c r="C421" s="46"/>
    </row>
    <row r="422" ht="15">
      <c r="C422" s="46"/>
    </row>
    <row r="423" ht="15">
      <c r="C423" s="46"/>
    </row>
    <row r="424" ht="15">
      <c r="C424" s="46"/>
    </row>
    <row r="425" ht="15">
      <c r="C425" s="46"/>
    </row>
    <row r="426" ht="15">
      <c r="C426" s="46"/>
    </row>
    <row r="427" ht="15">
      <c r="C427" s="46"/>
    </row>
    <row r="428" ht="15">
      <c r="C428" s="46"/>
    </row>
    <row r="429" ht="15">
      <c r="C429" s="46"/>
    </row>
    <row r="430" ht="15">
      <c r="C430" s="46"/>
    </row>
    <row r="431" ht="15">
      <c r="C431" s="46"/>
    </row>
    <row r="432" ht="15">
      <c r="C432" s="46"/>
    </row>
    <row r="433" ht="15">
      <c r="C433" s="46"/>
    </row>
    <row r="434" ht="15">
      <c r="C434" s="46"/>
    </row>
    <row r="435" ht="15">
      <c r="C435" s="46"/>
    </row>
    <row r="436" ht="15">
      <c r="C436" s="46"/>
    </row>
    <row r="437" ht="15">
      <c r="C437" s="46"/>
    </row>
    <row r="438" ht="15">
      <c r="C438" s="46"/>
    </row>
    <row r="439" ht="15">
      <c r="C439" s="46"/>
    </row>
    <row r="440" ht="15">
      <c r="C440" s="46"/>
    </row>
  </sheetData>
  <printOptions horizontalCentered="1"/>
  <pageMargins left="0.3937007874015748" right="0.3937007874015748" top="0.6692913385826772" bottom="0.4724409448818898" header="0.3937007874015748" footer="0.35433070866141736"/>
  <pageSetup firstPageNumber="49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E1">
      <selection activeCell="G8" sqref="G8"/>
    </sheetView>
  </sheetViews>
  <sheetFormatPr defaultColWidth="9.00390625" defaultRowHeight="12.75"/>
  <cols>
    <col min="1" max="1" width="5.75390625" style="22" customWidth="1"/>
    <col min="2" max="2" width="8.375" style="22" customWidth="1"/>
    <col min="3" max="3" width="47.875" style="22" customWidth="1"/>
    <col min="4" max="4" width="18.75390625" style="22" customWidth="1"/>
    <col min="5" max="5" width="13.75390625" style="995" customWidth="1"/>
    <col min="6" max="16" width="13.75390625" style="22" customWidth="1"/>
    <col min="17" max="16384" width="9.125" style="22" customWidth="1"/>
  </cols>
  <sheetData>
    <row r="1" spans="2:14" ht="15">
      <c r="B1" s="248"/>
      <c r="C1" s="995"/>
      <c r="E1" s="996"/>
      <c r="F1" s="47"/>
      <c r="H1" s="47"/>
      <c r="N1" s="997" t="s">
        <v>25</v>
      </c>
    </row>
    <row r="2" spans="1:14" ht="15.75">
      <c r="A2" s="998"/>
      <c r="B2" s="311"/>
      <c r="C2" s="311"/>
      <c r="D2" s="998" t="s">
        <v>642</v>
      </c>
      <c r="E2" s="311"/>
      <c r="F2" s="47"/>
      <c r="H2" s="47"/>
      <c r="N2" s="997" t="s">
        <v>624</v>
      </c>
    </row>
    <row r="3" spans="1:14" ht="15.75">
      <c r="A3" s="998"/>
      <c r="B3" s="311"/>
      <c r="C3" s="311"/>
      <c r="D3" s="998" t="s">
        <v>643</v>
      </c>
      <c r="E3" s="311"/>
      <c r="F3" s="124"/>
      <c r="H3" s="124"/>
      <c r="N3" s="999" t="s">
        <v>27</v>
      </c>
    </row>
    <row r="4" spans="1:14" ht="16.5" customHeight="1">
      <c r="A4" s="998"/>
      <c r="B4" s="311"/>
      <c r="C4" s="311"/>
      <c r="D4" s="998" t="s">
        <v>35</v>
      </c>
      <c r="E4" s="311"/>
      <c r="F4" s="47"/>
      <c r="G4" s="47"/>
      <c r="H4" s="47"/>
      <c r="N4" s="997" t="s">
        <v>625</v>
      </c>
    </row>
    <row r="5" spans="1:16" ht="27" customHeight="1" thickBot="1">
      <c r="A5" s="1000"/>
      <c r="B5" s="1000"/>
      <c r="C5" s="1001"/>
      <c r="D5" s="1002"/>
      <c r="E5" s="1003"/>
      <c r="F5" s="1003"/>
      <c r="G5" s="1003"/>
      <c r="H5" s="1004"/>
      <c r="P5" s="1004" t="s">
        <v>28</v>
      </c>
    </row>
    <row r="6" spans="1:16" ht="25.5" customHeight="1" thickTop="1">
      <c r="A6" s="1005"/>
      <c r="B6" s="914"/>
      <c r="C6" s="914" t="s">
        <v>644</v>
      </c>
      <c r="D6" s="914" t="s">
        <v>433</v>
      </c>
      <c r="E6" s="1259" t="s">
        <v>31</v>
      </c>
      <c r="F6" s="1260"/>
      <c r="G6" s="1260"/>
      <c r="H6" s="1260"/>
      <c r="I6" s="1260"/>
      <c r="J6" s="1260"/>
      <c r="K6" s="1260"/>
      <c r="L6" s="1260"/>
      <c r="M6" s="1260"/>
      <c r="N6" s="1260"/>
      <c r="O6" s="1260"/>
      <c r="P6" s="1249"/>
    </row>
    <row r="7" spans="1:16" ht="24" customHeight="1" thickBot="1">
      <c r="A7" s="1006" t="s">
        <v>81</v>
      </c>
      <c r="B7" s="915" t="s">
        <v>434</v>
      </c>
      <c r="C7" s="915" t="s">
        <v>34</v>
      </c>
      <c r="D7" s="915" t="s">
        <v>35</v>
      </c>
      <c r="E7" s="1007" t="s">
        <v>36</v>
      </c>
      <c r="F7" s="1008" t="s">
        <v>37</v>
      </c>
      <c r="G7" s="1008" t="s">
        <v>38</v>
      </c>
      <c r="H7" s="1008" t="s">
        <v>39</v>
      </c>
      <c r="I7" s="1008" t="s">
        <v>40</v>
      </c>
      <c r="J7" s="1008" t="s">
        <v>41</v>
      </c>
      <c r="K7" s="1008" t="s">
        <v>42</v>
      </c>
      <c r="L7" s="1008" t="s">
        <v>43</v>
      </c>
      <c r="M7" s="1008" t="s">
        <v>44</v>
      </c>
      <c r="N7" s="1008" t="s">
        <v>45</v>
      </c>
      <c r="O7" s="1008" t="s">
        <v>46</v>
      </c>
      <c r="P7" s="1008" t="s">
        <v>47</v>
      </c>
    </row>
    <row r="8" spans="1:16" ht="19.5" customHeight="1" thickBot="1" thickTop="1">
      <c r="A8" s="1009">
        <v>1</v>
      </c>
      <c r="B8" s="1009">
        <v>2</v>
      </c>
      <c r="C8" s="1009">
        <v>3</v>
      </c>
      <c r="D8" s="298">
        <v>4</v>
      </c>
      <c r="E8" s="298">
        <v>5</v>
      </c>
      <c r="F8" s="298">
        <v>6</v>
      </c>
      <c r="G8" s="298">
        <v>7</v>
      </c>
      <c r="H8" s="298">
        <v>8</v>
      </c>
      <c r="I8" s="298">
        <v>9</v>
      </c>
      <c r="J8" s="298">
        <v>10</v>
      </c>
      <c r="K8" s="298">
        <v>11</v>
      </c>
      <c r="L8" s="298">
        <v>12</v>
      </c>
      <c r="M8" s="298">
        <v>13</v>
      </c>
      <c r="N8" s="298">
        <v>14</v>
      </c>
      <c r="O8" s="298">
        <v>15</v>
      </c>
      <c r="P8" s="298">
        <v>16</v>
      </c>
    </row>
    <row r="9" spans="1:16" s="1" customFormat="1" ht="27.75" customHeight="1" thickBot="1" thickTop="1">
      <c r="A9" s="1010"/>
      <c r="B9" s="1010"/>
      <c r="C9" s="1011" t="s">
        <v>48</v>
      </c>
      <c r="D9" s="1012">
        <f>SUM(E9:P9)</f>
        <v>0</v>
      </c>
      <c r="E9" s="1012">
        <f aca="true" t="shared" si="0" ref="E9:M11">E10</f>
        <v>-18694</v>
      </c>
      <c r="F9" s="1012">
        <f t="shared" si="0"/>
        <v>-16524</v>
      </c>
      <c r="G9" s="1012"/>
      <c r="H9" s="1012"/>
      <c r="I9" s="1012">
        <f t="shared" si="0"/>
        <v>-26353</v>
      </c>
      <c r="J9" s="1012">
        <f t="shared" si="0"/>
        <v>22424</v>
      </c>
      <c r="K9" s="1012"/>
      <c r="L9" s="1012">
        <f t="shared" si="0"/>
        <v>19147</v>
      </c>
      <c r="M9" s="1012">
        <f t="shared" si="0"/>
        <v>20000</v>
      </c>
      <c r="N9" s="1012"/>
      <c r="O9" s="1012"/>
      <c r="P9" s="1012"/>
    </row>
    <row r="10" spans="1:16" s="322" customFormat="1" ht="35.25" customHeight="1" thickTop="1">
      <c r="A10" s="1013"/>
      <c r="B10" s="1013"/>
      <c r="C10" s="1014" t="s">
        <v>645</v>
      </c>
      <c r="D10" s="1015">
        <f>SUM(E10:P10)</f>
        <v>0</v>
      </c>
      <c r="E10" s="1015">
        <f t="shared" si="0"/>
        <v>-18694</v>
      </c>
      <c r="F10" s="1015">
        <f t="shared" si="0"/>
        <v>-16524</v>
      </c>
      <c r="G10" s="1015"/>
      <c r="H10" s="1015"/>
      <c r="I10" s="1015">
        <f t="shared" si="0"/>
        <v>-26353</v>
      </c>
      <c r="J10" s="1015">
        <f t="shared" si="0"/>
        <v>22424</v>
      </c>
      <c r="K10" s="1015"/>
      <c r="L10" s="1015">
        <f t="shared" si="0"/>
        <v>19147</v>
      </c>
      <c r="M10" s="1015">
        <f t="shared" si="0"/>
        <v>20000</v>
      </c>
      <c r="N10" s="1015"/>
      <c r="O10" s="1015"/>
      <c r="P10" s="1015"/>
    </row>
    <row r="11" spans="1:16" s="1" customFormat="1" ht="21.75" customHeight="1">
      <c r="A11" s="1016">
        <v>710</v>
      </c>
      <c r="B11" s="1017"/>
      <c r="C11" s="1018" t="s">
        <v>526</v>
      </c>
      <c r="D11" s="1019">
        <f>SUM(E11:P11)</f>
        <v>0</v>
      </c>
      <c r="E11" s="1019">
        <f t="shared" si="0"/>
        <v>-18694</v>
      </c>
      <c r="F11" s="1019">
        <f t="shared" si="0"/>
        <v>-16524</v>
      </c>
      <c r="G11" s="1019"/>
      <c r="H11" s="1019"/>
      <c r="I11" s="1019">
        <f t="shared" si="0"/>
        <v>-26353</v>
      </c>
      <c r="J11" s="1019">
        <f t="shared" si="0"/>
        <v>22424</v>
      </c>
      <c r="K11" s="1019"/>
      <c r="L11" s="1019">
        <f t="shared" si="0"/>
        <v>19147</v>
      </c>
      <c r="M11" s="1019">
        <f t="shared" si="0"/>
        <v>20000</v>
      </c>
      <c r="N11" s="1019"/>
      <c r="O11" s="1019"/>
      <c r="P11" s="1019"/>
    </row>
    <row r="12" spans="1:16" s="1" customFormat="1" ht="31.5" customHeight="1">
      <c r="A12" s="1020"/>
      <c r="B12" s="1021">
        <v>71030</v>
      </c>
      <c r="C12" s="609" t="s">
        <v>646</v>
      </c>
      <c r="D12" s="1022">
        <f>SUM(E12:P12)</f>
        <v>0</v>
      </c>
      <c r="E12" s="1023">
        <f>11306-30000</f>
        <v>-18694</v>
      </c>
      <c r="F12" s="1024">
        <f>13476-30000</f>
        <v>-16524</v>
      </c>
      <c r="G12" s="1024"/>
      <c r="H12" s="1024"/>
      <c r="I12" s="1024">
        <v>-26353</v>
      </c>
      <c r="J12" s="1024">
        <v>22424</v>
      </c>
      <c r="K12" s="1024"/>
      <c r="L12" s="1024">
        <v>19147</v>
      </c>
      <c r="M12" s="1024">
        <v>20000</v>
      </c>
      <c r="N12" s="1024"/>
      <c r="O12" s="1024"/>
      <c r="P12" s="1024"/>
    </row>
    <row r="13" ht="19.5" customHeight="1"/>
    <row r="14" ht="12.75">
      <c r="G14" s="509"/>
    </row>
    <row r="15" spans="6:10" ht="12.75">
      <c r="F15" s="22" t="s">
        <v>691</v>
      </c>
      <c r="H15" s="527"/>
      <c r="I15" s="528"/>
      <c r="J15" s="22" t="s">
        <v>692</v>
      </c>
    </row>
    <row r="16" spans="6:10" ht="12.75">
      <c r="F16" s="22" t="s">
        <v>693</v>
      </c>
      <c r="H16" s="527"/>
      <c r="I16" s="528"/>
      <c r="J16" s="22" t="s">
        <v>694</v>
      </c>
    </row>
    <row r="17" spans="8:10" ht="12.75">
      <c r="H17" s="527"/>
      <c r="I17" s="528"/>
      <c r="J17" s="22" t="s">
        <v>695</v>
      </c>
    </row>
  </sheetData>
  <mergeCells count="1">
    <mergeCell ref="E6:P6"/>
  </mergeCells>
  <printOptions horizontalCentered="1"/>
  <pageMargins left="0.3937007874015748" right="0.3937007874015748" top="0.5905511811023623" bottom="0.5905511811023623" header="0.5118110236220472" footer="0.5118110236220472"/>
  <pageSetup firstPageNumber="54" useFirstPageNumber="1" horizontalDpi="600" verticalDpi="600" orientation="landscape" paperSize="9" scale="5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D1">
      <selection activeCell="E6" sqref="E6:E7"/>
    </sheetView>
  </sheetViews>
  <sheetFormatPr defaultColWidth="9.00390625" defaultRowHeight="12.75"/>
  <cols>
    <col min="1" max="1" width="5.25390625" style="22" customWidth="1"/>
    <col min="2" max="2" width="8.125" style="22" customWidth="1"/>
    <col min="3" max="3" width="58.875" style="22" customWidth="1"/>
    <col min="4" max="4" width="17.375" style="22" customWidth="1"/>
    <col min="5" max="5" width="12.75390625" style="22" customWidth="1"/>
    <col min="6" max="6" width="13.75390625" style="22" customWidth="1"/>
    <col min="7" max="7" width="16.75390625" style="22" customWidth="1"/>
    <col min="8" max="9" width="12.75390625" style="22" customWidth="1"/>
    <col min="10" max="10" width="10.375" style="0" customWidth="1"/>
    <col min="11" max="12" width="12.75390625" style="0" customWidth="1"/>
  </cols>
  <sheetData>
    <row r="1" spans="3:8" ht="18" customHeight="1">
      <c r="C1" s="173"/>
      <c r="E1" s="174"/>
      <c r="F1" s="174"/>
      <c r="H1" s="174" t="s">
        <v>647</v>
      </c>
    </row>
    <row r="2" spans="1:8" ht="18" customHeight="1">
      <c r="A2" s="175" t="s">
        <v>94</v>
      </c>
      <c r="B2" s="174"/>
      <c r="C2" s="174"/>
      <c r="E2" s="176"/>
      <c r="F2" s="176"/>
      <c r="H2" s="176" t="s">
        <v>624</v>
      </c>
    </row>
    <row r="3" spans="1:8" ht="18" customHeight="1">
      <c r="A3" s="175" t="s">
        <v>95</v>
      </c>
      <c r="B3" s="174"/>
      <c r="C3" s="174"/>
      <c r="E3" s="176"/>
      <c r="F3" s="176"/>
      <c r="H3" s="176" t="s">
        <v>27</v>
      </c>
    </row>
    <row r="4" spans="1:8" ht="18" customHeight="1">
      <c r="A4" s="175" t="s">
        <v>96</v>
      </c>
      <c r="B4" s="174"/>
      <c r="C4" s="174"/>
      <c r="E4" s="176"/>
      <c r="F4" s="176"/>
      <c r="H4" s="176" t="s">
        <v>625</v>
      </c>
    </row>
    <row r="5" spans="4:9" ht="22.5" customHeight="1" thickBot="1">
      <c r="D5" s="177"/>
      <c r="E5" s="177"/>
      <c r="F5" s="177"/>
      <c r="H5" s="177"/>
      <c r="I5" s="177" t="s">
        <v>28</v>
      </c>
    </row>
    <row r="6" spans="1:9" ht="33" customHeight="1" thickTop="1">
      <c r="A6" s="178"/>
      <c r="B6" s="178"/>
      <c r="C6" s="179" t="s">
        <v>67</v>
      </c>
      <c r="D6" s="1264" t="s">
        <v>574</v>
      </c>
      <c r="E6" s="1261" t="s">
        <v>97</v>
      </c>
      <c r="F6" s="1261" t="s">
        <v>573</v>
      </c>
      <c r="G6" s="1264" t="s">
        <v>106</v>
      </c>
      <c r="H6" s="1261" t="s">
        <v>97</v>
      </c>
      <c r="I6" s="1261" t="s">
        <v>98</v>
      </c>
    </row>
    <row r="7" spans="1:9" ht="61.5" customHeight="1" thickBot="1">
      <c r="A7" s="180" t="s">
        <v>32</v>
      </c>
      <c r="B7" s="181" t="s">
        <v>99</v>
      </c>
      <c r="C7" s="182" t="s">
        <v>100</v>
      </c>
      <c r="D7" s="1265"/>
      <c r="E7" s="1267"/>
      <c r="F7" s="1232"/>
      <c r="G7" s="1266"/>
      <c r="H7" s="1262"/>
      <c r="I7" s="1263"/>
    </row>
    <row r="8" spans="1:9" ht="14.25" customHeight="1" thickBot="1" thickTop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0" ht="17.25" customHeight="1" thickBot="1" thickTop="1">
      <c r="A9" s="183"/>
      <c r="B9" s="183"/>
      <c r="C9" s="1169" t="s">
        <v>101</v>
      </c>
      <c r="D9" s="1170">
        <f>D11+D18</f>
        <v>105713460</v>
      </c>
      <c r="E9" s="1170">
        <f>E11+E18</f>
        <v>15837</v>
      </c>
      <c r="F9" s="1170">
        <f>D9+E9</f>
        <v>105729297</v>
      </c>
      <c r="G9" s="1170">
        <f>G11+G18</f>
        <v>98677460</v>
      </c>
      <c r="H9" s="1170">
        <f>H11+H18</f>
        <v>15837</v>
      </c>
      <c r="I9" s="1170">
        <f>G9+H9</f>
        <v>98693297</v>
      </c>
      <c r="J9" s="149"/>
    </row>
    <row r="10" spans="1:10" ht="11.25" customHeight="1">
      <c r="A10" s="66"/>
      <c r="B10" s="66"/>
      <c r="C10" s="184" t="s">
        <v>49</v>
      </c>
      <c r="D10" s="185"/>
      <c r="E10" s="185"/>
      <c r="F10" s="185"/>
      <c r="G10" s="185"/>
      <c r="H10" s="185"/>
      <c r="I10" s="185"/>
      <c r="J10" s="149"/>
    </row>
    <row r="11" spans="1:10" ht="15.75" customHeight="1" thickBot="1">
      <c r="A11" s="186"/>
      <c r="B11" s="186"/>
      <c r="C11" s="1171" t="s">
        <v>102</v>
      </c>
      <c r="D11" s="1172">
        <v>78663996</v>
      </c>
      <c r="E11" s="1172">
        <f>E12</f>
        <v>4500</v>
      </c>
      <c r="F11" s="1172">
        <f aca="true" t="shared" si="0" ref="F11:F18">D11+E11</f>
        <v>78668496</v>
      </c>
      <c r="G11" s="1172">
        <v>77183996</v>
      </c>
      <c r="H11" s="1172">
        <f>H12</f>
        <v>4500</v>
      </c>
      <c r="I11" s="1172">
        <f aca="true" t="shared" si="1" ref="I11:I18">G11+H11</f>
        <v>77188496</v>
      </c>
      <c r="J11" s="149"/>
    </row>
    <row r="12" spans="1:10" ht="21" customHeight="1" thickTop="1">
      <c r="A12" s="187">
        <v>854</v>
      </c>
      <c r="B12" s="72"/>
      <c r="C12" s="678" t="s">
        <v>60</v>
      </c>
      <c r="D12" s="74"/>
      <c r="E12" s="74">
        <f>E13</f>
        <v>4500</v>
      </c>
      <c r="F12" s="74">
        <f t="shared" si="0"/>
        <v>4500</v>
      </c>
      <c r="G12" s="74"/>
      <c r="H12" s="74">
        <f>H13</f>
        <v>4500</v>
      </c>
      <c r="I12" s="74">
        <f t="shared" si="1"/>
        <v>4500</v>
      </c>
      <c r="J12" s="149"/>
    </row>
    <row r="13" spans="1:10" ht="21" customHeight="1">
      <c r="A13" s="188"/>
      <c r="B13" s="189">
        <v>85401</v>
      </c>
      <c r="C13" s="679" t="s">
        <v>552</v>
      </c>
      <c r="D13" s="190"/>
      <c r="E13" s="190">
        <f>E14</f>
        <v>4500</v>
      </c>
      <c r="F13" s="190">
        <f t="shared" si="0"/>
        <v>4500</v>
      </c>
      <c r="G13" s="190"/>
      <c r="H13" s="190">
        <f>H16</f>
        <v>4500</v>
      </c>
      <c r="I13" s="190">
        <f t="shared" si="1"/>
        <v>4500</v>
      </c>
      <c r="J13" s="149"/>
    </row>
    <row r="14" spans="1:10" ht="26.25" customHeight="1">
      <c r="A14" s="81"/>
      <c r="B14" s="683"/>
      <c r="C14" s="680" t="s">
        <v>403</v>
      </c>
      <c r="D14" s="191"/>
      <c r="E14" s="191">
        <f>E15</f>
        <v>4500</v>
      </c>
      <c r="F14" s="191">
        <f t="shared" si="0"/>
        <v>4500</v>
      </c>
      <c r="G14" s="191"/>
      <c r="H14" s="191"/>
      <c r="I14" s="191"/>
      <c r="J14" s="149"/>
    </row>
    <row r="15" spans="1:12" s="45" customFormat="1" ht="40.5" customHeight="1">
      <c r="A15" s="81"/>
      <c r="B15" s="682">
        <v>2010</v>
      </c>
      <c r="C15" s="681" t="s">
        <v>16</v>
      </c>
      <c r="D15" s="192"/>
      <c r="E15" s="192">
        <v>4500</v>
      </c>
      <c r="F15" s="192">
        <f t="shared" si="0"/>
        <v>4500</v>
      </c>
      <c r="G15" s="192"/>
      <c r="H15" s="192"/>
      <c r="I15" s="192"/>
      <c r="J15" s="149"/>
      <c r="K15"/>
      <c r="L15"/>
    </row>
    <row r="16" spans="1:10" s="283" customFormat="1" ht="16.5" customHeight="1">
      <c r="A16" s="220"/>
      <c r="B16" s="674"/>
      <c r="C16" s="673" t="s">
        <v>405</v>
      </c>
      <c r="D16" s="440"/>
      <c r="E16" s="440"/>
      <c r="F16" s="440"/>
      <c r="G16" s="440"/>
      <c r="H16" s="441">
        <f>H17</f>
        <v>4500</v>
      </c>
      <c r="I16" s="440">
        <f t="shared" si="1"/>
        <v>4500</v>
      </c>
      <c r="J16" s="237"/>
    </row>
    <row r="17" spans="1:12" s="45" customFormat="1" ht="19.5" customHeight="1">
      <c r="A17" s="81"/>
      <c r="B17" s="331">
        <v>4240</v>
      </c>
      <c r="C17" s="236" t="s">
        <v>414</v>
      </c>
      <c r="D17" s="192"/>
      <c r="E17" s="192"/>
      <c r="F17" s="192"/>
      <c r="G17" s="192"/>
      <c r="H17" s="146">
        <v>4500</v>
      </c>
      <c r="I17" s="192">
        <f t="shared" si="1"/>
        <v>4500</v>
      </c>
      <c r="J17" s="149"/>
      <c r="K17"/>
      <c r="L17"/>
    </row>
    <row r="18" spans="1:10" ht="30" customHeight="1">
      <c r="A18" s="193"/>
      <c r="B18" s="194"/>
      <c r="C18" s="941" t="s">
        <v>103</v>
      </c>
      <c r="D18" s="1173">
        <v>27049464</v>
      </c>
      <c r="E18" s="1173">
        <f>E19</f>
        <v>11337</v>
      </c>
      <c r="F18" s="1173">
        <f t="shared" si="0"/>
        <v>27060801</v>
      </c>
      <c r="G18" s="1173">
        <v>21493464</v>
      </c>
      <c r="H18" s="1173">
        <f>H19</f>
        <v>11337</v>
      </c>
      <c r="I18" s="1173">
        <f t="shared" si="1"/>
        <v>21504801</v>
      </c>
      <c r="J18" s="149"/>
    </row>
    <row r="19" spans="1:10" ht="21" customHeight="1">
      <c r="A19" s="187">
        <v>710</v>
      </c>
      <c r="B19" s="72"/>
      <c r="C19" s="678" t="s">
        <v>526</v>
      </c>
      <c r="D19" s="74">
        <v>551168</v>
      </c>
      <c r="E19" s="74">
        <f>E20</f>
        <v>11337</v>
      </c>
      <c r="F19" s="74">
        <f>D19+E19</f>
        <v>562505</v>
      </c>
      <c r="G19" s="74">
        <v>551168</v>
      </c>
      <c r="H19" s="74">
        <f>H20</f>
        <v>11337</v>
      </c>
      <c r="I19" s="74">
        <f>G19+H19</f>
        <v>562505</v>
      </c>
      <c r="J19" s="149"/>
    </row>
    <row r="20" spans="1:10" ht="21" customHeight="1">
      <c r="A20" s="188"/>
      <c r="B20" s="189">
        <v>71095</v>
      </c>
      <c r="C20" s="679" t="s">
        <v>57</v>
      </c>
      <c r="D20" s="190"/>
      <c r="E20" s="190">
        <f>E21</f>
        <v>11337</v>
      </c>
      <c r="F20" s="190">
        <f>D20+E20</f>
        <v>11337</v>
      </c>
      <c r="G20" s="190"/>
      <c r="H20" s="190">
        <f>H23</f>
        <v>11337</v>
      </c>
      <c r="I20" s="190">
        <f>G20+H20</f>
        <v>11337</v>
      </c>
      <c r="J20" s="149"/>
    </row>
    <row r="21" spans="1:10" ht="26.25" customHeight="1">
      <c r="A21" s="81"/>
      <c r="B21" s="683"/>
      <c r="C21" s="680" t="s">
        <v>669</v>
      </c>
      <c r="D21" s="191"/>
      <c r="E21" s="191">
        <f>E22</f>
        <v>11337</v>
      </c>
      <c r="F21" s="191">
        <f>D21+E21</f>
        <v>11337</v>
      </c>
      <c r="G21" s="191"/>
      <c r="H21" s="191"/>
      <c r="I21" s="191"/>
      <c r="J21" s="149"/>
    </row>
    <row r="22" spans="1:12" s="45" customFormat="1" ht="40.5" customHeight="1">
      <c r="A22" s="81"/>
      <c r="B22" s="682">
        <v>2110</v>
      </c>
      <c r="C22" s="681" t="s">
        <v>631</v>
      </c>
      <c r="D22" s="192"/>
      <c r="E22" s="192">
        <v>11337</v>
      </c>
      <c r="F22" s="192">
        <f>D22+E22</f>
        <v>11337</v>
      </c>
      <c r="G22" s="192"/>
      <c r="H22" s="192"/>
      <c r="I22" s="192"/>
      <c r="J22" s="149"/>
      <c r="K22"/>
      <c r="L22"/>
    </row>
    <row r="23" spans="1:10" s="283" customFormat="1" ht="16.5" customHeight="1">
      <c r="A23" s="220"/>
      <c r="B23" s="674"/>
      <c r="C23" s="673" t="s">
        <v>632</v>
      </c>
      <c r="D23" s="440"/>
      <c r="E23" s="440"/>
      <c r="F23" s="440"/>
      <c r="G23" s="440"/>
      <c r="H23" s="441">
        <f>H24</f>
        <v>11337</v>
      </c>
      <c r="I23" s="440">
        <f>G23+H23</f>
        <v>11337</v>
      </c>
      <c r="J23" s="237"/>
    </row>
    <row r="24" spans="1:12" s="45" customFormat="1" ht="19.5" customHeight="1">
      <c r="A24" s="82"/>
      <c r="B24" s="331">
        <v>4300</v>
      </c>
      <c r="C24" s="236" t="s">
        <v>76</v>
      </c>
      <c r="D24" s="192"/>
      <c r="E24" s="192"/>
      <c r="F24" s="192"/>
      <c r="G24" s="192"/>
      <c r="H24" s="146">
        <v>11337</v>
      </c>
      <c r="I24" s="192">
        <f>G24+H24</f>
        <v>11337</v>
      </c>
      <c r="J24" s="149"/>
      <c r="K24"/>
      <c r="L24"/>
    </row>
    <row r="28" spans="3:7" ht="12.75">
      <c r="C28" s="22" t="s">
        <v>691</v>
      </c>
      <c r="E28" s="527"/>
      <c r="F28" s="528"/>
      <c r="G28" s="22" t="s">
        <v>692</v>
      </c>
    </row>
    <row r="29" spans="3:7" ht="12.75">
      <c r="C29" s="22" t="s">
        <v>693</v>
      </c>
      <c r="E29" s="527"/>
      <c r="F29" s="528"/>
      <c r="G29" s="22" t="s">
        <v>694</v>
      </c>
    </row>
    <row r="30" spans="5:7" ht="12.75">
      <c r="E30" s="527"/>
      <c r="F30" s="528"/>
      <c r="G30" s="22" t="s">
        <v>695</v>
      </c>
    </row>
  </sheetData>
  <mergeCells count="6">
    <mergeCell ref="H6:H7"/>
    <mergeCell ref="I6:I7"/>
    <mergeCell ref="F6:F7"/>
    <mergeCell ref="D6:D7"/>
    <mergeCell ref="G6:G7"/>
    <mergeCell ref="E6:E7"/>
  </mergeCells>
  <printOptions horizontalCentered="1"/>
  <pageMargins left="0.7874015748031497" right="0.51" top="0.4724409448818898" bottom="0.38" header="0.5118110236220472" footer="0.18"/>
  <pageSetup firstPageNumber="55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K188"/>
  <sheetViews>
    <sheetView zoomScale="90" zoomScaleNormal="90" zoomScaleSheetLayoutView="75" workbookViewId="0" topLeftCell="A13">
      <pane ySplit="1200" topLeftCell="BM60" activePane="bottomLeft" state="split"/>
      <selection pane="topLeft" activeCell="F10" sqref="F10"/>
      <selection pane="bottomLeft" activeCell="C66" sqref="C66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57.00390625" style="22" customWidth="1"/>
    <col min="4" max="7" width="20.75390625" style="22" customWidth="1"/>
    <col min="8" max="8" width="11.875" style="22" customWidth="1"/>
    <col min="9" max="9" width="12.375" style="22" customWidth="1"/>
    <col min="10" max="10" width="13.375" style="22" customWidth="1"/>
    <col min="11" max="11" width="11.00390625" style="22" customWidth="1"/>
    <col min="12" max="16384" width="9.125" style="22" customWidth="1"/>
  </cols>
  <sheetData>
    <row r="1" ht="18" customHeight="1">
      <c r="F1" s="50" t="s">
        <v>444</v>
      </c>
    </row>
    <row r="2" ht="18" customHeight="1">
      <c r="F2" s="22" t="s">
        <v>624</v>
      </c>
    </row>
    <row r="3" ht="18" customHeight="1">
      <c r="F3" s="22" t="s">
        <v>27</v>
      </c>
    </row>
    <row r="4" spans="3:6" ht="18" customHeight="1">
      <c r="C4" s="4" t="s">
        <v>80</v>
      </c>
      <c r="F4" s="22" t="s">
        <v>625</v>
      </c>
    </row>
    <row r="5" ht="17.25" customHeight="1" thickBot="1">
      <c r="G5" s="54" t="s">
        <v>28</v>
      </c>
    </row>
    <row r="6" spans="1:7" ht="66.75" customHeight="1" thickBot="1" thickTop="1">
      <c r="A6" s="116" t="s">
        <v>81</v>
      </c>
      <c r="B6" s="116" t="s">
        <v>33</v>
      </c>
      <c r="C6" s="117" t="s">
        <v>85</v>
      </c>
      <c r="D6" s="118" t="s">
        <v>83</v>
      </c>
      <c r="E6" s="117" t="s">
        <v>70</v>
      </c>
      <c r="F6" s="117" t="s">
        <v>71</v>
      </c>
      <c r="G6" s="117" t="s">
        <v>84</v>
      </c>
    </row>
    <row r="7" spans="1:9" ht="18.75" customHeight="1" thickBot="1" thickTop="1">
      <c r="A7" s="16">
        <v>1</v>
      </c>
      <c r="B7" s="16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I7" s="47"/>
    </row>
    <row r="8" spans="1:11" ht="21.75" customHeight="1" thickBot="1" thickTop="1">
      <c r="A8" s="85"/>
      <c r="B8" s="120"/>
      <c r="C8" s="121" t="s">
        <v>48</v>
      </c>
      <c r="D8" s="122">
        <f>D10++D109+D114</f>
        <v>926530224</v>
      </c>
      <c r="E8" s="122">
        <f>E10+E109+E114</f>
        <v>756814</v>
      </c>
      <c r="F8" s="122">
        <f>F10+F109+F114</f>
        <v>1541740</v>
      </c>
      <c r="G8" s="122">
        <f>D8+F8-E8</f>
        <v>927315150</v>
      </c>
      <c r="H8" s="47">
        <f>F8-E8</f>
        <v>784926</v>
      </c>
      <c r="I8" s="47">
        <f>H8-'doch RM'!E8</f>
        <v>0</v>
      </c>
      <c r="J8" s="47"/>
      <c r="K8" s="47"/>
    </row>
    <row r="9" spans="1:9" ht="19.5" customHeight="1">
      <c r="A9" s="67"/>
      <c r="B9" s="67"/>
      <c r="C9" s="67" t="s">
        <v>49</v>
      </c>
      <c r="D9" s="123"/>
      <c r="E9" s="123"/>
      <c r="F9" s="123"/>
      <c r="G9" s="123"/>
      <c r="I9" s="124"/>
    </row>
    <row r="10" spans="1:11" ht="17.25" customHeight="1" thickBot="1">
      <c r="A10" s="86"/>
      <c r="B10" s="86"/>
      <c r="C10" s="91" t="s">
        <v>51</v>
      </c>
      <c r="D10" s="88">
        <v>823776739</v>
      </c>
      <c r="E10" s="125">
        <f>E19+E76+E101+E59+E71+E82+E11+E27</f>
        <v>756814</v>
      </c>
      <c r="F10" s="125">
        <f>F19+F76+F101+F59+F71+F82+F11+F27</f>
        <v>1525903</v>
      </c>
      <c r="G10" s="125">
        <f aca="true" t="shared" si="0" ref="G10:G74">D10+F10-E10</f>
        <v>824545828</v>
      </c>
      <c r="H10" s="47"/>
      <c r="I10" s="47"/>
      <c r="K10" s="47"/>
    </row>
    <row r="11" spans="1:11" ht="21" customHeight="1" thickTop="1">
      <c r="A11" s="89">
        <v>750</v>
      </c>
      <c r="B11" s="89"/>
      <c r="C11" s="89" t="s">
        <v>62</v>
      </c>
      <c r="D11" s="74">
        <v>63232441</v>
      </c>
      <c r="E11" s="75">
        <f>E12</f>
        <v>135000</v>
      </c>
      <c r="F11" s="75">
        <f>F12</f>
        <v>135000</v>
      </c>
      <c r="G11" s="75">
        <f t="shared" si="0"/>
        <v>63232441</v>
      </c>
      <c r="H11" s="47"/>
      <c r="I11" s="47"/>
      <c r="K11" s="47"/>
    </row>
    <row r="12" spans="1:11" s="130" customFormat="1" ht="21" customHeight="1">
      <c r="A12" s="81"/>
      <c r="B12" s="78">
        <v>75023</v>
      </c>
      <c r="C12" s="78" t="s">
        <v>78</v>
      </c>
      <c r="D12" s="137">
        <v>59552000</v>
      </c>
      <c r="E12" s="137">
        <f>E13+E14</f>
        <v>135000</v>
      </c>
      <c r="F12" s="137">
        <f>F13+F14</f>
        <v>135000</v>
      </c>
      <c r="G12" s="137">
        <f t="shared" si="0"/>
        <v>59552000</v>
      </c>
      <c r="H12" s="138"/>
      <c r="I12" s="138"/>
      <c r="K12" s="138"/>
    </row>
    <row r="13" spans="1:11" s="130" customFormat="1" ht="21" customHeight="1">
      <c r="A13" s="209"/>
      <c r="B13" s="210"/>
      <c r="C13" s="101" t="s">
        <v>79</v>
      </c>
      <c r="D13" s="143">
        <v>11846000</v>
      </c>
      <c r="E13" s="143"/>
      <c r="F13" s="143">
        <v>135000</v>
      </c>
      <c r="G13" s="143">
        <f>F13+D13-E13</f>
        <v>11981000</v>
      </c>
      <c r="H13" s="138"/>
      <c r="I13" s="138"/>
      <c r="K13" s="138"/>
    </row>
    <row r="14" spans="1:11" s="130" customFormat="1" ht="21" customHeight="1">
      <c r="A14" s="209"/>
      <c r="B14" s="220"/>
      <c r="C14" s="101" t="s">
        <v>105</v>
      </c>
      <c r="D14" s="906">
        <v>6322000</v>
      </c>
      <c r="E14" s="906">
        <v>135000</v>
      </c>
      <c r="F14" s="906"/>
      <c r="G14" s="906">
        <f>F14+D14-E14</f>
        <v>6187000</v>
      </c>
      <c r="H14" s="138"/>
      <c r="I14" s="138"/>
      <c r="K14" s="138"/>
    </row>
    <row r="15" spans="1:11" ht="21" customHeight="1">
      <c r="A15" s="89">
        <v>754</v>
      </c>
      <c r="B15" s="89"/>
      <c r="C15" s="89" t="s">
        <v>52</v>
      </c>
      <c r="D15" s="74">
        <v>6443000</v>
      </c>
      <c r="E15" s="75"/>
      <c r="F15" s="75"/>
      <c r="G15" s="75">
        <f t="shared" si="0"/>
        <v>6443000</v>
      </c>
      <c r="H15" s="47"/>
      <c r="I15" s="47"/>
      <c r="K15" s="47"/>
    </row>
    <row r="16" spans="1:11" s="130" customFormat="1" ht="21" customHeight="1">
      <c r="A16" s="81"/>
      <c r="B16" s="78">
        <v>75412</v>
      </c>
      <c r="C16" s="78" t="s">
        <v>165</v>
      </c>
      <c r="D16" s="137">
        <v>65000</v>
      </c>
      <c r="E16" s="137"/>
      <c r="F16" s="137"/>
      <c r="G16" s="137">
        <f t="shared" si="0"/>
        <v>65000</v>
      </c>
      <c r="H16" s="138"/>
      <c r="I16" s="138"/>
      <c r="K16" s="138"/>
    </row>
    <row r="17" spans="1:11" s="130" customFormat="1" ht="21" customHeight="1">
      <c r="A17" s="209"/>
      <c r="B17" s="210"/>
      <c r="C17" s="101" t="s">
        <v>166</v>
      </c>
      <c r="D17" s="676">
        <v>65000</v>
      </c>
      <c r="E17" s="676"/>
      <c r="F17" s="676"/>
      <c r="G17" s="676">
        <f t="shared" si="0"/>
        <v>65000</v>
      </c>
      <c r="H17" s="138"/>
      <c r="I17" s="138"/>
      <c r="K17" s="138"/>
    </row>
    <row r="18" spans="1:11" s="158" customFormat="1" ht="21" customHeight="1">
      <c r="A18" s="208"/>
      <c r="B18" s="172"/>
      <c r="C18" s="330" t="s">
        <v>626</v>
      </c>
      <c r="D18" s="163"/>
      <c r="E18" s="163"/>
      <c r="F18" s="163">
        <v>8000</v>
      </c>
      <c r="G18" s="163">
        <f t="shared" si="0"/>
        <v>8000</v>
      </c>
      <c r="H18" s="157"/>
      <c r="I18" s="157"/>
      <c r="K18" s="157"/>
    </row>
    <row r="19" spans="1:11" ht="21" customHeight="1">
      <c r="A19" s="89">
        <v>758</v>
      </c>
      <c r="B19" s="89"/>
      <c r="C19" s="89" t="s">
        <v>53</v>
      </c>
      <c r="D19" s="74">
        <v>13072987</v>
      </c>
      <c r="E19" s="75">
        <f>E20+E23</f>
        <v>285971</v>
      </c>
      <c r="F19" s="75">
        <f>F20+F23</f>
        <v>24800</v>
      </c>
      <c r="G19" s="75">
        <f t="shared" si="0"/>
        <v>12811816</v>
      </c>
      <c r="H19" s="47"/>
      <c r="I19" s="47"/>
      <c r="K19" s="47"/>
    </row>
    <row r="20" spans="1:11" s="130" customFormat="1" ht="21" customHeight="1">
      <c r="A20" s="683"/>
      <c r="B20" s="77">
        <v>75818</v>
      </c>
      <c r="C20" s="77" t="s">
        <v>54</v>
      </c>
      <c r="D20" s="137">
        <v>9909964</v>
      </c>
      <c r="E20" s="137">
        <f>E22+E21</f>
        <v>285971</v>
      </c>
      <c r="F20" s="137"/>
      <c r="G20" s="137">
        <f t="shared" si="0"/>
        <v>9623993</v>
      </c>
      <c r="H20" s="138"/>
      <c r="I20" s="138"/>
      <c r="K20" s="138"/>
    </row>
    <row r="21" spans="1:11" s="130" customFormat="1" ht="21" customHeight="1">
      <c r="A21" s="209"/>
      <c r="B21" s="210"/>
      <c r="C21" s="98" t="s">
        <v>563</v>
      </c>
      <c r="D21" s="143">
        <v>5737097</v>
      </c>
      <c r="E21" s="143">
        <v>260000</v>
      </c>
      <c r="F21" s="143"/>
      <c r="G21" s="143">
        <f t="shared" si="0"/>
        <v>5477097</v>
      </c>
      <c r="H21" s="138"/>
      <c r="I21" s="138"/>
      <c r="K21" s="138"/>
    </row>
    <row r="22" spans="1:11" s="130" customFormat="1" ht="27.75" customHeight="1">
      <c r="A22" s="209"/>
      <c r="B22" s="907"/>
      <c r="C22" s="898" t="s">
        <v>535</v>
      </c>
      <c r="D22" s="906">
        <v>3322867</v>
      </c>
      <c r="E22" s="906">
        <v>25971</v>
      </c>
      <c r="F22" s="906"/>
      <c r="G22" s="906">
        <f t="shared" si="0"/>
        <v>3296896</v>
      </c>
      <c r="H22" s="138"/>
      <c r="I22" s="138"/>
      <c r="K22" s="138"/>
    </row>
    <row r="23" spans="1:11" s="130" customFormat="1" ht="21" customHeight="1">
      <c r="A23" s="81"/>
      <c r="B23" s="78">
        <v>75860</v>
      </c>
      <c r="C23" s="78" t="s">
        <v>587</v>
      </c>
      <c r="D23" s="756">
        <v>408239</v>
      </c>
      <c r="E23" s="756"/>
      <c r="F23" s="756">
        <f>F24</f>
        <v>24800</v>
      </c>
      <c r="G23" s="756">
        <f t="shared" si="0"/>
        <v>433039</v>
      </c>
      <c r="H23" s="138"/>
      <c r="I23" s="138"/>
      <c r="K23" s="138"/>
    </row>
    <row r="24" spans="1:11" s="130" customFormat="1" ht="26.25" customHeight="1">
      <c r="A24" s="80"/>
      <c r="B24" s="499"/>
      <c r="C24" s="101" t="s">
        <v>588</v>
      </c>
      <c r="D24" s="144">
        <v>156700</v>
      </c>
      <c r="E24" s="144"/>
      <c r="F24" s="144">
        <v>24800</v>
      </c>
      <c r="G24" s="144">
        <f t="shared" si="0"/>
        <v>181500</v>
      </c>
      <c r="H24" s="138"/>
      <c r="I24" s="138"/>
      <c r="K24" s="138"/>
    </row>
    <row r="25" spans="1:11" s="160" customFormat="1" ht="21" customHeight="1">
      <c r="A25" s="207"/>
      <c r="B25" s="81"/>
      <c r="C25" s="697" t="s">
        <v>627</v>
      </c>
      <c r="D25" s="904">
        <f>67500+22500</f>
        <v>90000</v>
      </c>
      <c r="E25" s="904"/>
      <c r="F25" s="904">
        <v>16000</v>
      </c>
      <c r="G25" s="904">
        <f t="shared" si="0"/>
        <v>106000</v>
      </c>
      <c r="H25" s="159"/>
      <c r="I25" s="159"/>
      <c r="K25" s="159"/>
    </row>
    <row r="26" spans="1:11" s="160" customFormat="1" ht="21" customHeight="1">
      <c r="A26" s="889"/>
      <c r="B26" s="890"/>
      <c r="C26" s="905"/>
      <c r="D26" s="903"/>
      <c r="E26" s="903"/>
      <c r="F26" s="903"/>
      <c r="G26" s="903"/>
      <c r="H26" s="159"/>
      <c r="I26" s="159"/>
      <c r="K26" s="159"/>
    </row>
    <row r="27" spans="1:11" ht="21" customHeight="1">
      <c r="A27" s="456">
        <v>801</v>
      </c>
      <c r="B27" s="73"/>
      <c r="C27" s="92" t="s">
        <v>58</v>
      </c>
      <c r="D27" s="74">
        <v>352746308</v>
      </c>
      <c r="E27" s="75">
        <f>E31+E36+E39+E42+E45+E47+E50+E53+E56+E28</f>
        <v>175500</v>
      </c>
      <c r="F27" s="75">
        <f>F31+F36+F39+F42+F45+F47+F50+F53+F56+F28</f>
        <v>175500</v>
      </c>
      <c r="G27" s="75">
        <f t="shared" si="0"/>
        <v>352746308</v>
      </c>
      <c r="H27" s="47"/>
      <c r="I27" s="47"/>
      <c r="K27" s="47"/>
    </row>
    <row r="28" spans="1:11" s="95" customFormat="1" ht="18.75" customHeight="1">
      <c r="A28" s="76"/>
      <c r="B28" s="78">
        <v>80101</v>
      </c>
      <c r="C28" s="78" t="s">
        <v>409</v>
      </c>
      <c r="D28" s="756">
        <v>100616339</v>
      </c>
      <c r="E28" s="675">
        <f>E29</f>
        <v>1760</v>
      </c>
      <c r="F28" s="675"/>
      <c r="G28" s="675">
        <f t="shared" si="0"/>
        <v>100614579</v>
      </c>
      <c r="H28" s="138"/>
      <c r="I28" s="138"/>
      <c r="K28" s="94"/>
    </row>
    <row r="29" spans="1:11" s="95" customFormat="1" ht="18.75" customHeight="1">
      <c r="A29" s="80"/>
      <c r="B29" s="499"/>
      <c r="C29" s="691" t="s">
        <v>79</v>
      </c>
      <c r="D29" s="143">
        <v>11565145</v>
      </c>
      <c r="E29" s="757">
        <f>E30</f>
        <v>1760</v>
      </c>
      <c r="F29" s="757"/>
      <c r="G29" s="757">
        <f t="shared" si="0"/>
        <v>11563385</v>
      </c>
      <c r="H29" s="138"/>
      <c r="I29" s="138"/>
      <c r="K29" s="94"/>
    </row>
    <row r="30" spans="1:11" s="758" customFormat="1" ht="18.75" customHeight="1">
      <c r="A30" s="207"/>
      <c r="B30" s="81"/>
      <c r="C30" s="688" t="s">
        <v>626</v>
      </c>
      <c r="D30" s="742">
        <v>568475</v>
      </c>
      <c r="E30" s="761">
        <f>9018-7258</f>
        <v>1760</v>
      </c>
      <c r="F30" s="761"/>
      <c r="G30" s="761">
        <f t="shared" si="0"/>
        <v>566715</v>
      </c>
      <c r="H30" s="159"/>
      <c r="I30" s="159"/>
      <c r="K30" s="759"/>
    </row>
    <row r="31" spans="1:11" s="130" customFormat="1" ht="21" customHeight="1">
      <c r="A31" s="76"/>
      <c r="B31" s="77">
        <v>80104</v>
      </c>
      <c r="C31" s="77" t="s">
        <v>108</v>
      </c>
      <c r="D31" s="137">
        <v>49001100</v>
      </c>
      <c r="E31" s="137">
        <f>E32+E33+E35</f>
        <v>147740</v>
      </c>
      <c r="F31" s="137">
        <f>F32+F33+F35</f>
        <v>147740</v>
      </c>
      <c r="G31" s="137">
        <f t="shared" si="0"/>
        <v>49001100</v>
      </c>
      <c r="H31" s="138"/>
      <c r="I31" s="138"/>
      <c r="K31" s="138"/>
    </row>
    <row r="32" spans="1:11" s="130" customFormat="1" ht="21" customHeight="1">
      <c r="A32" s="80"/>
      <c r="B32" s="499"/>
      <c r="C32" s="689" t="s">
        <v>266</v>
      </c>
      <c r="D32" s="143">
        <v>31127000</v>
      </c>
      <c r="E32" s="143">
        <v>147740</v>
      </c>
      <c r="F32" s="143"/>
      <c r="G32" s="143">
        <f t="shared" si="0"/>
        <v>30979260</v>
      </c>
      <c r="H32" s="138"/>
      <c r="I32" s="138"/>
      <c r="K32" s="138"/>
    </row>
    <row r="33" spans="1:11" s="130" customFormat="1" ht="21" customHeight="1">
      <c r="A33" s="80"/>
      <c r="B33" s="66"/>
      <c r="C33" s="689" t="s">
        <v>79</v>
      </c>
      <c r="D33" s="909">
        <v>6179095</v>
      </c>
      <c r="E33" s="909"/>
      <c r="F33" s="909">
        <f>140340-2170</f>
        <v>138170</v>
      </c>
      <c r="G33" s="909">
        <f t="shared" si="0"/>
        <v>6317265</v>
      </c>
      <c r="H33" s="138"/>
      <c r="I33" s="138"/>
      <c r="K33" s="138"/>
    </row>
    <row r="34" spans="1:11" s="158" customFormat="1" ht="21" customHeight="1">
      <c r="A34" s="208"/>
      <c r="B34" s="172"/>
      <c r="C34" s="908" t="s">
        <v>626</v>
      </c>
      <c r="D34" s="487">
        <v>101623</v>
      </c>
      <c r="E34" s="487">
        <v>200</v>
      </c>
      <c r="F34" s="487"/>
      <c r="G34" s="487">
        <f t="shared" si="0"/>
        <v>101423</v>
      </c>
      <c r="H34" s="157"/>
      <c r="I34" s="157"/>
      <c r="K34" s="157"/>
    </row>
    <row r="35" spans="1:11" s="130" customFormat="1" ht="21" customHeight="1">
      <c r="A35" s="80"/>
      <c r="B35" s="69"/>
      <c r="C35" s="69" t="s">
        <v>263</v>
      </c>
      <c r="D35" s="906">
        <v>1394905</v>
      </c>
      <c r="E35" s="906"/>
      <c r="F35" s="906">
        <v>9570</v>
      </c>
      <c r="G35" s="906">
        <f t="shared" si="0"/>
        <v>1404475</v>
      </c>
      <c r="H35" s="138"/>
      <c r="I35" s="138"/>
      <c r="K35" s="138"/>
    </row>
    <row r="36" spans="1:11" s="95" customFormat="1" ht="18.75" customHeight="1">
      <c r="A36" s="76"/>
      <c r="B36" s="78">
        <v>80110</v>
      </c>
      <c r="C36" s="78" t="s">
        <v>410</v>
      </c>
      <c r="D36" s="756">
        <v>54292549</v>
      </c>
      <c r="E36" s="675"/>
      <c r="F36" s="675">
        <f>F37</f>
        <v>1760</v>
      </c>
      <c r="G36" s="675">
        <f t="shared" si="0"/>
        <v>54294309</v>
      </c>
      <c r="H36" s="138"/>
      <c r="I36" s="138"/>
      <c r="K36" s="94"/>
    </row>
    <row r="37" spans="1:11" s="95" customFormat="1" ht="18.75" customHeight="1">
      <c r="A37" s="80"/>
      <c r="B37" s="499"/>
      <c r="C37" s="910" t="s">
        <v>79</v>
      </c>
      <c r="D37" s="144">
        <v>6154825</v>
      </c>
      <c r="E37" s="762"/>
      <c r="F37" s="762">
        <f>4760-3000</f>
        <v>1760</v>
      </c>
      <c r="G37" s="762">
        <f t="shared" si="0"/>
        <v>6156585</v>
      </c>
      <c r="H37" s="138"/>
      <c r="I37" s="138"/>
      <c r="K37" s="94"/>
    </row>
    <row r="38" spans="1:11" s="758" customFormat="1" ht="18.75" customHeight="1">
      <c r="A38" s="207"/>
      <c r="B38" s="81"/>
      <c r="C38" s="911" t="s">
        <v>626</v>
      </c>
      <c r="D38" s="912">
        <v>312908</v>
      </c>
      <c r="E38" s="913"/>
      <c r="F38" s="913">
        <v>1760</v>
      </c>
      <c r="G38" s="913">
        <f t="shared" si="0"/>
        <v>314668</v>
      </c>
      <c r="H38" s="159"/>
      <c r="I38" s="159"/>
      <c r="K38" s="759"/>
    </row>
    <row r="39" spans="1:11" s="95" customFormat="1" ht="18.75" customHeight="1">
      <c r="A39" s="76"/>
      <c r="B39" s="77">
        <v>80121</v>
      </c>
      <c r="C39" s="77" t="s">
        <v>546</v>
      </c>
      <c r="D39" s="137">
        <v>810000</v>
      </c>
      <c r="E39" s="79">
        <f>E40+E41</f>
        <v>2000</v>
      </c>
      <c r="F39" s="79">
        <f>F40+F41</f>
        <v>2000</v>
      </c>
      <c r="G39" s="79">
        <f t="shared" si="0"/>
        <v>810000</v>
      </c>
      <c r="H39" s="138"/>
      <c r="I39" s="138"/>
      <c r="K39" s="94"/>
    </row>
    <row r="40" spans="1:11" s="95" customFormat="1" ht="18.75" customHeight="1">
      <c r="A40" s="80"/>
      <c r="B40" s="499"/>
      <c r="C40" s="691" t="s">
        <v>79</v>
      </c>
      <c r="D40" s="143">
        <v>77500</v>
      </c>
      <c r="E40" s="757"/>
      <c r="F40" s="757">
        <v>2000</v>
      </c>
      <c r="G40" s="757">
        <f t="shared" si="0"/>
        <v>79500</v>
      </c>
      <c r="H40" s="138"/>
      <c r="I40" s="138"/>
      <c r="K40" s="94"/>
    </row>
    <row r="41" spans="1:11" s="95" customFormat="1" ht="18.75" customHeight="1">
      <c r="A41" s="80"/>
      <c r="B41" s="66"/>
      <c r="C41" s="887" t="s">
        <v>105</v>
      </c>
      <c r="D41" s="909">
        <v>117800</v>
      </c>
      <c r="E41" s="888">
        <v>2000</v>
      </c>
      <c r="F41" s="888"/>
      <c r="G41" s="888">
        <f t="shared" si="0"/>
        <v>115800</v>
      </c>
      <c r="H41" s="138"/>
      <c r="I41" s="138"/>
      <c r="K41" s="94"/>
    </row>
    <row r="42" spans="1:11" s="95" customFormat="1" ht="18.75" customHeight="1">
      <c r="A42" s="76"/>
      <c r="B42" s="77">
        <v>80123</v>
      </c>
      <c r="C42" s="77" t="s">
        <v>547</v>
      </c>
      <c r="D42" s="137">
        <v>8592000</v>
      </c>
      <c r="E42" s="79">
        <f>E43+E44</f>
        <v>9000</v>
      </c>
      <c r="F42" s="79">
        <f>F43+F44</f>
        <v>9000</v>
      </c>
      <c r="G42" s="79">
        <f t="shared" si="0"/>
        <v>8592000</v>
      </c>
      <c r="H42" s="138"/>
      <c r="I42" s="138"/>
      <c r="K42" s="94"/>
    </row>
    <row r="43" spans="1:11" s="95" customFormat="1" ht="18.75" customHeight="1">
      <c r="A43" s="80"/>
      <c r="B43" s="499"/>
      <c r="C43" s="691" t="s">
        <v>79</v>
      </c>
      <c r="D43" s="143">
        <v>635400</v>
      </c>
      <c r="E43" s="757"/>
      <c r="F43" s="757">
        <v>9000</v>
      </c>
      <c r="G43" s="757">
        <f t="shared" si="0"/>
        <v>644400</v>
      </c>
      <c r="H43" s="138"/>
      <c r="I43" s="138"/>
      <c r="K43" s="94"/>
    </row>
    <row r="44" spans="1:11" s="95" customFormat="1" ht="18.75" customHeight="1">
      <c r="A44" s="80"/>
      <c r="B44" s="66"/>
      <c r="C44" s="887" t="s">
        <v>105</v>
      </c>
      <c r="D44" s="909">
        <v>1267300</v>
      </c>
      <c r="E44" s="888">
        <v>9000</v>
      </c>
      <c r="F44" s="888"/>
      <c r="G44" s="888">
        <f t="shared" si="0"/>
        <v>1258300</v>
      </c>
      <c r="H44" s="138"/>
      <c r="I44" s="138"/>
      <c r="K44" s="94"/>
    </row>
    <row r="45" spans="1:11" s="95" customFormat="1" ht="18.75" customHeight="1">
      <c r="A45" s="76"/>
      <c r="B45" s="77">
        <v>80130</v>
      </c>
      <c r="C45" s="77" t="s">
        <v>107</v>
      </c>
      <c r="D45" s="137">
        <v>50453386</v>
      </c>
      <c r="E45" s="79">
        <f>E46</f>
        <v>5000</v>
      </c>
      <c r="F45" s="79"/>
      <c r="G45" s="79">
        <f t="shared" si="0"/>
        <v>50448386</v>
      </c>
      <c r="H45" s="138"/>
      <c r="I45" s="138"/>
      <c r="K45" s="94"/>
    </row>
    <row r="46" spans="1:11" s="95" customFormat="1" ht="18.75" customHeight="1">
      <c r="A46" s="80"/>
      <c r="B46" s="854"/>
      <c r="C46" s="901" t="s">
        <v>79</v>
      </c>
      <c r="D46" s="899">
        <v>4766906</v>
      </c>
      <c r="E46" s="902">
        <f>33000-28000</f>
        <v>5000</v>
      </c>
      <c r="F46" s="902"/>
      <c r="G46" s="902">
        <f t="shared" si="0"/>
        <v>4761906</v>
      </c>
      <c r="H46" s="138"/>
      <c r="I46" s="138"/>
      <c r="K46" s="94"/>
    </row>
    <row r="47" spans="1:11" s="95" customFormat="1" ht="18.75" customHeight="1">
      <c r="A47" s="76"/>
      <c r="B47" s="78">
        <v>80132</v>
      </c>
      <c r="C47" s="78" t="s">
        <v>549</v>
      </c>
      <c r="D47" s="756">
        <v>3695000</v>
      </c>
      <c r="E47" s="675">
        <f>E48+E49</f>
        <v>8000</v>
      </c>
      <c r="F47" s="675">
        <f>F48+F49</f>
        <v>8000</v>
      </c>
      <c r="G47" s="675">
        <f t="shared" si="0"/>
        <v>3695000</v>
      </c>
      <c r="H47" s="138"/>
      <c r="I47" s="138"/>
      <c r="K47" s="94"/>
    </row>
    <row r="48" spans="1:11" s="95" customFormat="1" ht="18.75" customHeight="1">
      <c r="A48" s="80"/>
      <c r="B48" s="499"/>
      <c r="C48" s="691" t="s">
        <v>105</v>
      </c>
      <c r="D48" s="143">
        <v>569100</v>
      </c>
      <c r="E48" s="757">
        <v>8000</v>
      </c>
      <c r="F48" s="757"/>
      <c r="G48" s="757">
        <f t="shared" si="0"/>
        <v>561100</v>
      </c>
      <c r="H48" s="138"/>
      <c r="I48" s="138"/>
      <c r="K48" s="94"/>
    </row>
    <row r="49" spans="1:11" s="130" customFormat="1" ht="21" customHeight="1">
      <c r="A49" s="80"/>
      <c r="B49" s="66"/>
      <c r="C49" s="765" t="s">
        <v>263</v>
      </c>
      <c r="D49" s="909"/>
      <c r="E49" s="909"/>
      <c r="F49" s="909">
        <v>8000</v>
      </c>
      <c r="G49" s="909">
        <f t="shared" si="0"/>
        <v>8000</v>
      </c>
      <c r="H49" s="138"/>
      <c r="I49" s="138"/>
      <c r="K49" s="138"/>
    </row>
    <row r="50" spans="1:11" s="95" customFormat="1" ht="18.75" customHeight="1">
      <c r="A50" s="76"/>
      <c r="B50" s="77">
        <v>80134</v>
      </c>
      <c r="C50" s="77" t="s">
        <v>550</v>
      </c>
      <c r="D50" s="137">
        <v>5100000</v>
      </c>
      <c r="E50" s="79">
        <f>E51+E52</f>
        <v>2000</v>
      </c>
      <c r="F50" s="79">
        <f>F51+F52</f>
        <v>2000</v>
      </c>
      <c r="G50" s="79">
        <f t="shared" si="0"/>
        <v>5100000</v>
      </c>
      <c r="H50" s="138"/>
      <c r="I50" s="138"/>
      <c r="K50" s="94"/>
    </row>
    <row r="51" spans="1:11" s="95" customFormat="1" ht="18.75" customHeight="1">
      <c r="A51" s="80"/>
      <c r="B51" s="499"/>
      <c r="C51" s="691" t="s">
        <v>79</v>
      </c>
      <c r="D51" s="143">
        <v>465600</v>
      </c>
      <c r="E51" s="757"/>
      <c r="F51" s="757">
        <v>2000</v>
      </c>
      <c r="G51" s="757">
        <f t="shared" si="0"/>
        <v>467600</v>
      </c>
      <c r="H51" s="138"/>
      <c r="I51" s="138"/>
      <c r="K51" s="94"/>
    </row>
    <row r="52" spans="1:11" s="95" customFormat="1" ht="18.75" customHeight="1">
      <c r="A52" s="80"/>
      <c r="B52" s="66"/>
      <c r="C52" s="887" t="s">
        <v>105</v>
      </c>
      <c r="D52" s="909">
        <v>738200</v>
      </c>
      <c r="E52" s="888">
        <v>2000</v>
      </c>
      <c r="F52" s="888"/>
      <c r="G52" s="888">
        <f t="shared" si="0"/>
        <v>736200</v>
      </c>
      <c r="H52" s="138"/>
      <c r="I52" s="138"/>
      <c r="K52" s="94"/>
    </row>
    <row r="53" spans="1:11" s="95" customFormat="1" ht="27.75" customHeight="1">
      <c r="A53" s="76"/>
      <c r="B53" s="77">
        <v>80140</v>
      </c>
      <c r="C53" s="334" t="s">
        <v>506</v>
      </c>
      <c r="D53" s="137">
        <v>10792620</v>
      </c>
      <c r="E53" s="79"/>
      <c r="F53" s="79">
        <f>F54</f>
        <v>5000</v>
      </c>
      <c r="G53" s="79">
        <f t="shared" si="0"/>
        <v>10797620</v>
      </c>
      <c r="H53" s="138"/>
      <c r="I53" s="138"/>
      <c r="K53" s="94"/>
    </row>
    <row r="54" spans="1:11" s="95" customFormat="1" ht="18.75" customHeight="1">
      <c r="A54" s="80"/>
      <c r="B54" s="499"/>
      <c r="C54" s="910" t="s">
        <v>79</v>
      </c>
      <c r="D54" s="144">
        <v>1159200</v>
      </c>
      <c r="E54" s="762"/>
      <c r="F54" s="762">
        <v>5000</v>
      </c>
      <c r="G54" s="762">
        <f t="shared" si="0"/>
        <v>1164200</v>
      </c>
      <c r="H54" s="138"/>
      <c r="I54" s="138"/>
      <c r="K54" s="94"/>
    </row>
    <row r="55" spans="1:11" s="95" customFormat="1" ht="18.75" customHeight="1">
      <c r="A55" s="965"/>
      <c r="B55" s="966"/>
      <c r="C55" s="967"/>
      <c r="D55" s="968"/>
      <c r="E55" s="969"/>
      <c r="F55" s="969"/>
      <c r="G55" s="969"/>
      <c r="H55" s="138"/>
      <c r="I55" s="138"/>
      <c r="K55" s="94"/>
    </row>
    <row r="56" spans="1:11" s="95" customFormat="1" ht="18.75" customHeight="1">
      <c r="A56" s="76"/>
      <c r="B56" s="78">
        <v>80146</v>
      </c>
      <c r="C56" s="78" t="s">
        <v>413</v>
      </c>
      <c r="D56" s="756">
        <v>1630000</v>
      </c>
      <c r="E56" s="675"/>
      <c r="F56" s="675"/>
      <c r="G56" s="675">
        <f t="shared" si="0"/>
        <v>1630000</v>
      </c>
      <c r="H56" s="138"/>
      <c r="I56" s="138"/>
      <c r="K56" s="94"/>
    </row>
    <row r="57" spans="1:11" s="95" customFormat="1" ht="18.75" customHeight="1">
      <c r="A57" s="80"/>
      <c r="B57" s="499"/>
      <c r="C57" s="691" t="s">
        <v>537</v>
      </c>
      <c r="D57" s="143">
        <v>1630000</v>
      </c>
      <c r="E57" s="757"/>
      <c r="F57" s="757"/>
      <c r="G57" s="757">
        <f t="shared" si="0"/>
        <v>1630000</v>
      </c>
      <c r="H57" s="138"/>
      <c r="I57" s="138"/>
      <c r="K57" s="94"/>
    </row>
    <row r="58" spans="1:11" s="758" customFormat="1" ht="18.75" customHeight="1">
      <c r="A58" s="207"/>
      <c r="B58" s="81"/>
      <c r="C58" s="688" t="s">
        <v>627</v>
      </c>
      <c r="D58" s="154">
        <f>560608+110650</f>
        <v>671258</v>
      </c>
      <c r="E58" s="730">
        <v>2200</v>
      </c>
      <c r="F58" s="730"/>
      <c r="G58" s="730">
        <f t="shared" si="0"/>
        <v>669058</v>
      </c>
      <c r="H58" s="159"/>
      <c r="I58" s="159"/>
      <c r="K58" s="759"/>
    </row>
    <row r="59" spans="1:11" ht="21" customHeight="1">
      <c r="A59" s="72">
        <v>851</v>
      </c>
      <c r="B59" s="89"/>
      <c r="C59" s="92" t="s">
        <v>61</v>
      </c>
      <c r="D59" s="74">
        <v>6235000</v>
      </c>
      <c r="E59" s="75">
        <f>E60+E62+E64+E67</f>
        <v>16500</v>
      </c>
      <c r="F59" s="75">
        <f>F60+F62+F64+F67</f>
        <v>16500</v>
      </c>
      <c r="G59" s="75">
        <f t="shared" si="0"/>
        <v>6235000</v>
      </c>
      <c r="H59" s="47"/>
      <c r="I59" s="47"/>
      <c r="K59" s="47"/>
    </row>
    <row r="60" spans="1:11" s="130" customFormat="1" ht="21" customHeight="1">
      <c r="A60" s="76"/>
      <c r="B60" s="77">
        <v>85121</v>
      </c>
      <c r="C60" s="77" t="s">
        <v>294</v>
      </c>
      <c r="D60" s="137">
        <v>1020000</v>
      </c>
      <c r="E60" s="137">
        <f>E61</f>
        <v>16500</v>
      </c>
      <c r="F60" s="137"/>
      <c r="G60" s="137">
        <f t="shared" si="0"/>
        <v>1003500</v>
      </c>
      <c r="H60" s="138"/>
      <c r="I60" s="138"/>
      <c r="K60" s="138"/>
    </row>
    <row r="61" spans="1:11" s="130" customFormat="1" ht="21" customHeight="1">
      <c r="A61" s="80"/>
      <c r="B61" s="854"/>
      <c r="C61" s="854" t="s">
        <v>171</v>
      </c>
      <c r="D61" s="899">
        <v>800000</v>
      </c>
      <c r="E61" s="899">
        <v>16500</v>
      </c>
      <c r="F61" s="899"/>
      <c r="G61" s="899">
        <f t="shared" si="0"/>
        <v>783500</v>
      </c>
      <c r="H61" s="138"/>
      <c r="I61" s="138"/>
      <c r="K61" s="138"/>
    </row>
    <row r="62" spans="1:11" s="130" customFormat="1" ht="21" customHeight="1">
      <c r="A62" s="76"/>
      <c r="B62" s="77">
        <v>85149</v>
      </c>
      <c r="C62" s="77" t="s">
        <v>172</v>
      </c>
      <c r="D62" s="137">
        <v>200000</v>
      </c>
      <c r="E62" s="137"/>
      <c r="F62" s="137">
        <f>F63</f>
        <v>16500</v>
      </c>
      <c r="G62" s="137">
        <f t="shared" si="0"/>
        <v>216500</v>
      </c>
      <c r="H62" s="138"/>
      <c r="I62" s="138"/>
      <c r="K62" s="138"/>
    </row>
    <row r="63" spans="1:11" s="130" customFormat="1" ht="21" customHeight="1">
      <c r="A63" s="80"/>
      <c r="B63" s="854"/>
      <c r="C63" s="901" t="s">
        <v>173</v>
      </c>
      <c r="D63" s="899">
        <v>200000</v>
      </c>
      <c r="E63" s="899"/>
      <c r="F63" s="899">
        <v>16500</v>
      </c>
      <c r="G63" s="899">
        <f t="shared" si="0"/>
        <v>216500</v>
      </c>
      <c r="H63" s="138"/>
      <c r="I63" s="138"/>
      <c r="K63" s="138"/>
    </row>
    <row r="64" spans="1:11" s="130" customFormat="1" ht="21" customHeight="1">
      <c r="A64" s="76"/>
      <c r="B64" s="78">
        <v>85154</v>
      </c>
      <c r="C64" s="78" t="s">
        <v>86</v>
      </c>
      <c r="D64" s="137">
        <v>4345000</v>
      </c>
      <c r="E64" s="137"/>
      <c r="F64" s="137"/>
      <c r="G64" s="137">
        <f t="shared" si="0"/>
        <v>4345000</v>
      </c>
      <c r="H64" s="138"/>
      <c r="I64" s="138"/>
      <c r="K64" s="138"/>
    </row>
    <row r="65" spans="1:11" s="130" customFormat="1" ht="29.25" customHeight="1">
      <c r="A65" s="80"/>
      <c r="B65" s="499"/>
      <c r="C65" s="692" t="s">
        <v>683</v>
      </c>
      <c r="D65" s="693">
        <v>4345000</v>
      </c>
      <c r="E65" s="693"/>
      <c r="F65" s="693"/>
      <c r="G65" s="693">
        <f t="shared" si="0"/>
        <v>4345000</v>
      </c>
      <c r="H65" s="138"/>
      <c r="I65" s="138"/>
      <c r="K65" s="138"/>
    </row>
    <row r="66" spans="1:11" s="160" customFormat="1" ht="20.25" customHeight="1">
      <c r="A66" s="207"/>
      <c r="B66" s="82"/>
      <c r="C66" s="916" t="s">
        <v>627</v>
      </c>
      <c r="D66" s="917">
        <v>1120668</v>
      </c>
      <c r="E66" s="917">
        <v>250480</v>
      </c>
      <c r="F66" s="917"/>
      <c r="G66" s="917">
        <f t="shared" si="0"/>
        <v>870188</v>
      </c>
      <c r="H66" s="159"/>
      <c r="I66" s="159"/>
      <c r="K66" s="159"/>
    </row>
    <row r="67" spans="1:11" s="130" customFormat="1" ht="21" customHeight="1">
      <c r="A67" s="76"/>
      <c r="B67" s="78">
        <v>85195</v>
      </c>
      <c r="C67" s="78" t="s">
        <v>57</v>
      </c>
      <c r="D67" s="756">
        <v>420000</v>
      </c>
      <c r="E67" s="756"/>
      <c r="F67" s="756"/>
      <c r="G67" s="756">
        <f t="shared" si="0"/>
        <v>420000</v>
      </c>
      <c r="H67" s="138"/>
      <c r="I67" s="138"/>
      <c r="K67" s="138"/>
    </row>
    <row r="68" spans="1:11" s="130" customFormat="1" ht="29.25" customHeight="1">
      <c r="A68" s="80"/>
      <c r="B68" s="499"/>
      <c r="C68" s="692" t="s">
        <v>629</v>
      </c>
      <c r="D68" s="693">
        <v>400000</v>
      </c>
      <c r="E68" s="693"/>
      <c r="F68" s="693"/>
      <c r="G68" s="693">
        <f t="shared" si="0"/>
        <v>400000</v>
      </c>
      <c r="H68" s="138"/>
      <c r="I68" s="138"/>
      <c r="K68" s="138"/>
    </row>
    <row r="69" spans="1:11" s="160" customFormat="1" ht="22.5" customHeight="1">
      <c r="A69" s="207"/>
      <c r="B69" s="81"/>
      <c r="C69" s="918" t="s">
        <v>627</v>
      </c>
      <c r="D69" s="919">
        <f>16946+4800+1330</f>
        <v>23076</v>
      </c>
      <c r="E69" s="919">
        <v>600</v>
      </c>
      <c r="F69" s="919"/>
      <c r="G69" s="919">
        <f t="shared" si="0"/>
        <v>22476</v>
      </c>
      <c r="H69" s="159"/>
      <c r="I69" s="159"/>
      <c r="K69" s="159"/>
    </row>
    <row r="70" spans="1:11" s="160" customFormat="1" ht="21" customHeight="1">
      <c r="A70" s="698"/>
      <c r="B70" s="82"/>
      <c r="C70" s="688" t="s">
        <v>628</v>
      </c>
      <c r="D70" s="154">
        <f>20000</f>
        <v>20000</v>
      </c>
      <c r="E70" s="154"/>
      <c r="F70" s="154">
        <v>6000</v>
      </c>
      <c r="G70" s="154">
        <f t="shared" si="0"/>
        <v>26000</v>
      </c>
      <c r="H70" s="159"/>
      <c r="I70" s="159"/>
      <c r="K70" s="159"/>
    </row>
    <row r="71" spans="1:11" ht="21" customHeight="1">
      <c r="A71" s="456">
        <v>852</v>
      </c>
      <c r="B71" s="73"/>
      <c r="C71" s="92" t="s">
        <v>59</v>
      </c>
      <c r="D71" s="74">
        <v>93561955</v>
      </c>
      <c r="E71" s="75"/>
      <c r="F71" s="75">
        <f>F72+F74</f>
        <v>261171</v>
      </c>
      <c r="G71" s="75">
        <f t="shared" si="0"/>
        <v>93823126</v>
      </c>
      <c r="H71" s="47"/>
      <c r="I71" s="47"/>
      <c r="K71" s="47"/>
    </row>
    <row r="72" spans="1:11" s="130" customFormat="1" ht="21" customHeight="1">
      <c r="A72" s="76"/>
      <c r="B72" s="77">
        <v>85201</v>
      </c>
      <c r="C72" s="334" t="s">
        <v>560</v>
      </c>
      <c r="D72" s="137">
        <v>10614300</v>
      </c>
      <c r="E72" s="137"/>
      <c r="F72" s="137">
        <f>F73</f>
        <v>260000</v>
      </c>
      <c r="G72" s="137">
        <f t="shared" si="0"/>
        <v>10874300</v>
      </c>
      <c r="H72" s="138"/>
      <c r="I72" s="138"/>
      <c r="K72" s="138"/>
    </row>
    <row r="73" spans="1:11" s="130" customFormat="1" ht="21" customHeight="1">
      <c r="A73" s="80"/>
      <c r="B73" s="854"/>
      <c r="C73" s="920" t="s">
        <v>263</v>
      </c>
      <c r="D73" s="899">
        <v>980000</v>
      </c>
      <c r="E73" s="899"/>
      <c r="F73" s="899">
        <v>260000</v>
      </c>
      <c r="G73" s="899">
        <f t="shared" si="0"/>
        <v>1240000</v>
      </c>
      <c r="H73" s="138"/>
      <c r="I73" s="138"/>
      <c r="K73" s="138"/>
    </row>
    <row r="74" spans="1:11" s="130" customFormat="1" ht="21" customHeight="1">
      <c r="A74" s="76"/>
      <c r="B74" s="78">
        <v>85219</v>
      </c>
      <c r="C74" s="78" t="s">
        <v>540</v>
      </c>
      <c r="D74" s="756">
        <v>13186960</v>
      </c>
      <c r="E74" s="756"/>
      <c r="F74" s="756">
        <f>F75</f>
        <v>1171</v>
      </c>
      <c r="G74" s="756">
        <f t="shared" si="0"/>
        <v>13188131</v>
      </c>
      <c r="H74" s="138"/>
      <c r="I74" s="138"/>
      <c r="K74" s="138"/>
    </row>
    <row r="75" spans="1:11" s="130" customFormat="1" ht="38.25" customHeight="1">
      <c r="A75" s="80"/>
      <c r="B75" s="499"/>
      <c r="C75" s="921" t="s">
        <v>664</v>
      </c>
      <c r="D75" s="899">
        <v>47267</v>
      </c>
      <c r="E75" s="899"/>
      <c r="F75" s="899">
        <v>1171</v>
      </c>
      <c r="G75" s="899">
        <f aca="true" t="shared" si="1" ref="G75:G122">D75+F75-E75</f>
        <v>48438</v>
      </c>
      <c r="H75" s="138"/>
      <c r="I75" s="138"/>
      <c r="K75" s="138"/>
    </row>
    <row r="76" spans="1:11" ht="21" customHeight="1">
      <c r="A76" s="72">
        <v>853</v>
      </c>
      <c r="B76" s="89"/>
      <c r="C76" s="92" t="s">
        <v>104</v>
      </c>
      <c r="D76" s="74">
        <v>9751267</v>
      </c>
      <c r="E76" s="75">
        <f>E77</f>
        <v>9100</v>
      </c>
      <c r="F76" s="75">
        <f>F77</f>
        <v>9100</v>
      </c>
      <c r="G76" s="75">
        <f t="shared" si="1"/>
        <v>9751267</v>
      </c>
      <c r="H76" s="47"/>
      <c r="I76" s="47"/>
      <c r="K76" s="47"/>
    </row>
    <row r="77" spans="1:11" s="130" customFormat="1" ht="21" customHeight="1">
      <c r="A77" s="76"/>
      <c r="B77" s="77">
        <v>85333</v>
      </c>
      <c r="C77" s="77" t="s">
        <v>3</v>
      </c>
      <c r="D77" s="137">
        <v>4376467</v>
      </c>
      <c r="E77" s="137">
        <f>E78+E79</f>
        <v>9100</v>
      </c>
      <c r="F77" s="137">
        <f>F78+F79</f>
        <v>9100</v>
      </c>
      <c r="G77" s="137">
        <f t="shared" si="1"/>
        <v>4376467</v>
      </c>
      <c r="H77" s="138"/>
      <c r="I77" s="138"/>
      <c r="K77" s="138"/>
    </row>
    <row r="78" spans="1:11" s="130" customFormat="1" ht="21" customHeight="1">
      <c r="A78" s="80"/>
      <c r="B78" s="499"/>
      <c r="C78" s="691" t="s">
        <v>266</v>
      </c>
      <c r="D78" s="143">
        <v>2733000</v>
      </c>
      <c r="E78" s="143"/>
      <c r="F78" s="143">
        <v>9100</v>
      </c>
      <c r="G78" s="143">
        <f t="shared" si="1"/>
        <v>2742100</v>
      </c>
      <c r="H78" s="138"/>
      <c r="I78" s="138"/>
      <c r="K78" s="138"/>
    </row>
    <row r="79" spans="1:11" s="130" customFormat="1" ht="21" customHeight="1">
      <c r="A79" s="80"/>
      <c r="B79" s="66"/>
      <c r="C79" s="1176" t="s">
        <v>79</v>
      </c>
      <c r="D79" s="276">
        <v>541000</v>
      </c>
      <c r="E79" s="276">
        <v>9100</v>
      </c>
      <c r="F79" s="276"/>
      <c r="G79" s="276">
        <f t="shared" si="1"/>
        <v>531900</v>
      </c>
      <c r="H79" s="138"/>
      <c r="I79" s="138"/>
      <c r="K79" s="138"/>
    </row>
    <row r="80" spans="1:11" s="1178" customFormat="1" ht="21" customHeight="1">
      <c r="A80" s="965"/>
      <c r="B80" s="966"/>
      <c r="C80" s="967"/>
      <c r="D80" s="968"/>
      <c r="E80" s="968"/>
      <c r="F80" s="968"/>
      <c r="G80" s="968"/>
      <c r="H80" s="1177"/>
      <c r="I80" s="1177"/>
      <c r="K80" s="1177"/>
    </row>
    <row r="81" spans="1:11" s="133" customFormat="1" ht="21" customHeight="1">
      <c r="A81" s="1179"/>
      <c r="B81" s="33"/>
      <c r="C81" s="1180"/>
      <c r="D81" s="1181"/>
      <c r="E81" s="1181"/>
      <c r="F81" s="1181"/>
      <c r="G81" s="1181"/>
      <c r="H81" s="1182"/>
      <c r="I81" s="1182"/>
      <c r="K81" s="1182"/>
    </row>
    <row r="82" spans="1:11" ht="21" customHeight="1">
      <c r="A82" s="456">
        <v>854</v>
      </c>
      <c r="B82" s="73"/>
      <c r="C82" s="92" t="s">
        <v>60</v>
      </c>
      <c r="D82" s="74">
        <v>42815104</v>
      </c>
      <c r="E82" s="75">
        <f>E87+E95+E97+E83+E91</f>
        <v>134743</v>
      </c>
      <c r="F82" s="75">
        <f>F87+F95+F97+F83+F91</f>
        <v>903832</v>
      </c>
      <c r="G82" s="75">
        <f t="shared" si="1"/>
        <v>43584193</v>
      </c>
      <c r="H82" s="47"/>
      <c r="I82" s="47"/>
      <c r="K82" s="47"/>
    </row>
    <row r="83" spans="1:11" s="95" customFormat="1" ht="18.75" customHeight="1">
      <c r="A83" s="76"/>
      <c r="B83" s="78">
        <v>85403</v>
      </c>
      <c r="C83" s="78" t="s">
        <v>553</v>
      </c>
      <c r="D83" s="756">
        <v>10802676</v>
      </c>
      <c r="E83" s="675">
        <f>E86+E84</f>
        <v>943</v>
      </c>
      <c r="F83" s="675">
        <f>F86+F84</f>
        <v>943</v>
      </c>
      <c r="G83" s="137">
        <f t="shared" si="1"/>
        <v>10802676</v>
      </c>
      <c r="H83" s="138"/>
      <c r="I83" s="138"/>
      <c r="K83" s="94"/>
    </row>
    <row r="84" spans="1:11" s="95" customFormat="1" ht="18.75" customHeight="1">
      <c r="A84" s="80"/>
      <c r="B84" s="499"/>
      <c r="C84" s="691" t="s">
        <v>79</v>
      </c>
      <c r="D84" s="143">
        <v>1277191</v>
      </c>
      <c r="E84" s="757"/>
      <c r="F84" s="757">
        <v>943</v>
      </c>
      <c r="G84" s="757">
        <f t="shared" si="1"/>
        <v>1278134</v>
      </c>
      <c r="H84" s="138"/>
      <c r="I84" s="138"/>
      <c r="K84" s="94"/>
    </row>
    <row r="85" spans="1:11" s="758" customFormat="1" ht="18.75" customHeight="1">
      <c r="A85" s="207"/>
      <c r="B85" s="81"/>
      <c r="C85" s="922" t="s">
        <v>626</v>
      </c>
      <c r="D85" s="779">
        <v>150000</v>
      </c>
      <c r="E85" s="923"/>
      <c r="F85" s="923">
        <v>943</v>
      </c>
      <c r="G85" s="923">
        <f t="shared" si="1"/>
        <v>150943</v>
      </c>
      <c r="H85" s="159"/>
      <c r="I85" s="159"/>
      <c r="K85" s="759"/>
    </row>
    <row r="86" spans="1:11" s="130" customFormat="1" ht="21" customHeight="1">
      <c r="A86" s="80"/>
      <c r="B86" s="66"/>
      <c r="C86" s="765" t="s">
        <v>263</v>
      </c>
      <c r="D86" s="909">
        <v>100000</v>
      </c>
      <c r="E86" s="909">
        <v>943</v>
      </c>
      <c r="F86" s="909"/>
      <c r="G86" s="909">
        <f t="shared" si="1"/>
        <v>99057</v>
      </c>
      <c r="H86" s="138"/>
      <c r="I86" s="138"/>
      <c r="K86" s="138"/>
    </row>
    <row r="87" spans="1:11" s="95" customFormat="1" ht="27.75" customHeight="1">
      <c r="A87" s="76"/>
      <c r="B87" s="77">
        <v>85406</v>
      </c>
      <c r="C87" s="334" t="s">
        <v>126</v>
      </c>
      <c r="D87" s="137">
        <v>6133342</v>
      </c>
      <c r="E87" s="79">
        <f>E88+E89+E90</f>
        <v>15800</v>
      </c>
      <c r="F87" s="79">
        <f>F88+F89+F90</f>
        <v>15800</v>
      </c>
      <c r="G87" s="79">
        <f t="shared" si="1"/>
        <v>6133342</v>
      </c>
      <c r="H87" s="138"/>
      <c r="I87" s="138"/>
      <c r="K87" s="94"/>
    </row>
    <row r="88" spans="1:11" s="95" customFormat="1" ht="18.75" customHeight="1">
      <c r="A88" s="80"/>
      <c r="B88" s="499"/>
      <c r="C88" s="910" t="s">
        <v>79</v>
      </c>
      <c r="D88" s="144">
        <v>584400</v>
      </c>
      <c r="E88" s="762"/>
      <c r="F88" s="762">
        <f>19800-8000</f>
        <v>11800</v>
      </c>
      <c r="G88" s="762">
        <f t="shared" si="1"/>
        <v>596200</v>
      </c>
      <c r="H88" s="138"/>
      <c r="I88" s="138"/>
      <c r="K88" s="94"/>
    </row>
    <row r="89" spans="1:11" s="95" customFormat="1" ht="18.75" customHeight="1">
      <c r="A89" s="80"/>
      <c r="B89" s="66"/>
      <c r="C89" s="924" t="s">
        <v>105</v>
      </c>
      <c r="D89" s="925">
        <v>851642</v>
      </c>
      <c r="E89" s="739">
        <v>15800</v>
      </c>
      <c r="F89" s="739"/>
      <c r="G89" s="739">
        <f t="shared" si="1"/>
        <v>835842</v>
      </c>
      <c r="H89" s="138"/>
      <c r="I89" s="138"/>
      <c r="K89" s="94"/>
    </row>
    <row r="90" spans="1:11" s="130" customFormat="1" ht="21" customHeight="1">
      <c r="A90" s="80"/>
      <c r="B90" s="69"/>
      <c r="C90" s="926" t="s">
        <v>263</v>
      </c>
      <c r="D90" s="927"/>
      <c r="E90" s="927"/>
      <c r="F90" s="927">
        <v>4000</v>
      </c>
      <c r="G90" s="927">
        <f t="shared" si="1"/>
        <v>4000</v>
      </c>
      <c r="H90" s="138"/>
      <c r="I90" s="138"/>
      <c r="K90" s="138"/>
    </row>
    <row r="91" spans="1:11" s="130" customFormat="1" ht="18.75" customHeight="1">
      <c r="A91" s="80"/>
      <c r="B91" s="1161">
        <v>85410</v>
      </c>
      <c r="C91" s="1161" t="s">
        <v>438</v>
      </c>
      <c r="D91" s="1162">
        <v>7351200</v>
      </c>
      <c r="E91" s="1162">
        <f>E92+E94</f>
        <v>110000</v>
      </c>
      <c r="F91" s="1162">
        <f>F92+F94</f>
        <v>110000</v>
      </c>
      <c r="G91" s="1162">
        <f>F91+D91-E91</f>
        <v>7351200</v>
      </c>
      <c r="H91" s="138"/>
      <c r="I91" s="138"/>
      <c r="K91" s="138"/>
    </row>
    <row r="92" spans="1:11" s="130" customFormat="1" ht="18.75" customHeight="1">
      <c r="A92" s="80"/>
      <c r="B92" s="499"/>
      <c r="C92" s="214" t="s">
        <v>79</v>
      </c>
      <c r="D92" s="143">
        <v>1600500</v>
      </c>
      <c r="E92" s="143">
        <f>E93</f>
        <v>110000</v>
      </c>
      <c r="F92" s="143"/>
      <c r="G92" s="143">
        <f>F92+D92-E92</f>
        <v>1490500</v>
      </c>
      <c r="H92" s="138"/>
      <c r="I92" s="138"/>
      <c r="K92" s="138"/>
    </row>
    <row r="93" spans="1:11" s="130" customFormat="1" ht="18.75" customHeight="1">
      <c r="A93" s="80"/>
      <c r="B93" s="66"/>
      <c r="C93" s="738" t="s">
        <v>626</v>
      </c>
      <c r="D93" s="487">
        <v>200000</v>
      </c>
      <c r="E93" s="487">
        <v>110000</v>
      </c>
      <c r="F93" s="487"/>
      <c r="G93" s="487">
        <f>F93+D93-E93</f>
        <v>90000</v>
      </c>
      <c r="H93" s="138"/>
      <c r="I93" s="138"/>
      <c r="K93" s="138"/>
    </row>
    <row r="94" spans="1:11" s="130" customFormat="1" ht="18.75" customHeight="1">
      <c r="A94" s="80"/>
      <c r="B94" s="69"/>
      <c r="C94" s="69" t="s">
        <v>263</v>
      </c>
      <c r="D94" s="906"/>
      <c r="E94" s="906"/>
      <c r="F94" s="906">
        <v>110000</v>
      </c>
      <c r="G94" s="906">
        <f>F94+D94-E94</f>
        <v>110000</v>
      </c>
      <c r="H94" s="138"/>
      <c r="I94" s="138"/>
      <c r="K94" s="138"/>
    </row>
    <row r="95" spans="1:11" s="130" customFormat="1" ht="18.75" customHeight="1">
      <c r="A95" s="76"/>
      <c r="B95" s="77">
        <v>85415</v>
      </c>
      <c r="C95" s="77" t="s">
        <v>407</v>
      </c>
      <c r="D95" s="137">
        <v>848428</v>
      </c>
      <c r="E95" s="137"/>
      <c r="F95" s="137">
        <f>F96</f>
        <v>769089</v>
      </c>
      <c r="G95" s="137">
        <f t="shared" si="1"/>
        <v>1617517</v>
      </c>
      <c r="H95" s="138"/>
      <c r="I95" s="138"/>
      <c r="K95" s="138"/>
    </row>
    <row r="96" spans="1:11" s="130" customFormat="1" ht="29.25" customHeight="1">
      <c r="A96" s="80"/>
      <c r="B96" s="499"/>
      <c r="C96" s="690" t="s">
        <v>302</v>
      </c>
      <c r="D96" s="144">
        <v>294428</v>
      </c>
      <c r="E96" s="144"/>
      <c r="F96" s="144">
        <v>769089</v>
      </c>
      <c r="G96" s="144">
        <f t="shared" si="1"/>
        <v>1063517</v>
      </c>
      <c r="H96" s="138"/>
      <c r="I96" s="138"/>
      <c r="K96" s="138"/>
    </row>
    <row r="97" spans="1:11" s="95" customFormat="1" ht="18.75" customHeight="1">
      <c r="A97" s="76"/>
      <c r="B97" s="77">
        <v>85495</v>
      </c>
      <c r="C97" s="77" t="s">
        <v>57</v>
      </c>
      <c r="D97" s="137">
        <v>6566458</v>
      </c>
      <c r="E97" s="79">
        <f>E98</f>
        <v>8000</v>
      </c>
      <c r="F97" s="79">
        <f>F98</f>
        <v>8000</v>
      </c>
      <c r="G97" s="79">
        <f t="shared" si="1"/>
        <v>6566458</v>
      </c>
      <c r="H97" s="138"/>
      <c r="I97" s="138"/>
      <c r="K97" s="94"/>
    </row>
    <row r="98" spans="1:11" s="95" customFormat="1" ht="18.75" customHeight="1">
      <c r="A98" s="80"/>
      <c r="B98" s="499"/>
      <c r="C98" s="499" t="s">
        <v>570</v>
      </c>
      <c r="D98" s="144">
        <v>6352800</v>
      </c>
      <c r="E98" s="762">
        <f>E99+E100</f>
        <v>8000</v>
      </c>
      <c r="F98" s="762">
        <f>F99+F100</f>
        <v>8000</v>
      </c>
      <c r="G98" s="762">
        <f t="shared" si="1"/>
        <v>6352800</v>
      </c>
      <c r="H98" s="138"/>
      <c r="I98" s="138"/>
      <c r="K98" s="94"/>
    </row>
    <row r="99" spans="1:11" s="95" customFormat="1" ht="18.75" customHeight="1">
      <c r="A99" s="80"/>
      <c r="B99" s="66"/>
      <c r="C99" s="928" t="s">
        <v>79</v>
      </c>
      <c r="D99" s="929">
        <v>1408400</v>
      </c>
      <c r="E99" s="930"/>
      <c r="F99" s="930">
        <f>15900-7900</f>
        <v>8000</v>
      </c>
      <c r="G99" s="930">
        <f t="shared" si="1"/>
        <v>1416400</v>
      </c>
      <c r="H99" s="138"/>
      <c r="I99" s="138"/>
      <c r="K99" s="94"/>
    </row>
    <row r="100" spans="1:11" s="95" customFormat="1" ht="18.75" customHeight="1">
      <c r="A100" s="900"/>
      <c r="B100" s="69"/>
      <c r="C100" s="510" t="s">
        <v>105</v>
      </c>
      <c r="D100" s="927">
        <v>804300</v>
      </c>
      <c r="E100" s="931">
        <v>8000</v>
      </c>
      <c r="F100" s="931"/>
      <c r="G100" s="931">
        <f t="shared" si="1"/>
        <v>796300</v>
      </c>
      <c r="H100" s="138"/>
      <c r="I100" s="138"/>
      <c r="K100" s="94"/>
    </row>
    <row r="101" spans="1:11" ht="21" customHeight="1">
      <c r="A101" s="72">
        <v>926</v>
      </c>
      <c r="B101" s="89"/>
      <c r="C101" s="92" t="s">
        <v>532</v>
      </c>
      <c r="D101" s="74">
        <v>13509000</v>
      </c>
      <c r="E101" s="75"/>
      <c r="F101" s="75"/>
      <c r="G101" s="75">
        <f t="shared" si="1"/>
        <v>13509000</v>
      </c>
      <c r="H101" s="47"/>
      <c r="I101" s="47"/>
      <c r="K101" s="47"/>
    </row>
    <row r="102" spans="1:11" s="130" customFormat="1" ht="21" customHeight="1">
      <c r="A102" s="76"/>
      <c r="B102" s="78">
        <v>92605</v>
      </c>
      <c r="C102" s="78" t="s">
        <v>551</v>
      </c>
      <c r="D102" s="756">
        <v>3840000</v>
      </c>
      <c r="E102" s="756"/>
      <c r="F102" s="756"/>
      <c r="G102" s="756">
        <f t="shared" si="1"/>
        <v>3840000</v>
      </c>
      <c r="H102" s="138"/>
      <c r="I102" s="138"/>
      <c r="K102" s="138"/>
    </row>
    <row r="103" spans="1:11" s="130" customFormat="1" ht="21" customHeight="1">
      <c r="A103" s="80"/>
      <c r="B103" s="499"/>
      <c r="C103" s="775" t="s">
        <v>21</v>
      </c>
      <c r="D103" s="144">
        <v>1000000</v>
      </c>
      <c r="E103" s="144"/>
      <c r="F103" s="144"/>
      <c r="G103" s="144">
        <f t="shared" si="1"/>
        <v>1000000</v>
      </c>
      <c r="H103" s="138"/>
      <c r="I103" s="138"/>
      <c r="K103" s="138"/>
    </row>
    <row r="104" spans="1:11" s="160" customFormat="1" ht="21" customHeight="1">
      <c r="A104" s="207"/>
      <c r="B104" s="81"/>
      <c r="C104" s="932" t="s">
        <v>627</v>
      </c>
      <c r="D104" s="779">
        <v>10000</v>
      </c>
      <c r="E104" s="779">
        <v>10000</v>
      </c>
      <c r="F104" s="779"/>
      <c r="G104" s="779">
        <f t="shared" si="1"/>
        <v>0</v>
      </c>
      <c r="H104" s="159"/>
      <c r="I104" s="159"/>
      <c r="K104" s="159"/>
    </row>
    <row r="105" spans="1:11" s="130" customFormat="1" ht="21" customHeight="1">
      <c r="A105" s="80"/>
      <c r="B105" s="66"/>
      <c r="C105" s="933" t="s">
        <v>128</v>
      </c>
      <c r="D105" s="934">
        <v>800000</v>
      </c>
      <c r="E105" s="934"/>
      <c r="F105" s="934"/>
      <c r="G105" s="934">
        <f t="shared" si="1"/>
        <v>800000</v>
      </c>
      <c r="H105" s="138"/>
      <c r="I105" s="138"/>
      <c r="K105" s="138"/>
    </row>
    <row r="106" spans="1:11" s="160" customFormat="1" ht="21" customHeight="1">
      <c r="A106" s="698"/>
      <c r="B106" s="82"/>
      <c r="C106" s="777" t="s">
        <v>627</v>
      </c>
      <c r="D106" s="154">
        <v>624000</v>
      </c>
      <c r="E106" s="154">
        <v>170</v>
      </c>
      <c r="F106" s="154"/>
      <c r="G106" s="154">
        <f t="shared" si="1"/>
        <v>623830</v>
      </c>
      <c r="H106" s="159"/>
      <c r="I106" s="159"/>
      <c r="K106" s="159"/>
    </row>
    <row r="107" spans="1:11" s="160" customFormat="1" ht="21" customHeight="1">
      <c r="A107" s="889"/>
      <c r="B107" s="890"/>
      <c r="C107" s="1207"/>
      <c r="D107" s="903"/>
      <c r="E107" s="903"/>
      <c r="F107" s="903"/>
      <c r="G107" s="903"/>
      <c r="H107" s="159"/>
      <c r="I107" s="159"/>
      <c r="K107" s="159"/>
    </row>
    <row r="108" spans="1:11" s="160" customFormat="1" ht="21" customHeight="1">
      <c r="A108" s="1208"/>
      <c r="B108" s="1206"/>
      <c r="C108" s="1209"/>
      <c r="D108" s="1210"/>
      <c r="E108" s="1210"/>
      <c r="F108" s="1210"/>
      <c r="G108" s="1210"/>
      <c r="H108" s="159"/>
      <c r="I108" s="159"/>
      <c r="K108" s="159"/>
    </row>
    <row r="109" spans="1:11" ht="26.25" thickBot="1">
      <c r="A109" s="66"/>
      <c r="B109" s="66"/>
      <c r="C109" s="935" t="s">
        <v>7</v>
      </c>
      <c r="D109" s="936">
        <v>4076025</v>
      </c>
      <c r="E109" s="936"/>
      <c r="F109" s="936"/>
      <c r="G109" s="936">
        <f t="shared" si="1"/>
        <v>4076025</v>
      </c>
      <c r="H109" s="47"/>
      <c r="I109" s="47"/>
      <c r="K109" s="47"/>
    </row>
    <row r="110" spans="1:11" s="45" customFormat="1" ht="21" customHeight="1" thickTop="1">
      <c r="A110" s="72">
        <v>854</v>
      </c>
      <c r="B110" s="89"/>
      <c r="C110" s="323" t="s">
        <v>60</v>
      </c>
      <c r="D110" s="325">
        <v>1239025</v>
      </c>
      <c r="E110" s="325"/>
      <c r="F110" s="325"/>
      <c r="G110" s="325">
        <f t="shared" si="1"/>
        <v>1239025</v>
      </c>
      <c r="H110" s="126"/>
      <c r="I110" s="126"/>
      <c r="K110" s="126"/>
    </row>
    <row r="111" spans="1:11" s="45" customFormat="1" ht="21" customHeight="1">
      <c r="A111" s="141"/>
      <c r="B111" s="136">
        <v>85415</v>
      </c>
      <c r="C111" s="324" t="s">
        <v>407</v>
      </c>
      <c r="D111" s="802">
        <v>1239025</v>
      </c>
      <c r="E111" s="802"/>
      <c r="F111" s="802"/>
      <c r="G111" s="802">
        <f t="shared" si="1"/>
        <v>1239025</v>
      </c>
      <c r="H111" s="126"/>
      <c r="I111" s="126"/>
      <c r="K111" s="126"/>
    </row>
    <row r="112" spans="1:11" s="45" customFormat="1" ht="29.25" customHeight="1">
      <c r="A112" s="81"/>
      <c r="B112" s="81"/>
      <c r="C112" s="98" t="s">
        <v>11</v>
      </c>
      <c r="D112" s="485">
        <v>1239025</v>
      </c>
      <c r="E112" s="485"/>
      <c r="F112" s="485"/>
      <c r="G112" s="485">
        <f t="shared" si="1"/>
        <v>1239025</v>
      </c>
      <c r="H112" s="126"/>
      <c r="I112" s="126"/>
      <c r="K112" s="126"/>
    </row>
    <row r="113" spans="1:11" ht="20.25" customHeight="1">
      <c r="A113" s="66"/>
      <c r="B113" s="66"/>
      <c r="C113" s="682" t="s">
        <v>627</v>
      </c>
      <c r="D113" s="733">
        <f>24498+11502+8220+3780-3266-1534</f>
        <v>43200</v>
      </c>
      <c r="E113" s="733">
        <f>10344+4856</f>
        <v>15200</v>
      </c>
      <c r="F113" s="733"/>
      <c r="G113" s="733">
        <f t="shared" si="1"/>
        <v>28000</v>
      </c>
      <c r="H113" s="47"/>
      <c r="I113" s="47"/>
      <c r="K113" s="47"/>
    </row>
    <row r="114" spans="1:11" ht="27" customHeight="1" thickBot="1">
      <c r="A114" s="66"/>
      <c r="B114" s="66"/>
      <c r="C114" s="937" t="s">
        <v>89</v>
      </c>
      <c r="D114" s="938">
        <f>D115+D119</f>
        <v>98677460</v>
      </c>
      <c r="E114" s="938"/>
      <c r="F114" s="938">
        <f>F115+F119</f>
        <v>15837</v>
      </c>
      <c r="G114" s="938">
        <f t="shared" si="1"/>
        <v>98693297</v>
      </c>
      <c r="H114" s="47"/>
      <c r="I114" s="47"/>
      <c r="K114" s="47"/>
    </row>
    <row r="115" spans="1:11" s="45" customFormat="1" ht="21" customHeight="1" thickBot="1">
      <c r="A115" s="81"/>
      <c r="B115" s="81"/>
      <c r="C115" s="939" t="s">
        <v>90</v>
      </c>
      <c r="D115" s="940">
        <v>77183996</v>
      </c>
      <c r="E115" s="940"/>
      <c r="F115" s="940">
        <f>F116</f>
        <v>4500</v>
      </c>
      <c r="G115" s="940">
        <f t="shared" si="1"/>
        <v>77188496</v>
      </c>
      <c r="H115" s="126"/>
      <c r="I115" s="126"/>
      <c r="K115" s="126"/>
    </row>
    <row r="116" spans="1:11" s="45" customFormat="1" ht="21" customHeight="1" thickTop="1">
      <c r="A116" s="72">
        <v>854</v>
      </c>
      <c r="B116" s="89"/>
      <c r="C116" s="323" t="s">
        <v>60</v>
      </c>
      <c r="D116" s="325"/>
      <c r="E116" s="325"/>
      <c r="F116" s="325">
        <f>F117</f>
        <v>4500</v>
      </c>
      <c r="G116" s="325">
        <f t="shared" si="1"/>
        <v>4500</v>
      </c>
      <c r="H116" s="126"/>
      <c r="I116" s="126"/>
      <c r="K116" s="126"/>
    </row>
    <row r="117" spans="1:11" s="45" customFormat="1" ht="21" customHeight="1">
      <c r="A117" s="141"/>
      <c r="B117" s="136">
        <v>85401</v>
      </c>
      <c r="C117" s="324" t="s">
        <v>552</v>
      </c>
      <c r="D117" s="802"/>
      <c r="E117" s="802"/>
      <c r="F117" s="802">
        <f>F118</f>
        <v>4500</v>
      </c>
      <c r="G117" s="802">
        <f t="shared" si="1"/>
        <v>4500</v>
      </c>
      <c r="H117" s="126"/>
      <c r="I117" s="126"/>
      <c r="K117" s="126"/>
    </row>
    <row r="118" spans="1:11" s="45" customFormat="1" ht="21" customHeight="1">
      <c r="A118" s="81"/>
      <c r="B118" s="81"/>
      <c r="C118" s="98" t="s">
        <v>405</v>
      </c>
      <c r="D118" s="612"/>
      <c r="E118" s="612"/>
      <c r="F118" s="612">
        <v>4500</v>
      </c>
      <c r="G118" s="612">
        <f t="shared" si="1"/>
        <v>4500</v>
      </c>
      <c r="H118" s="126"/>
      <c r="I118" s="126"/>
      <c r="K118" s="126"/>
    </row>
    <row r="119" spans="1:11" s="45" customFormat="1" ht="29.25" customHeight="1" thickBot="1">
      <c r="A119" s="82"/>
      <c r="B119" s="82"/>
      <c r="C119" s="1163" t="s">
        <v>91</v>
      </c>
      <c r="D119" s="1164">
        <v>21493464</v>
      </c>
      <c r="E119" s="1164"/>
      <c r="F119" s="1164">
        <f>F120</f>
        <v>11337</v>
      </c>
      <c r="G119" s="1164">
        <f t="shared" si="1"/>
        <v>21504801</v>
      </c>
      <c r="H119" s="126"/>
      <c r="I119" s="126"/>
      <c r="K119" s="126"/>
    </row>
    <row r="120" spans="1:11" s="45" customFormat="1" ht="21" customHeight="1" thickTop="1">
      <c r="A120" s="187">
        <v>710</v>
      </c>
      <c r="B120" s="72"/>
      <c r="C120" s="952" t="s">
        <v>526</v>
      </c>
      <c r="D120" s="803">
        <v>551168</v>
      </c>
      <c r="E120" s="803"/>
      <c r="F120" s="803">
        <f>F121</f>
        <v>11337</v>
      </c>
      <c r="G120" s="803">
        <f t="shared" si="1"/>
        <v>562505</v>
      </c>
      <c r="H120" s="126"/>
      <c r="I120" s="126"/>
      <c r="K120" s="126"/>
    </row>
    <row r="121" spans="1:11" s="45" customFormat="1" ht="21" customHeight="1">
      <c r="A121" s="265"/>
      <c r="B121" s="234">
        <v>71095</v>
      </c>
      <c r="C121" s="239" t="s">
        <v>57</v>
      </c>
      <c r="D121" s="802"/>
      <c r="E121" s="802"/>
      <c r="F121" s="802">
        <f>F122</f>
        <v>11337</v>
      </c>
      <c r="G121" s="802">
        <f t="shared" si="1"/>
        <v>11337</v>
      </c>
      <c r="H121" s="126"/>
      <c r="I121" s="126"/>
      <c r="K121" s="126"/>
    </row>
    <row r="122" spans="1:11" s="45" customFormat="1" ht="18" customHeight="1">
      <c r="A122" s="950"/>
      <c r="B122" s="234"/>
      <c r="C122" s="951" t="s">
        <v>632</v>
      </c>
      <c r="D122" s="954"/>
      <c r="E122" s="954"/>
      <c r="F122" s="954">
        <v>11337</v>
      </c>
      <c r="G122" s="954">
        <f t="shared" si="1"/>
        <v>11337</v>
      </c>
      <c r="H122" s="126"/>
      <c r="I122" s="126"/>
      <c r="K122" s="126"/>
    </row>
    <row r="123" spans="1:11" s="503" customFormat="1" ht="18.75" customHeight="1">
      <c r="A123" s="500"/>
      <c r="B123" s="500"/>
      <c r="C123" s="500"/>
      <c r="D123" s="500"/>
      <c r="E123" s="500"/>
      <c r="F123" s="500"/>
      <c r="G123" s="500"/>
      <c r="H123" s="502"/>
      <c r="I123" s="502"/>
      <c r="K123" s="502"/>
    </row>
    <row r="124" spans="3:4" s="500" customFormat="1" ht="21" customHeight="1">
      <c r="C124" s="22" t="s">
        <v>691</v>
      </c>
      <c r="D124" s="22" t="s">
        <v>692</v>
      </c>
    </row>
    <row r="125" spans="3:11" s="500" customFormat="1" ht="21" customHeight="1">
      <c r="C125" s="22" t="s">
        <v>693</v>
      </c>
      <c r="D125" s="22" t="s">
        <v>694</v>
      </c>
      <c r="H125" s="501"/>
      <c r="I125" s="501"/>
      <c r="K125" s="501"/>
    </row>
    <row r="126" spans="1:11" s="505" customFormat="1" ht="25.5" customHeight="1">
      <c r="A126" s="500"/>
      <c r="B126" s="500"/>
      <c r="C126" s="22"/>
      <c r="D126" s="22" t="s">
        <v>695</v>
      </c>
      <c r="E126" s="500"/>
      <c r="F126" s="500"/>
      <c r="G126" s="500"/>
      <c r="H126" s="504"/>
      <c r="I126" s="504"/>
      <c r="K126" s="504"/>
    </row>
    <row r="127" spans="1:11" s="503" customFormat="1" ht="18.75" customHeight="1">
      <c r="A127" s="500"/>
      <c r="B127" s="500"/>
      <c r="C127" s="500"/>
      <c r="D127" s="500"/>
      <c r="E127" s="500"/>
      <c r="F127" s="500"/>
      <c r="G127" s="500"/>
      <c r="H127" s="502"/>
      <c r="I127" s="502"/>
      <c r="K127" s="502"/>
    </row>
    <row r="128" s="500" customFormat="1" ht="21" customHeight="1"/>
    <row r="129" s="500" customFormat="1" ht="30" customHeight="1"/>
    <row r="130" s="500" customFormat="1" ht="49.5" customHeight="1"/>
    <row r="131" s="500" customFormat="1" ht="27.75" customHeight="1"/>
    <row r="132" s="500" customFormat="1" ht="18" customHeight="1"/>
    <row r="133" spans="1:11" s="505" customFormat="1" ht="18.75" customHeight="1">
      <c r="A133" s="500"/>
      <c r="B133" s="500"/>
      <c r="C133" s="500"/>
      <c r="D133" s="500"/>
      <c r="E133" s="500"/>
      <c r="F133" s="500"/>
      <c r="G133" s="500"/>
      <c r="H133" s="504"/>
      <c r="I133" s="504"/>
      <c r="K133" s="504"/>
    </row>
    <row r="134" spans="1:11" s="503" customFormat="1" ht="18.75" customHeight="1">
      <c r="A134" s="500"/>
      <c r="B134" s="500"/>
      <c r="C134" s="500"/>
      <c r="D134" s="500"/>
      <c r="E134" s="500"/>
      <c r="F134" s="500"/>
      <c r="G134" s="500"/>
      <c r="H134" s="502"/>
      <c r="I134" s="502"/>
      <c r="K134" s="502"/>
    </row>
    <row r="135" spans="1:11" s="503" customFormat="1" ht="18.75" customHeight="1">
      <c r="A135" s="500"/>
      <c r="B135" s="500"/>
      <c r="C135" s="500"/>
      <c r="D135" s="500"/>
      <c r="E135" s="500"/>
      <c r="F135" s="500"/>
      <c r="G135" s="500"/>
      <c r="H135" s="502"/>
      <c r="I135" s="502"/>
      <c r="K135" s="502"/>
    </row>
    <row r="136" spans="8:11" s="500" customFormat="1" ht="21" customHeight="1">
      <c r="H136" s="501"/>
      <c r="I136" s="501"/>
      <c r="K136" s="501"/>
    </row>
    <row r="137" spans="8:11" s="500" customFormat="1" ht="21" customHeight="1">
      <c r="H137" s="501"/>
      <c r="I137" s="501"/>
      <c r="K137" s="501"/>
    </row>
    <row r="138" s="500" customFormat="1" ht="18.75" customHeight="1"/>
    <row r="139" s="500" customFormat="1" ht="18.75" customHeight="1"/>
    <row r="140" spans="8:11" s="500" customFormat="1" ht="21" customHeight="1">
      <c r="H140" s="501"/>
      <c r="I140" s="501"/>
      <c r="K140" s="501"/>
    </row>
    <row r="141" s="500" customFormat="1" ht="18.75" customHeight="1"/>
    <row r="142" s="500" customFormat="1" ht="19.5" customHeight="1"/>
    <row r="143" s="500" customFormat="1" ht="19.5" customHeight="1"/>
    <row r="144" s="500" customFormat="1" ht="19.5" customHeight="1"/>
    <row r="145" s="500" customFormat="1" ht="18.75" customHeight="1"/>
    <row r="146" s="500" customFormat="1" ht="18.75" customHeight="1"/>
    <row r="147" s="500" customFormat="1" ht="28.5" customHeight="1"/>
    <row r="148" spans="1:8" s="507" customFormat="1" ht="18.75" customHeight="1">
      <c r="A148" s="500"/>
      <c r="B148" s="500"/>
      <c r="C148" s="500"/>
      <c r="D148" s="500"/>
      <c r="E148" s="500"/>
      <c r="F148" s="500"/>
      <c r="G148" s="500"/>
      <c r="H148" s="506"/>
    </row>
    <row r="149" spans="1:8" s="507" customFormat="1" ht="18.75" customHeight="1">
      <c r="A149" s="500"/>
      <c r="B149" s="500"/>
      <c r="C149" s="500"/>
      <c r="D149" s="500"/>
      <c r="E149" s="500"/>
      <c r="F149" s="500"/>
      <c r="G149" s="500"/>
      <c r="H149" s="506"/>
    </row>
    <row r="150" spans="1:8" s="507" customFormat="1" ht="18.75" customHeight="1">
      <c r="A150" s="500"/>
      <c r="B150" s="500"/>
      <c r="C150" s="500"/>
      <c r="D150" s="500"/>
      <c r="E150" s="500"/>
      <c r="F150" s="500"/>
      <c r="G150" s="500"/>
      <c r="H150" s="506"/>
    </row>
    <row r="151" s="500" customFormat="1" ht="19.5" customHeight="1"/>
    <row r="152" s="500" customFormat="1" ht="19.5" customHeight="1"/>
    <row r="153" s="500" customFormat="1" ht="19.5" customHeight="1"/>
    <row r="154" s="500" customFormat="1" ht="19.5" customHeight="1"/>
    <row r="155" s="500" customFormat="1" ht="19.5" customHeight="1"/>
    <row r="156" s="500" customFormat="1" ht="19.5" customHeight="1"/>
    <row r="157" s="500" customFormat="1" ht="19.5" customHeight="1"/>
    <row r="158" s="500" customFormat="1" ht="19.5" customHeight="1"/>
    <row r="159" spans="1:8" s="507" customFormat="1" ht="19.5" customHeight="1">
      <c r="A159" s="500"/>
      <c r="B159" s="500"/>
      <c r="C159" s="500"/>
      <c r="D159" s="500"/>
      <c r="E159" s="500"/>
      <c r="F159" s="500"/>
      <c r="G159" s="500"/>
      <c r="H159" s="508"/>
    </row>
    <row r="160" spans="1:8" s="507" customFormat="1" ht="18.75" customHeight="1">
      <c r="A160" s="500"/>
      <c r="B160" s="500"/>
      <c r="C160" s="500"/>
      <c r="D160" s="500"/>
      <c r="E160" s="500"/>
      <c r="F160" s="500"/>
      <c r="G160" s="500"/>
      <c r="H160" s="506"/>
    </row>
    <row r="161" spans="1:8" s="507" customFormat="1" ht="18.75" customHeight="1">
      <c r="A161" s="500"/>
      <c r="B161" s="500"/>
      <c r="C161" s="500"/>
      <c r="D161" s="500"/>
      <c r="E161" s="500"/>
      <c r="F161" s="500"/>
      <c r="G161" s="500"/>
      <c r="H161" s="506"/>
    </row>
    <row r="162" spans="1:8" s="507" customFormat="1" ht="18.75" customHeight="1">
      <c r="A162" s="500"/>
      <c r="B162" s="500"/>
      <c r="C162" s="500"/>
      <c r="D162" s="500"/>
      <c r="E162" s="500"/>
      <c r="F162" s="500"/>
      <c r="G162" s="500"/>
      <c r="H162" s="506"/>
    </row>
    <row r="163" s="500" customFormat="1" ht="19.5" customHeight="1"/>
    <row r="164" s="500" customFormat="1" ht="18.75" customHeight="1"/>
    <row r="165" spans="1:8" s="507" customFormat="1" ht="18.75" customHeight="1">
      <c r="A165" s="500"/>
      <c r="B165" s="500"/>
      <c r="C165" s="500"/>
      <c r="D165" s="500"/>
      <c r="E165" s="500"/>
      <c r="F165" s="500"/>
      <c r="G165" s="500"/>
      <c r="H165" s="506"/>
    </row>
    <row r="166" s="500" customFormat="1" ht="18.75" customHeight="1"/>
    <row r="167" spans="1:8" s="507" customFormat="1" ht="18.75" customHeight="1">
      <c r="A167" s="500"/>
      <c r="B167" s="500"/>
      <c r="C167" s="500"/>
      <c r="D167" s="500"/>
      <c r="E167" s="500"/>
      <c r="F167" s="500"/>
      <c r="G167" s="500"/>
      <c r="H167" s="506"/>
    </row>
    <row r="168" spans="1:8" s="507" customFormat="1" ht="27" customHeight="1">
      <c r="A168" s="500"/>
      <c r="B168" s="500"/>
      <c r="C168" s="500"/>
      <c r="D168" s="500"/>
      <c r="E168" s="500"/>
      <c r="F168" s="500"/>
      <c r="G168" s="500"/>
      <c r="H168" s="506"/>
    </row>
    <row r="169" spans="1:8" s="507" customFormat="1" ht="18.75" customHeight="1">
      <c r="A169" s="500"/>
      <c r="B169" s="500"/>
      <c r="C169" s="500"/>
      <c r="D169" s="500"/>
      <c r="E169" s="500"/>
      <c r="F169" s="500"/>
      <c r="G169" s="500"/>
      <c r="H169" s="506"/>
    </row>
    <row r="170" spans="1:8" s="507" customFormat="1" ht="19.5" customHeight="1">
      <c r="A170" s="500"/>
      <c r="B170" s="500"/>
      <c r="C170" s="500"/>
      <c r="D170" s="500"/>
      <c r="E170" s="500"/>
      <c r="F170" s="500"/>
      <c r="G170" s="500"/>
      <c r="H170" s="506"/>
    </row>
    <row r="171" s="500" customFormat="1" ht="19.5" customHeight="1"/>
    <row r="172" s="500" customFormat="1" ht="19.5" customHeight="1"/>
    <row r="173" s="500" customFormat="1" ht="19.5" customHeight="1"/>
    <row r="174" s="500" customFormat="1" ht="19.5" customHeight="1"/>
    <row r="175" s="500" customFormat="1" ht="19.5" customHeight="1"/>
    <row r="176" spans="1:8" s="507" customFormat="1" ht="18.75" customHeight="1">
      <c r="A176" s="500"/>
      <c r="B176" s="500"/>
      <c r="C176" s="500"/>
      <c r="D176" s="500"/>
      <c r="E176" s="500"/>
      <c r="F176" s="500"/>
      <c r="G176" s="500"/>
      <c r="H176" s="506"/>
    </row>
    <row r="177" spans="1:8" s="507" customFormat="1" ht="19.5" customHeight="1">
      <c r="A177" s="500"/>
      <c r="B177" s="500"/>
      <c r="C177" s="500"/>
      <c r="D177" s="500"/>
      <c r="E177" s="500"/>
      <c r="F177" s="500"/>
      <c r="G177" s="500"/>
      <c r="H177" s="506"/>
    </row>
    <row r="178" s="500" customFormat="1" ht="19.5" customHeight="1"/>
    <row r="179" s="500" customFormat="1" ht="18.75" customHeight="1"/>
    <row r="180" s="500" customFormat="1" ht="18" customHeight="1"/>
    <row r="181" s="500" customFormat="1" ht="28.5" customHeight="1"/>
    <row r="182" s="500" customFormat="1" ht="20.25" customHeight="1"/>
    <row r="183" s="500" customFormat="1" ht="18" customHeight="1"/>
    <row r="184" s="500" customFormat="1" ht="19.5" customHeight="1"/>
    <row r="185" s="500" customFormat="1" ht="20.25" customHeight="1"/>
    <row r="186" s="500" customFormat="1" ht="20.25" customHeight="1"/>
    <row r="187" s="500" customFormat="1" ht="20.25" customHeight="1"/>
    <row r="188" spans="1:7" s="507" customFormat="1" ht="27" customHeight="1">
      <c r="A188" s="500"/>
      <c r="B188" s="500"/>
      <c r="C188" s="500"/>
      <c r="D188" s="500"/>
      <c r="E188" s="500"/>
      <c r="F188" s="500"/>
      <c r="G188" s="500"/>
    </row>
    <row r="189" s="500" customFormat="1" ht="18.75" customHeight="1"/>
    <row r="190" s="500" customFormat="1" ht="18.75" customHeight="1"/>
    <row r="191" s="500" customFormat="1" ht="18.75" customHeight="1"/>
    <row r="192" s="500" customFormat="1" ht="18.75" customHeight="1"/>
    <row r="193" s="500" customFormat="1" ht="18.75" customHeight="1"/>
    <row r="194" s="500" customFormat="1" ht="18.75" customHeight="1"/>
    <row r="195" s="500" customFormat="1" ht="18.75" customHeight="1"/>
    <row r="196" s="500" customFormat="1" ht="18.75" customHeight="1"/>
    <row r="197" s="500" customFormat="1" ht="18.75" customHeight="1"/>
    <row r="198" s="500" customFormat="1" ht="18.75" customHeight="1"/>
    <row r="199" s="500" customFormat="1" ht="18.75" customHeight="1"/>
    <row r="200" s="500" customFormat="1" ht="18.75" customHeight="1"/>
    <row r="201" s="500" customFormat="1" ht="18.75" customHeight="1"/>
    <row r="202" s="500" customFormat="1" ht="18.75" customHeight="1"/>
    <row r="203" s="500" customFormat="1" ht="18.75" customHeight="1"/>
    <row r="204" s="500" customFormat="1" ht="18.75" customHeight="1"/>
    <row r="205" s="500" customFormat="1" ht="18.75" customHeight="1"/>
    <row r="206" s="500" customFormat="1" ht="18.75" customHeight="1"/>
    <row r="207" s="500" customFormat="1" ht="18.75" customHeight="1"/>
    <row r="208" s="500" customFormat="1" ht="27.75" customHeight="1"/>
    <row r="209" s="500" customFormat="1" ht="20.25" customHeight="1"/>
    <row r="210" s="500" customFormat="1" ht="20.25" customHeight="1"/>
    <row r="211" s="500" customFormat="1" ht="19.5" customHeight="1"/>
    <row r="212" s="500" customFormat="1" ht="25.5" customHeight="1"/>
    <row r="213" s="500" customFormat="1" ht="26.25" customHeight="1"/>
    <row r="214" s="500" customFormat="1" ht="19.5" customHeight="1"/>
    <row r="215" s="500" customFormat="1" ht="18.75" customHeight="1"/>
    <row r="216" s="500" customFormat="1" ht="18" customHeight="1"/>
    <row r="217" s="500" customFormat="1" ht="19.5" customHeight="1"/>
    <row r="218" s="500" customFormat="1" ht="19.5" customHeight="1"/>
    <row r="219" ht="20.25" customHeight="1"/>
    <row r="220" ht="19.5" customHeight="1"/>
    <row r="221" ht="19.5" customHeight="1"/>
    <row r="222" ht="20.25" customHeight="1"/>
    <row r="223" ht="18" customHeight="1"/>
    <row r="224" ht="19.5" customHeight="1"/>
    <row r="225" ht="19.5" customHeight="1"/>
  </sheetData>
  <printOptions horizontalCentered="1"/>
  <pageMargins left="0.3937007874015748" right="0.3937007874015748" top="0.54" bottom="0.47" header="0.5118110236220472" footer="0.31496062992125984"/>
  <pageSetup firstPageNumber="7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N48"/>
  <sheetViews>
    <sheetView zoomScale="90" zoomScaleNormal="90" zoomScaleSheetLayoutView="75" workbookViewId="0" topLeftCell="A1">
      <selection activeCell="C6" sqref="C6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1.875" style="392" customWidth="1"/>
    <col min="4" max="4" width="17.75390625" style="0" customWidth="1"/>
    <col min="5" max="5" width="14.625" style="0" customWidth="1"/>
    <col min="6" max="6" width="13.875" style="0" customWidth="1"/>
    <col min="7" max="7" width="16.375" style="0" customWidth="1"/>
    <col min="8" max="8" width="12.25390625" style="0" customWidth="1"/>
    <col min="9" max="9" width="15.625" style="0" customWidth="1"/>
    <col min="10" max="10" width="15.375" style="0" customWidth="1"/>
    <col min="11" max="11" width="13.75390625" style="0" customWidth="1"/>
    <col min="12" max="12" width="16.00390625" style="0" customWidth="1"/>
    <col min="13" max="13" width="11.625" style="0" customWidth="1"/>
    <col min="14" max="14" width="12.75390625" style="0" customWidth="1"/>
  </cols>
  <sheetData>
    <row r="1" spans="3:11" s="22" customFormat="1" ht="16.5" customHeight="1">
      <c r="C1" s="335"/>
      <c r="J1" s="50"/>
      <c r="K1" s="50" t="s">
        <v>445</v>
      </c>
    </row>
    <row r="2" spans="3:11" s="22" customFormat="1" ht="16.5" customHeight="1">
      <c r="C2" s="335"/>
      <c r="H2" s="47"/>
      <c r="K2" s="22" t="s">
        <v>624</v>
      </c>
    </row>
    <row r="3" spans="3:11" s="22" customFormat="1" ht="16.5" customHeight="1">
      <c r="C3" s="336" t="s">
        <v>507</v>
      </c>
      <c r="G3" s="47"/>
      <c r="H3" s="47"/>
      <c r="K3" s="22" t="s">
        <v>27</v>
      </c>
    </row>
    <row r="4" spans="3:11" s="22" customFormat="1" ht="16.5" customHeight="1">
      <c r="C4" s="335"/>
      <c r="G4" s="47"/>
      <c r="K4" s="22" t="s">
        <v>625</v>
      </c>
    </row>
    <row r="5" spans="2:12" s="22" customFormat="1" ht="16.5" customHeight="1" thickBot="1">
      <c r="B5" s="248"/>
      <c r="C5" s="335"/>
      <c r="G5" s="47"/>
      <c r="K5" s="130"/>
      <c r="L5" s="337" t="s">
        <v>28</v>
      </c>
    </row>
    <row r="6" spans="1:12" s="22" customFormat="1" ht="42" customHeight="1" thickBot="1" thickTop="1">
      <c r="A6" s="338"/>
      <c r="B6" s="338"/>
      <c r="C6" s="339"/>
      <c r="D6" s="1231" t="s">
        <v>508</v>
      </c>
      <c r="E6" s="1233" t="s">
        <v>509</v>
      </c>
      <c r="F6" s="1234"/>
      <c r="G6" s="1235"/>
      <c r="H6" s="340"/>
      <c r="I6" s="341" t="s">
        <v>30</v>
      </c>
      <c r="J6" s="1233" t="s">
        <v>509</v>
      </c>
      <c r="K6" s="1234"/>
      <c r="L6" s="1235"/>
    </row>
    <row r="7" spans="1:12" s="22" customFormat="1" ht="67.5" customHeight="1" thickBot="1" thickTop="1">
      <c r="A7" s="342" t="s">
        <v>81</v>
      </c>
      <c r="B7" s="343" t="s">
        <v>510</v>
      </c>
      <c r="C7" s="343" t="s">
        <v>511</v>
      </c>
      <c r="D7" s="1232"/>
      <c r="E7" s="118" t="s">
        <v>512</v>
      </c>
      <c r="F7" s="118" t="s">
        <v>513</v>
      </c>
      <c r="G7" s="118" t="s">
        <v>514</v>
      </c>
      <c r="H7" s="344" t="s">
        <v>97</v>
      </c>
      <c r="I7" s="343" t="s">
        <v>515</v>
      </c>
      <c r="J7" s="118" t="s">
        <v>512</v>
      </c>
      <c r="K7" s="118" t="s">
        <v>513</v>
      </c>
      <c r="L7" s="118" t="s">
        <v>514</v>
      </c>
    </row>
    <row r="8" spans="1:12" s="18" customFormat="1" ht="18" customHeight="1" thickBot="1" thickTop="1">
      <c r="A8" s="345">
        <v>1</v>
      </c>
      <c r="B8" s="345">
        <v>2</v>
      </c>
      <c r="C8" s="346">
        <v>3</v>
      </c>
      <c r="D8" s="345">
        <v>4</v>
      </c>
      <c r="E8" s="345">
        <v>5</v>
      </c>
      <c r="F8" s="347">
        <v>6</v>
      </c>
      <c r="G8" s="345">
        <v>7</v>
      </c>
      <c r="H8" s="345">
        <v>8</v>
      </c>
      <c r="I8" s="345">
        <v>9</v>
      </c>
      <c r="J8" s="345">
        <v>10</v>
      </c>
      <c r="K8" s="347">
        <v>11</v>
      </c>
      <c r="L8" s="347">
        <v>12</v>
      </c>
    </row>
    <row r="9" spans="1:14" s="251" customFormat="1" ht="21" customHeight="1" thickBot="1" thickTop="1">
      <c r="A9" s="348"/>
      <c r="B9" s="348"/>
      <c r="C9" s="349" t="s">
        <v>516</v>
      </c>
      <c r="D9" s="350">
        <f>D11+D41</f>
        <v>189468754</v>
      </c>
      <c r="E9" s="350">
        <f>E11+E41</f>
        <v>147317807</v>
      </c>
      <c r="F9" s="350">
        <f>F11+F41</f>
        <v>38005856</v>
      </c>
      <c r="G9" s="350">
        <f>G11+G41</f>
        <v>4145091</v>
      </c>
      <c r="H9" s="351">
        <f>H11+H41</f>
        <v>396627</v>
      </c>
      <c r="I9" s="352">
        <f>SUM(J9:L9)</f>
        <v>189865381</v>
      </c>
      <c r="J9" s="353">
        <f>E9+H9</f>
        <v>147714434</v>
      </c>
      <c r="K9" s="353">
        <f>F9</f>
        <v>38005856</v>
      </c>
      <c r="L9" s="354">
        <f>G9</f>
        <v>4145091</v>
      </c>
      <c r="M9" s="355"/>
      <c r="N9" s="52"/>
    </row>
    <row r="10" spans="1:13" s="133" customFormat="1" ht="12.75" customHeight="1">
      <c r="A10" s="67"/>
      <c r="B10" s="67"/>
      <c r="C10" s="356" t="s">
        <v>49</v>
      </c>
      <c r="D10" s="219"/>
      <c r="E10" s="219"/>
      <c r="F10" s="219"/>
      <c r="G10" s="357"/>
      <c r="H10" s="358"/>
      <c r="I10" s="359"/>
      <c r="J10" s="360"/>
      <c r="K10" s="360"/>
      <c r="L10" s="361"/>
      <c r="M10" s="355"/>
    </row>
    <row r="11" spans="1:14" ht="21" customHeight="1" thickBot="1">
      <c r="A11" s="417"/>
      <c r="B11" s="417"/>
      <c r="C11" s="260" t="s">
        <v>51</v>
      </c>
      <c r="D11" s="195">
        <f>SUM(E11:G11)</f>
        <v>189384754</v>
      </c>
      <c r="E11" s="362">
        <v>147317807</v>
      </c>
      <c r="F11" s="362">
        <v>38005856</v>
      </c>
      <c r="G11" s="362">
        <v>4061091</v>
      </c>
      <c r="H11" s="363">
        <f>H12+H23+H26+H36+H20</f>
        <v>396627</v>
      </c>
      <c r="I11" s="364">
        <f>SUM(J11:L11)</f>
        <v>189781381</v>
      </c>
      <c r="J11" s="365">
        <f>E11+H11</f>
        <v>147714434</v>
      </c>
      <c r="K11" s="365">
        <f>F11</f>
        <v>38005856</v>
      </c>
      <c r="L11" s="366">
        <f>G11</f>
        <v>4061091</v>
      </c>
      <c r="M11" s="355"/>
      <c r="N11" s="52"/>
    </row>
    <row r="12" spans="1:14" s="248" customFormat="1" ht="19.5" customHeight="1" thickBot="1" thickTop="1">
      <c r="A12" s="367">
        <v>801</v>
      </c>
      <c r="B12" s="367"/>
      <c r="C12" s="368" t="s">
        <v>58</v>
      </c>
      <c r="D12" s="369">
        <f aca="true" t="shared" si="0" ref="D12:D41">SUM(E12:G12)</f>
        <v>37215846</v>
      </c>
      <c r="E12" s="369">
        <v>34915855</v>
      </c>
      <c r="F12" s="369"/>
      <c r="G12" s="369">
        <v>2299991</v>
      </c>
      <c r="H12" s="370">
        <f>H13+H18+H15</f>
        <v>17570</v>
      </c>
      <c r="I12" s="371">
        <f aca="true" t="shared" si="1" ref="I12:I40">SUM(J12:L12)</f>
        <v>37233416</v>
      </c>
      <c r="J12" s="372">
        <f aca="true" t="shared" si="2" ref="J12:J40">E12+H12</f>
        <v>34933425</v>
      </c>
      <c r="K12" s="372"/>
      <c r="L12" s="373">
        <f>G12</f>
        <v>2299991</v>
      </c>
      <c r="M12" s="124"/>
      <c r="N12" s="124"/>
    </row>
    <row r="13" spans="1:14" s="248" customFormat="1" ht="21" customHeight="1">
      <c r="A13" s="374"/>
      <c r="B13" s="375">
        <v>80104</v>
      </c>
      <c r="C13" s="162" t="s">
        <v>108</v>
      </c>
      <c r="D13" s="376">
        <f t="shared" si="0"/>
        <v>1394905</v>
      </c>
      <c r="E13" s="376">
        <v>1394905</v>
      </c>
      <c r="F13" s="376"/>
      <c r="G13" s="376"/>
      <c r="H13" s="377">
        <f>H14</f>
        <v>9570</v>
      </c>
      <c r="I13" s="378">
        <f t="shared" si="1"/>
        <v>1404475</v>
      </c>
      <c r="J13" s="379">
        <f t="shared" si="2"/>
        <v>1404475</v>
      </c>
      <c r="K13" s="379"/>
      <c r="L13" s="380"/>
      <c r="M13" s="124"/>
      <c r="N13" s="124"/>
    </row>
    <row r="14" spans="1:14" s="22" customFormat="1" ht="21" customHeight="1">
      <c r="A14" s="374"/>
      <c r="B14" s="381"/>
      <c r="C14" s="420" t="s">
        <v>517</v>
      </c>
      <c r="D14" s="766"/>
      <c r="E14" s="766"/>
      <c r="F14" s="766"/>
      <c r="G14" s="766"/>
      <c r="H14" s="767">
        <v>9570</v>
      </c>
      <c r="I14" s="768">
        <f t="shared" si="1"/>
        <v>9570</v>
      </c>
      <c r="J14" s="769">
        <f t="shared" si="2"/>
        <v>9570</v>
      </c>
      <c r="K14" s="769"/>
      <c r="L14" s="770"/>
      <c r="M14" s="47"/>
      <c r="N14" s="47"/>
    </row>
    <row r="15" spans="1:14" s="248" customFormat="1" ht="21" customHeight="1">
      <c r="A15" s="374"/>
      <c r="B15" s="375">
        <v>80130</v>
      </c>
      <c r="C15" s="162" t="s">
        <v>107</v>
      </c>
      <c r="D15" s="376">
        <f t="shared" si="0"/>
        <v>11024300</v>
      </c>
      <c r="E15" s="376">
        <v>10224300</v>
      </c>
      <c r="F15" s="376"/>
      <c r="G15" s="376">
        <v>800000</v>
      </c>
      <c r="H15" s="377">
        <f>H17+H16</f>
        <v>0</v>
      </c>
      <c r="I15" s="378">
        <f>H15+D15</f>
        <v>11024300</v>
      </c>
      <c r="J15" s="379">
        <f>E15+H15</f>
        <v>10224300</v>
      </c>
      <c r="K15" s="379"/>
      <c r="L15" s="380">
        <f>G15</f>
        <v>800000</v>
      </c>
      <c r="M15" s="124"/>
      <c r="N15" s="124"/>
    </row>
    <row r="16" spans="1:14" s="22" customFormat="1" ht="21" customHeight="1">
      <c r="A16" s="374"/>
      <c r="B16" s="381"/>
      <c r="C16" s="869" t="s">
        <v>577</v>
      </c>
      <c r="D16" s="870">
        <f t="shared" si="0"/>
        <v>5374300</v>
      </c>
      <c r="E16" s="870">
        <f>2590900+1983400</f>
        <v>4574300</v>
      </c>
      <c r="F16" s="870"/>
      <c r="G16" s="870">
        <v>800000</v>
      </c>
      <c r="H16" s="871">
        <v>-230190</v>
      </c>
      <c r="I16" s="872">
        <f>H16+D16</f>
        <v>5144110</v>
      </c>
      <c r="J16" s="869">
        <f>E16+H16</f>
        <v>4344110</v>
      </c>
      <c r="K16" s="869"/>
      <c r="L16" s="873">
        <f>G16</f>
        <v>800000</v>
      </c>
      <c r="M16" s="47"/>
      <c r="N16" s="47"/>
    </row>
    <row r="17" spans="1:14" s="22" customFormat="1" ht="21" customHeight="1">
      <c r="A17" s="374"/>
      <c r="B17" s="381"/>
      <c r="C17" s="420" t="s">
        <v>589</v>
      </c>
      <c r="D17" s="864"/>
      <c r="E17" s="864"/>
      <c r="F17" s="864"/>
      <c r="G17" s="864"/>
      <c r="H17" s="865">
        <v>230190</v>
      </c>
      <c r="I17" s="866">
        <f>H17+D17</f>
        <v>230190</v>
      </c>
      <c r="J17" s="867">
        <f>E17+H17</f>
        <v>230190</v>
      </c>
      <c r="K17" s="867"/>
      <c r="L17" s="868"/>
      <c r="M17" s="47"/>
      <c r="N17" s="47"/>
    </row>
    <row r="18" spans="1:14" s="248" customFormat="1" ht="21" customHeight="1">
      <c r="A18" s="374"/>
      <c r="B18" s="375">
        <v>80132</v>
      </c>
      <c r="C18" s="162" t="s">
        <v>549</v>
      </c>
      <c r="D18" s="376"/>
      <c r="E18" s="376"/>
      <c r="F18" s="376"/>
      <c r="G18" s="376"/>
      <c r="H18" s="377">
        <f>H19</f>
        <v>8000</v>
      </c>
      <c r="I18" s="378">
        <f t="shared" si="1"/>
        <v>8000</v>
      </c>
      <c r="J18" s="379">
        <f t="shared" si="2"/>
        <v>8000</v>
      </c>
      <c r="K18" s="379"/>
      <c r="L18" s="380"/>
      <c r="M18" s="124"/>
      <c r="N18" s="124"/>
    </row>
    <row r="19" spans="1:14" s="22" customFormat="1" ht="21" customHeight="1">
      <c r="A19" s="374"/>
      <c r="B19" s="381"/>
      <c r="C19" s="420" t="s">
        <v>517</v>
      </c>
      <c r="D19" s="421"/>
      <c r="E19" s="421"/>
      <c r="F19" s="421"/>
      <c r="G19" s="421"/>
      <c r="H19" s="422">
        <v>8000</v>
      </c>
      <c r="I19" s="423">
        <f t="shared" si="1"/>
        <v>8000</v>
      </c>
      <c r="J19" s="424">
        <f t="shared" si="2"/>
        <v>8000</v>
      </c>
      <c r="K19" s="424"/>
      <c r="L19" s="425"/>
      <c r="M19" s="47"/>
      <c r="N19" s="47"/>
    </row>
    <row r="20" spans="1:14" s="248" customFormat="1" ht="19.5" customHeight="1" thickBot="1">
      <c r="A20" s="367">
        <v>851</v>
      </c>
      <c r="B20" s="367"/>
      <c r="C20" s="368" t="s">
        <v>61</v>
      </c>
      <c r="D20" s="369">
        <f t="shared" si="0"/>
        <v>917000</v>
      </c>
      <c r="E20" s="369">
        <v>917000</v>
      </c>
      <c r="F20" s="369"/>
      <c r="G20" s="369"/>
      <c r="H20" s="370">
        <f>H21</f>
        <v>6000</v>
      </c>
      <c r="I20" s="371">
        <f t="shared" si="1"/>
        <v>923000</v>
      </c>
      <c r="J20" s="372">
        <f t="shared" si="2"/>
        <v>923000</v>
      </c>
      <c r="K20" s="372"/>
      <c r="L20" s="373"/>
      <c r="M20" s="124"/>
      <c r="N20" s="124"/>
    </row>
    <row r="21" spans="1:14" s="248" customFormat="1" ht="21" customHeight="1">
      <c r="A21" s="374"/>
      <c r="B21" s="375">
        <v>85195</v>
      </c>
      <c r="C21" s="162" t="s">
        <v>57</v>
      </c>
      <c r="D21" s="376">
        <f t="shared" si="0"/>
        <v>20000</v>
      </c>
      <c r="E21" s="376">
        <v>20000</v>
      </c>
      <c r="F21" s="376"/>
      <c r="G21" s="376"/>
      <c r="H21" s="377">
        <f>H22</f>
        <v>6000</v>
      </c>
      <c r="I21" s="378">
        <f t="shared" si="1"/>
        <v>26000</v>
      </c>
      <c r="J21" s="379">
        <f t="shared" si="2"/>
        <v>26000</v>
      </c>
      <c r="K21" s="379"/>
      <c r="L21" s="380"/>
      <c r="M21" s="124"/>
      <c r="N21" s="124"/>
    </row>
    <row r="22" spans="1:14" s="22" customFormat="1" ht="19.5" customHeight="1">
      <c r="A22" s="374"/>
      <c r="B22" s="381"/>
      <c r="C22" s="420" t="s">
        <v>517</v>
      </c>
      <c r="D22" s="421">
        <f t="shared" si="0"/>
        <v>5000</v>
      </c>
      <c r="E22" s="421">
        <v>5000</v>
      </c>
      <c r="F22" s="421"/>
      <c r="G22" s="421"/>
      <c r="H22" s="422">
        <v>6000</v>
      </c>
      <c r="I22" s="423">
        <f t="shared" si="1"/>
        <v>11000</v>
      </c>
      <c r="J22" s="424">
        <f t="shared" si="2"/>
        <v>11000</v>
      </c>
      <c r="K22" s="424"/>
      <c r="L22" s="425"/>
      <c r="M22" s="47"/>
      <c r="N22" s="47"/>
    </row>
    <row r="23" spans="1:14" s="248" customFormat="1" ht="19.5" customHeight="1" thickBot="1">
      <c r="A23" s="367">
        <v>852</v>
      </c>
      <c r="B23" s="367"/>
      <c r="C23" s="368" t="s">
        <v>59</v>
      </c>
      <c r="D23" s="369">
        <f t="shared" si="0"/>
        <v>4318995</v>
      </c>
      <c r="E23" s="369">
        <v>3958995</v>
      </c>
      <c r="F23" s="369"/>
      <c r="G23" s="369">
        <v>360000</v>
      </c>
      <c r="H23" s="370">
        <f>H24</f>
        <v>260000</v>
      </c>
      <c r="I23" s="371">
        <f t="shared" si="1"/>
        <v>4578995</v>
      </c>
      <c r="J23" s="372">
        <f t="shared" si="2"/>
        <v>4218995</v>
      </c>
      <c r="K23" s="372"/>
      <c r="L23" s="373">
        <f>G23</f>
        <v>360000</v>
      </c>
      <c r="M23" s="124"/>
      <c r="N23" s="124"/>
    </row>
    <row r="24" spans="1:14" s="248" customFormat="1" ht="21" customHeight="1">
      <c r="A24" s="374"/>
      <c r="B24" s="375">
        <v>85201</v>
      </c>
      <c r="C24" s="162" t="s">
        <v>560</v>
      </c>
      <c r="D24" s="376">
        <f t="shared" si="0"/>
        <v>980000</v>
      </c>
      <c r="E24" s="376">
        <v>980000</v>
      </c>
      <c r="F24" s="376"/>
      <c r="G24" s="376"/>
      <c r="H24" s="377">
        <f>H25</f>
        <v>260000</v>
      </c>
      <c r="I24" s="378">
        <f t="shared" si="1"/>
        <v>1240000</v>
      </c>
      <c r="J24" s="379">
        <f t="shared" si="2"/>
        <v>1240000</v>
      </c>
      <c r="K24" s="379"/>
      <c r="L24" s="380"/>
      <c r="M24" s="124"/>
      <c r="N24" s="124"/>
    </row>
    <row r="25" spans="1:14" s="22" customFormat="1" ht="19.5" customHeight="1">
      <c r="A25" s="374"/>
      <c r="B25" s="381"/>
      <c r="C25" s="420" t="s">
        <v>681</v>
      </c>
      <c r="D25" s="421">
        <f t="shared" si="0"/>
        <v>163000</v>
      </c>
      <c r="E25" s="421">
        <v>163000</v>
      </c>
      <c r="F25" s="421"/>
      <c r="G25" s="421"/>
      <c r="H25" s="422">
        <v>260000</v>
      </c>
      <c r="I25" s="423">
        <f t="shared" si="1"/>
        <v>423000</v>
      </c>
      <c r="J25" s="424">
        <f t="shared" si="2"/>
        <v>423000</v>
      </c>
      <c r="K25" s="424"/>
      <c r="L25" s="425"/>
      <c r="M25" s="47"/>
      <c r="N25" s="47"/>
    </row>
    <row r="26" spans="1:14" s="248" customFormat="1" ht="19.5" customHeight="1" thickBot="1">
      <c r="A26" s="367">
        <v>854</v>
      </c>
      <c r="B26" s="367"/>
      <c r="C26" s="368" t="s">
        <v>60</v>
      </c>
      <c r="D26" s="369">
        <f t="shared" si="0"/>
        <v>1202307</v>
      </c>
      <c r="E26" s="369">
        <v>301207</v>
      </c>
      <c r="F26" s="369"/>
      <c r="G26" s="369">
        <v>901100</v>
      </c>
      <c r="H26" s="370">
        <f>H29+H27+H31</f>
        <v>113057</v>
      </c>
      <c r="I26" s="371">
        <f t="shared" si="1"/>
        <v>1315364</v>
      </c>
      <c r="J26" s="372">
        <f t="shared" si="2"/>
        <v>414264</v>
      </c>
      <c r="K26" s="372"/>
      <c r="L26" s="373">
        <f>G26</f>
        <v>901100</v>
      </c>
      <c r="M26" s="124"/>
      <c r="N26" s="124"/>
    </row>
    <row r="27" spans="1:14" s="248" customFormat="1" ht="21" customHeight="1">
      <c r="A27" s="374"/>
      <c r="B27" s="375">
        <v>85403</v>
      </c>
      <c r="C27" s="162" t="s">
        <v>553</v>
      </c>
      <c r="D27" s="376">
        <f t="shared" si="0"/>
        <v>1193307</v>
      </c>
      <c r="E27" s="376">
        <v>292207</v>
      </c>
      <c r="F27" s="376"/>
      <c r="G27" s="376">
        <v>901100</v>
      </c>
      <c r="H27" s="377">
        <f>H28</f>
        <v>-943</v>
      </c>
      <c r="I27" s="378">
        <f t="shared" si="1"/>
        <v>1192364</v>
      </c>
      <c r="J27" s="379">
        <f>E27+H27</f>
        <v>291264</v>
      </c>
      <c r="K27" s="379"/>
      <c r="L27" s="380">
        <f>G27</f>
        <v>901100</v>
      </c>
      <c r="M27" s="124"/>
      <c r="N27" s="124"/>
    </row>
    <row r="28" spans="1:14" s="22" customFormat="1" ht="19.5" customHeight="1">
      <c r="A28" s="374"/>
      <c r="B28" s="381"/>
      <c r="C28" s="420" t="s">
        <v>678</v>
      </c>
      <c r="D28" s="766">
        <f t="shared" si="0"/>
        <v>100000</v>
      </c>
      <c r="E28" s="766">
        <v>100000</v>
      </c>
      <c r="F28" s="766"/>
      <c r="G28" s="766"/>
      <c r="H28" s="767">
        <v>-943</v>
      </c>
      <c r="I28" s="768">
        <f t="shared" si="1"/>
        <v>99057</v>
      </c>
      <c r="J28" s="769">
        <f>E28+H28</f>
        <v>99057</v>
      </c>
      <c r="K28" s="769"/>
      <c r="L28" s="770"/>
      <c r="M28" s="47"/>
      <c r="N28" s="47"/>
    </row>
    <row r="29" spans="1:14" s="248" customFormat="1" ht="29.25" customHeight="1">
      <c r="A29" s="374"/>
      <c r="B29" s="375">
        <v>85406</v>
      </c>
      <c r="C29" s="778" t="s">
        <v>126</v>
      </c>
      <c r="D29" s="376"/>
      <c r="E29" s="376"/>
      <c r="F29" s="376"/>
      <c r="G29" s="376"/>
      <c r="H29" s="377">
        <f>H30</f>
        <v>4000</v>
      </c>
      <c r="I29" s="378">
        <f t="shared" si="1"/>
        <v>4000</v>
      </c>
      <c r="J29" s="379">
        <f t="shared" si="2"/>
        <v>4000</v>
      </c>
      <c r="K29" s="379"/>
      <c r="L29" s="380"/>
      <c r="M29" s="124"/>
      <c r="N29" s="124"/>
    </row>
    <row r="30" spans="1:14" s="22" customFormat="1" ht="19.5" customHeight="1">
      <c r="A30" s="374"/>
      <c r="B30" s="381"/>
      <c r="C30" s="769" t="s">
        <v>517</v>
      </c>
      <c r="D30" s="766"/>
      <c r="E30" s="766"/>
      <c r="F30" s="766"/>
      <c r="G30" s="766"/>
      <c r="H30" s="767">
        <v>4000</v>
      </c>
      <c r="I30" s="768">
        <f t="shared" si="1"/>
        <v>4000</v>
      </c>
      <c r="J30" s="769">
        <f t="shared" si="2"/>
        <v>4000</v>
      </c>
      <c r="K30" s="769"/>
      <c r="L30" s="770"/>
      <c r="M30" s="47"/>
      <c r="N30" s="47"/>
    </row>
    <row r="31" spans="1:14" s="22" customFormat="1" ht="19.5" customHeight="1">
      <c r="A31" s="374"/>
      <c r="B31" s="1153">
        <v>85410</v>
      </c>
      <c r="C31" s="1154" t="s">
        <v>438</v>
      </c>
      <c r="D31" s="1155"/>
      <c r="E31" s="1155"/>
      <c r="F31" s="1155"/>
      <c r="G31" s="1155"/>
      <c r="H31" s="1156">
        <f>H32</f>
        <v>110000</v>
      </c>
      <c r="I31" s="1157">
        <f>H31+D31</f>
        <v>110000</v>
      </c>
      <c r="J31" s="1158">
        <f>J32</f>
        <v>110000</v>
      </c>
      <c r="K31" s="1158"/>
      <c r="L31" s="1159"/>
      <c r="M31" s="47"/>
      <c r="N31" s="47"/>
    </row>
    <row r="32" spans="1:14" s="22" customFormat="1" ht="19.5" customHeight="1">
      <c r="A32" s="374"/>
      <c r="B32" s="381"/>
      <c r="C32" s="420" t="s">
        <v>677</v>
      </c>
      <c r="D32" s="1149"/>
      <c r="E32" s="1149"/>
      <c r="F32" s="1149"/>
      <c r="G32" s="1149"/>
      <c r="H32" s="1150">
        <v>110000</v>
      </c>
      <c r="I32" s="1151">
        <f>H32+D32</f>
        <v>110000</v>
      </c>
      <c r="J32" s="420">
        <f>110000</f>
        <v>110000</v>
      </c>
      <c r="K32" s="420"/>
      <c r="L32" s="1152"/>
      <c r="M32" s="47"/>
      <c r="N32" s="47"/>
    </row>
    <row r="33" spans="1:14" s="966" customFormat="1" ht="25.5" customHeight="1">
      <c r="A33" s="1190"/>
      <c r="B33" s="1191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3"/>
      <c r="N33" s="1193"/>
    </row>
    <row r="34" spans="1:14" s="33" customFormat="1" ht="19.5" customHeight="1">
      <c r="A34" s="1194"/>
      <c r="B34" s="1195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34"/>
      <c r="N34" s="34"/>
    </row>
    <row r="35" spans="1:14" s="248" customFormat="1" ht="19.5" customHeight="1" thickBot="1">
      <c r="A35" s="1183">
        <v>926</v>
      </c>
      <c r="B35" s="1183"/>
      <c r="C35" s="1184" t="s">
        <v>532</v>
      </c>
      <c r="D35" s="1185">
        <f t="shared" si="0"/>
        <v>8533000</v>
      </c>
      <c r="E35" s="1185">
        <v>8533000</v>
      </c>
      <c r="F35" s="1185"/>
      <c r="G35" s="1185"/>
      <c r="H35" s="1186">
        <f>H36</f>
        <v>0</v>
      </c>
      <c r="I35" s="1187">
        <f t="shared" si="1"/>
        <v>8533000</v>
      </c>
      <c r="J35" s="1188">
        <f t="shared" si="2"/>
        <v>8533000</v>
      </c>
      <c r="K35" s="1188"/>
      <c r="L35" s="1189"/>
      <c r="M35" s="124"/>
      <c r="N35" s="124"/>
    </row>
    <row r="36" spans="1:14" s="248" customFormat="1" ht="21" customHeight="1">
      <c r="A36" s="374"/>
      <c r="B36" s="375">
        <v>92604</v>
      </c>
      <c r="C36" s="518" t="s">
        <v>534</v>
      </c>
      <c r="D36" s="519">
        <f t="shared" si="0"/>
        <v>7513000</v>
      </c>
      <c r="E36" s="519">
        <v>7513000</v>
      </c>
      <c r="F36" s="519"/>
      <c r="G36" s="519"/>
      <c r="H36" s="520">
        <f>SUM(H37:H40)</f>
        <v>0</v>
      </c>
      <c r="I36" s="521">
        <f t="shared" si="1"/>
        <v>7513000</v>
      </c>
      <c r="J36" s="522">
        <f t="shared" si="2"/>
        <v>7513000</v>
      </c>
      <c r="K36" s="522"/>
      <c r="L36" s="523"/>
      <c r="M36" s="124"/>
      <c r="N36" s="124"/>
    </row>
    <row r="37" spans="1:14" s="283" customFormat="1" ht="38.25">
      <c r="A37" s="429"/>
      <c r="B37" s="430"/>
      <c r="C37" s="513" t="s">
        <v>269</v>
      </c>
      <c r="D37" s="514">
        <f t="shared" si="0"/>
        <v>3000000</v>
      </c>
      <c r="E37" s="514">
        <v>3000000</v>
      </c>
      <c r="F37" s="514"/>
      <c r="G37" s="514"/>
      <c r="H37" s="515">
        <v>100000</v>
      </c>
      <c r="I37" s="516">
        <f t="shared" si="1"/>
        <v>3100000</v>
      </c>
      <c r="J37" s="513">
        <f t="shared" si="2"/>
        <v>3100000</v>
      </c>
      <c r="K37" s="513"/>
      <c r="L37" s="517"/>
      <c r="M37" s="431"/>
      <c r="N37" s="431"/>
    </row>
    <row r="38" spans="1:14" s="22" customFormat="1" ht="19.5" customHeight="1">
      <c r="A38" s="374"/>
      <c r="B38" s="381"/>
      <c r="C38" s="1197" t="s">
        <v>270</v>
      </c>
      <c r="D38" s="1198">
        <f t="shared" si="0"/>
        <v>1000000</v>
      </c>
      <c r="E38" s="1198">
        <v>1000000</v>
      </c>
      <c r="F38" s="1198"/>
      <c r="G38" s="1198"/>
      <c r="H38" s="1199">
        <v>-100000</v>
      </c>
      <c r="I38" s="1200">
        <f t="shared" si="1"/>
        <v>900000</v>
      </c>
      <c r="J38" s="1197">
        <f t="shared" si="2"/>
        <v>900000</v>
      </c>
      <c r="K38" s="1197"/>
      <c r="L38" s="1201"/>
      <c r="M38" s="47"/>
      <c r="N38" s="47"/>
    </row>
    <row r="39" spans="1:14" s="22" customFormat="1" ht="29.25" customHeight="1">
      <c r="A39" s="374"/>
      <c r="B39" s="381"/>
      <c r="C39" s="972" t="s">
        <v>679</v>
      </c>
      <c r="D39" s="973">
        <f t="shared" si="0"/>
        <v>300000</v>
      </c>
      <c r="E39" s="973">
        <v>300000</v>
      </c>
      <c r="F39" s="973"/>
      <c r="G39" s="973"/>
      <c r="H39" s="974">
        <v>-150000</v>
      </c>
      <c r="I39" s="975">
        <f t="shared" si="1"/>
        <v>150000</v>
      </c>
      <c r="J39" s="972">
        <f t="shared" si="2"/>
        <v>150000</v>
      </c>
      <c r="K39" s="972"/>
      <c r="L39" s="976"/>
      <c r="M39" s="47"/>
      <c r="N39" s="47"/>
    </row>
    <row r="40" spans="1:14" s="22" customFormat="1" ht="30.75" customHeight="1">
      <c r="A40" s="374"/>
      <c r="B40" s="381"/>
      <c r="C40" s="382" t="s">
        <v>680</v>
      </c>
      <c r="D40" s="426">
        <f t="shared" si="0"/>
        <v>750000</v>
      </c>
      <c r="E40" s="426">
        <v>750000</v>
      </c>
      <c r="F40" s="426"/>
      <c r="G40" s="426"/>
      <c r="H40" s="427">
        <v>150000</v>
      </c>
      <c r="I40" s="512">
        <f t="shared" si="1"/>
        <v>900000</v>
      </c>
      <c r="J40" s="382">
        <f t="shared" si="2"/>
        <v>900000</v>
      </c>
      <c r="K40" s="382"/>
      <c r="L40" s="428"/>
      <c r="M40" s="47"/>
      <c r="N40" s="47"/>
    </row>
    <row r="41" spans="1:12" s="390" customFormat="1" ht="21.75" customHeight="1">
      <c r="A41" s="383"/>
      <c r="B41" s="384"/>
      <c r="C41" s="385" t="s">
        <v>518</v>
      </c>
      <c r="D41" s="386">
        <f t="shared" si="0"/>
        <v>84000</v>
      </c>
      <c r="E41" s="386"/>
      <c r="F41" s="386"/>
      <c r="G41" s="387">
        <v>84000</v>
      </c>
      <c r="H41" s="388"/>
      <c r="I41" s="389">
        <f>SUM(J41:L41)</f>
        <v>84000</v>
      </c>
      <c r="J41" s="386"/>
      <c r="K41" s="386"/>
      <c r="L41" s="386">
        <f>G41+H41</f>
        <v>84000</v>
      </c>
    </row>
    <row r="42" s="390" customFormat="1" ht="12" customHeight="1">
      <c r="C42" s="391"/>
    </row>
    <row r="43" spans="2:12" s="971" customFormat="1" ht="19.5" customHeight="1">
      <c r="B43" s="1160" t="s">
        <v>682</v>
      </c>
      <c r="C43" s="970"/>
      <c r="D43" s="970"/>
      <c r="E43" s="970"/>
      <c r="F43" s="970"/>
      <c r="G43" s="970"/>
      <c r="H43" s="970"/>
      <c r="I43" s="970"/>
      <c r="J43" s="970"/>
      <c r="K43" s="970"/>
      <c r="L43" s="970"/>
    </row>
    <row r="44" spans="2:12" s="971" customFormat="1" ht="19.5" customHeight="1">
      <c r="B44" s="970"/>
      <c r="C44" s="970"/>
      <c r="D44" s="970"/>
      <c r="E44" s="970"/>
      <c r="F44" s="970"/>
      <c r="G44" s="970"/>
      <c r="H44" s="970"/>
      <c r="I44" s="970"/>
      <c r="J44" s="970"/>
      <c r="K44" s="970"/>
      <c r="L44" s="970"/>
    </row>
    <row r="46" spans="3:4" ht="12.75">
      <c r="C46" s="22" t="s">
        <v>691</v>
      </c>
      <c r="D46" s="22" t="s">
        <v>692</v>
      </c>
    </row>
    <row r="47" spans="3:4" ht="12.75">
      <c r="C47" s="22" t="s">
        <v>693</v>
      </c>
      <c r="D47" s="22" t="s">
        <v>694</v>
      </c>
    </row>
    <row r="48" spans="3:4" ht="12.75">
      <c r="C48" s="22"/>
      <c r="D48" s="22" t="s">
        <v>695</v>
      </c>
    </row>
  </sheetData>
  <mergeCells count="3">
    <mergeCell ref="D6:D7"/>
    <mergeCell ref="E6:G6"/>
    <mergeCell ref="J6:L6"/>
  </mergeCells>
  <printOptions horizontalCentered="1"/>
  <pageMargins left="0.3937007874015748" right="0.3937007874015748" top="0.4330708661417323" bottom="0.3937007874015748" header="0.31496062992125984" footer="0.1968503937007874"/>
  <pageSetup firstPageNumber="12" useFirstPageNumber="1" horizontalDpi="300" verticalDpi="300" orientation="landscape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8">
      <pane ySplit="1305" topLeftCell="BM1" activePane="bottomLeft" state="split"/>
      <selection pane="topLeft" activeCell="A11" sqref="A11"/>
      <selection pane="bottomLeft" activeCell="C5" sqref="C5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48.00390625" style="392" customWidth="1"/>
    <col min="4" max="4" width="37.75390625" style="392" customWidth="1"/>
    <col min="5" max="5" width="16.875" style="392" customWidth="1"/>
    <col min="6" max="6" width="13.25390625" style="1025" customWidth="1"/>
    <col min="7" max="7" width="15.625" style="1025" customWidth="1"/>
    <col min="8" max="8" width="16.75390625" style="1025" customWidth="1"/>
    <col min="9" max="9" width="16.625" style="0" customWidth="1"/>
    <col min="10" max="10" width="16.375" style="0" customWidth="1"/>
    <col min="11" max="11" width="15.875" style="0" customWidth="1"/>
    <col min="12" max="12" width="16.625" style="0" customWidth="1"/>
    <col min="13" max="13" width="11.75390625" style="0" hidden="1" customWidth="1"/>
    <col min="14" max="14" width="15.125" style="0" customWidth="1"/>
    <col min="15" max="15" width="15.375" style="0" customWidth="1"/>
    <col min="16" max="16" width="17.00390625" style="0" customWidth="1"/>
    <col min="17" max="17" width="12.75390625" style="0" customWidth="1"/>
    <col min="18" max="18" width="16.25390625" style="0" customWidth="1"/>
    <col min="19" max="19" width="16.125" style="0" customWidth="1"/>
    <col min="20" max="20" width="15.875" style="0" customWidth="1"/>
    <col min="21" max="21" width="16.625" style="0" customWidth="1"/>
    <col min="22" max="22" width="11.75390625" style="0" hidden="1" customWidth="1"/>
    <col min="23" max="23" width="15.125" style="0" customWidth="1"/>
    <col min="24" max="24" width="15.375" style="0" customWidth="1"/>
    <col min="25" max="25" width="17.625" style="0" customWidth="1"/>
    <col min="26" max="26" width="11.75390625" style="0" hidden="1" customWidth="1"/>
    <col min="27" max="27" width="12.25390625" style="0" hidden="1" customWidth="1"/>
    <col min="28" max="28" width="3.00390625" style="0" hidden="1" customWidth="1"/>
  </cols>
  <sheetData>
    <row r="1" spans="3:21" s="1026" customFormat="1" ht="21" customHeight="1">
      <c r="C1" s="1027"/>
      <c r="D1" s="1027"/>
      <c r="E1" s="1027"/>
      <c r="F1" s="1028"/>
      <c r="G1" s="1028"/>
      <c r="H1" s="1028"/>
      <c r="U1" s="1080" t="s">
        <v>446</v>
      </c>
    </row>
    <row r="2" spans="7:21" s="1026" customFormat="1" ht="21" customHeight="1">
      <c r="G2" s="1029"/>
      <c r="H2" s="1029"/>
      <c r="U2" s="1080" t="s">
        <v>624</v>
      </c>
    </row>
    <row r="3" spans="3:21" s="1026" customFormat="1" ht="21" customHeight="1">
      <c r="C3" s="1239" t="s">
        <v>648</v>
      </c>
      <c r="D3" s="1239"/>
      <c r="E3" s="1239"/>
      <c r="F3" s="1239"/>
      <c r="G3" s="1239"/>
      <c r="H3" s="1239"/>
      <c r="I3" s="1240"/>
      <c r="J3" s="1240"/>
      <c r="K3" s="1240"/>
      <c r="L3" s="1240"/>
      <c r="M3" s="1240"/>
      <c r="N3" s="1240"/>
      <c r="O3" s="1240"/>
      <c r="P3" s="1240"/>
      <c r="Q3" s="1240"/>
      <c r="R3" s="1240"/>
      <c r="S3" s="1240"/>
      <c r="U3" s="1080" t="s">
        <v>27</v>
      </c>
    </row>
    <row r="4" spans="3:21" s="1026" customFormat="1" ht="21" customHeight="1">
      <c r="C4" s="1241"/>
      <c r="D4" s="1241"/>
      <c r="E4" s="1241"/>
      <c r="F4" s="1241"/>
      <c r="G4" s="1241"/>
      <c r="H4" s="1028"/>
      <c r="U4" s="1080" t="s">
        <v>625</v>
      </c>
    </row>
    <row r="5" spans="3:8" s="1026" customFormat="1" ht="21" customHeight="1">
      <c r="C5" s="1030"/>
      <c r="D5" s="1030"/>
      <c r="E5" s="1030"/>
      <c r="F5" s="1030"/>
      <c r="G5" s="1030"/>
      <c r="H5" s="1028"/>
    </row>
    <row r="6" spans="2:25" s="1026" customFormat="1" ht="21" customHeight="1" thickBot="1">
      <c r="B6" s="1031"/>
      <c r="C6" s="1027"/>
      <c r="D6" s="1027"/>
      <c r="E6" s="1027"/>
      <c r="F6" s="1028"/>
      <c r="G6" s="1028"/>
      <c r="H6" s="1028"/>
      <c r="M6" s="1032"/>
      <c r="P6" s="1033"/>
      <c r="V6" s="1032"/>
      <c r="Y6" s="1033" t="s">
        <v>28</v>
      </c>
    </row>
    <row r="7" spans="1:28" s="1" customFormat="1" ht="35.25" customHeight="1" thickBot="1" thickTop="1">
      <c r="A7" s="1034"/>
      <c r="B7" s="1034"/>
      <c r="C7" s="1035"/>
      <c r="D7" s="1035"/>
      <c r="E7" s="1036" t="s">
        <v>649</v>
      </c>
      <c r="F7" s="1036"/>
      <c r="G7" s="1036"/>
      <c r="H7" s="1036"/>
      <c r="I7" s="1036"/>
      <c r="J7" s="1236" t="s">
        <v>650</v>
      </c>
      <c r="K7" s="1237"/>
      <c r="L7" s="1238"/>
      <c r="M7" s="1036"/>
      <c r="N7" s="1236" t="s">
        <v>651</v>
      </c>
      <c r="O7" s="1237"/>
      <c r="P7" s="1238"/>
      <c r="Q7" s="1037"/>
      <c r="R7" s="1037"/>
      <c r="S7" s="1236" t="s">
        <v>650</v>
      </c>
      <c r="T7" s="1237"/>
      <c r="U7" s="1238"/>
      <c r="V7" s="1036"/>
      <c r="W7" s="1236" t="s">
        <v>651</v>
      </c>
      <c r="X7" s="1237"/>
      <c r="Y7" s="1238"/>
      <c r="Z7" s="1236" t="s">
        <v>652</v>
      </c>
      <c r="AA7" s="1237"/>
      <c r="AB7" s="1238"/>
    </row>
    <row r="8" spans="1:28" s="1" customFormat="1" ht="121.5" customHeight="1" thickBot="1" thickTop="1">
      <c r="A8" s="1038" t="s">
        <v>32</v>
      </c>
      <c r="B8" s="1039" t="s">
        <v>510</v>
      </c>
      <c r="C8" s="1039" t="s">
        <v>653</v>
      </c>
      <c r="D8" s="1039" t="s">
        <v>654</v>
      </c>
      <c r="E8" s="1039" t="s">
        <v>655</v>
      </c>
      <c r="F8" s="1039" t="s">
        <v>656</v>
      </c>
      <c r="G8" s="1039" t="s">
        <v>657</v>
      </c>
      <c r="H8" s="1039" t="s">
        <v>658</v>
      </c>
      <c r="I8" s="1039" t="s">
        <v>659</v>
      </c>
      <c r="J8" s="1040" t="s">
        <v>512</v>
      </c>
      <c r="K8" s="1040" t="s">
        <v>513</v>
      </c>
      <c r="L8" s="1040" t="s">
        <v>660</v>
      </c>
      <c r="M8" s="1039" t="s">
        <v>661</v>
      </c>
      <c r="N8" s="1040" t="s">
        <v>512</v>
      </c>
      <c r="O8" s="1040" t="s">
        <v>513</v>
      </c>
      <c r="P8" s="1040" t="s">
        <v>660</v>
      </c>
      <c r="Q8" s="1039" t="s">
        <v>97</v>
      </c>
      <c r="R8" s="1039" t="s">
        <v>1</v>
      </c>
      <c r="S8" s="1040" t="s">
        <v>512</v>
      </c>
      <c r="T8" s="1040" t="s">
        <v>513</v>
      </c>
      <c r="U8" s="1040" t="s">
        <v>660</v>
      </c>
      <c r="V8" s="1039" t="s">
        <v>661</v>
      </c>
      <c r="W8" s="1040" t="s">
        <v>512</v>
      </c>
      <c r="X8" s="1040" t="s">
        <v>513</v>
      </c>
      <c r="Y8" s="1040" t="s">
        <v>660</v>
      </c>
      <c r="Z8" s="1040" t="s">
        <v>512</v>
      </c>
      <c r="AA8" s="1040" t="s">
        <v>513</v>
      </c>
      <c r="AB8" s="1040" t="s">
        <v>660</v>
      </c>
    </row>
    <row r="9" spans="1:28" s="1044" customFormat="1" ht="20.25" customHeight="1" thickBot="1" thickTop="1">
      <c r="A9" s="1041">
        <v>1</v>
      </c>
      <c r="B9" s="1041">
        <v>2</v>
      </c>
      <c r="C9" s="1042">
        <v>3</v>
      </c>
      <c r="D9" s="1043">
        <v>4</v>
      </c>
      <c r="E9" s="1043">
        <v>5</v>
      </c>
      <c r="F9" s="1043">
        <v>6</v>
      </c>
      <c r="G9" s="1043">
        <v>7</v>
      </c>
      <c r="H9" s="1043">
        <v>8</v>
      </c>
      <c r="I9" s="1041">
        <v>9</v>
      </c>
      <c r="J9" s="1041">
        <v>12</v>
      </c>
      <c r="K9" s="1041">
        <v>13</v>
      </c>
      <c r="L9" s="1041">
        <v>14</v>
      </c>
      <c r="M9" s="1041">
        <v>14</v>
      </c>
      <c r="N9" s="1041">
        <v>15</v>
      </c>
      <c r="O9" s="1041">
        <v>16</v>
      </c>
      <c r="P9" s="1041">
        <v>17</v>
      </c>
      <c r="Q9" s="1041">
        <v>18</v>
      </c>
      <c r="R9" s="1041">
        <v>19</v>
      </c>
      <c r="S9" s="1041">
        <v>20</v>
      </c>
      <c r="T9" s="1041">
        <v>21</v>
      </c>
      <c r="U9" s="1041">
        <v>22</v>
      </c>
      <c r="V9" s="1041">
        <v>14</v>
      </c>
      <c r="W9" s="1041">
        <v>23</v>
      </c>
      <c r="X9" s="1041">
        <v>24</v>
      </c>
      <c r="Y9" s="1041">
        <v>25</v>
      </c>
      <c r="Z9" s="1041">
        <v>15</v>
      </c>
      <c r="AA9" s="1041">
        <v>16</v>
      </c>
      <c r="AB9" s="1041">
        <v>17</v>
      </c>
    </row>
    <row r="10" spans="1:28" s="1050" customFormat="1" ht="24" customHeight="1" thickBot="1" thickTop="1">
      <c r="A10" s="1045"/>
      <c r="B10" s="1045"/>
      <c r="C10" s="1046" t="s">
        <v>662</v>
      </c>
      <c r="D10" s="1047"/>
      <c r="E10" s="1047"/>
      <c r="F10" s="1048"/>
      <c r="G10" s="1049">
        <f>80085338+1171</f>
        <v>80086509</v>
      </c>
      <c r="H10" s="1049">
        <v>17651883</v>
      </c>
      <c r="I10" s="1049">
        <f aca="true" t="shared" si="0" ref="I10:I15">SUM(J10:L10)</f>
        <v>58664294</v>
      </c>
      <c r="J10" s="1049">
        <v>14271195</v>
      </c>
      <c r="K10" s="1049">
        <v>39846442</v>
      </c>
      <c r="L10" s="1049">
        <v>4546657</v>
      </c>
      <c r="M10" s="1049"/>
      <c r="N10" s="1049">
        <v>40227</v>
      </c>
      <c r="O10" s="1049">
        <v>228979</v>
      </c>
      <c r="P10" s="1049"/>
      <c r="Q10" s="1049">
        <f>Q11+Q15</f>
        <v>1171</v>
      </c>
      <c r="R10" s="1049">
        <f aca="true" t="shared" si="1" ref="R10:R15">SUM(S10:U10)</f>
        <v>58665465</v>
      </c>
      <c r="S10" s="1049">
        <f>J10</f>
        <v>14271195</v>
      </c>
      <c r="T10" s="1049">
        <f>K10+Q14</f>
        <v>39847613</v>
      </c>
      <c r="U10" s="1049">
        <f>L10</f>
        <v>4546657</v>
      </c>
      <c r="V10" s="1049"/>
      <c r="W10" s="1049">
        <f aca="true" t="shared" si="2" ref="W10:X13">N10</f>
        <v>40227</v>
      </c>
      <c r="X10" s="1049">
        <f t="shared" si="2"/>
        <v>228979</v>
      </c>
      <c r="Y10" s="1049"/>
      <c r="Z10" s="1049"/>
      <c r="AA10" s="1049"/>
      <c r="AB10" s="1049"/>
    </row>
    <row r="11" spans="1:28" s="1056" customFormat="1" ht="22.5" customHeight="1" thickBot="1" thickTop="1">
      <c r="A11" s="1051"/>
      <c r="B11" s="1051"/>
      <c r="C11" s="1052" t="s">
        <v>51</v>
      </c>
      <c r="D11" s="1053"/>
      <c r="E11" s="1053"/>
      <c r="F11" s="1054"/>
      <c r="G11" s="1055">
        <f>78078676+1171</f>
        <v>78079847</v>
      </c>
      <c r="H11" s="1055">
        <v>16884246</v>
      </c>
      <c r="I11" s="1055">
        <f t="shared" si="0"/>
        <v>57425269</v>
      </c>
      <c r="J11" s="1055">
        <v>14271195</v>
      </c>
      <c r="K11" s="1055">
        <v>39003286</v>
      </c>
      <c r="L11" s="1055">
        <v>4150788</v>
      </c>
      <c r="M11" s="1055"/>
      <c r="N11" s="1055">
        <v>40227</v>
      </c>
      <c r="O11" s="1055">
        <v>228979</v>
      </c>
      <c r="P11" s="1055"/>
      <c r="Q11" s="1055">
        <f>Q12</f>
        <v>1171</v>
      </c>
      <c r="R11" s="1055">
        <f t="shared" si="1"/>
        <v>57426440</v>
      </c>
      <c r="S11" s="1055">
        <f>J11</f>
        <v>14271195</v>
      </c>
      <c r="T11" s="1055">
        <f>K11+Q14</f>
        <v>39004457</v>
      </c>
      <c r="U11" s="1055">
        <f>L11</f>
        <v>4150788</v>
      </c>
      <c r="V11" s="1055"/>
      <c r="W11" s="1055">
        <f t="shared" si="2"/>
        <v>40227</v>
      </c>
      <c r="X11" s="1055">
        <f t="shared" si="2"/>
        <v>228979</v>
      </c>
      <c r="Y11" s="1055"/>
      <c r="Z11" s="1055"/>
      <c r="AA11" s="1055"/>
      <c r="AB11" s="1055"/>
    </row>
    <row r="12" spans="1:28" s="1062" customFormat="1" ht="24" customHeight="1">
      <c r="A12" s="1057">
        <v>852</v>
      </c>
      <c r="B12" s="1058"/>
      <c r="C12" s="1059" t="s">
        <v>59</v>
      </c>
      <c r="D12" s="1059"/>
      <c r="E12" s="1059"/>
      <c r="F12" s="1060"/>
      <c r="G12" s="1061">
        <f>500746+1171</f>
        <v>501917</v>
      </c>
      <c r="H12" s="1061">
        <v>11844</v>
      </c>
      <c r="I12" s="1061">
        <f t="shared" si="0"/>
        <v>426843</v>
      </c>
      <c r="J12" s="1061">
        <v>62633</v>
      </c>
      <c r="K12" s="1061">
        <v>364210</v>
      </c>
      <c r="L12" s="1061"/>
      <c r="M12" s="1061">
        <f>M13</f>
        <v>0</v>
      </c>
      <c r="N12" s="1061">
        <v>19992</v>
      </c>
      <c r="O12" s="1061">
        <v>42067</v>
      </c>
      <c r="P12" s="1061"/>
      <c r="Q12" s="1061">
        <f>Q13</f>
        <v>1171</v>
      </c>
      <c r="R12" s="1061">
        <f t="shared" si="1"/>
        <v>428014</v>
      </c>
      <c r="S12" s="1061">
        <f>J12</f>
        <v>62633</v>
      </c>
      <c r="T12" s="1061">
        <f>K12+Q12</f>
        <v>365381</v>
      </c>
      <c r="U12" s="1061"/>
      <c r="V12" s="1061"/>
      <c r="W12" s="1061">
        <f t="shared" si="2"/>
        <v>19992</v>
      </c>
      <c r="X12" s="1061">
        <f t="shared" si="2"/>
        <v>42067</v>
      </c>
      <c r="Y12" s="1061"/>
      <c r="Z12" s="1061"/>
      <c r="AA12" s="1061"/>
      <c r="AB12" s="1061"/>
    </row>
    <row r="13" spans="1:28" s="3" customFormat="1" ht="26.25" customHeight="1">
      <c r="A13" s="1063"/>
      <c r="B13" s="1064">
        <v>85219</v>
      </c>
      <c r="C13" s="1065" t="s">
        <v>540</v>
      </c>
      <c r="D13" s="1065"/>
      <c r="E13" s="1065"/>
      <c r="F13" s="1066"/>
      <c r="G13" s="1067">
        <f>500746+1171</f>
        <v>501917</v>
      </c>
      <c r="H13" s="1067">
        <v>11844</v>
      </c>
      <c r="I13" s="1067">
        <f t="shared" si="0"/>
        <v>426843</v>
      </c>
      <c r="J13" s="1067">
        <v>62633</v>
      </c>
      <c r="K13" s="1067">
        <v>364210</v>
      </c>
      <c r="L13" s="1067"/>
      <c r="M13" s="1067">
        <f>SUM(M14:M14)</f>
        <v>0</v>
      </c>
      <c r="N13" s="1067">
        <v>19992</v>
      </c>
      <c r="O13" s="1067">
        <v>42067</v>
      </c>
      <c r="P13" s="1067"/>
      <c r="Q13" s="1067">
        <f>Q14</f>
        <v>1171</v>
      </c>
      <c r="R13" s="1067">
        <f t="shared" si="1"/>
        <v>428014</v>
      </c>
      <c r="S13" s="1067">
        <f>J13</f>
        <v>62633</v>
      </c>
      <c r="T13" s="1067">
        <f>K13+Q13</f>
        <v>365381</v>
      </c>
      <c r="U13" s="1067"/>
      <c r="V13" s="1067"/>
      <c r="W13" s="1067">
        <f t="shared" si="2"/>
        <v>19992</v>
      </c>
      <c r="X13" s="1067">
        <f t="shared" si="2"/>
        <v>42067</v>
      </c>
      <c r="Y13" s="1067"/>
      <c r="Z13" s="1067"/>
      <c r="AA13" s="1067"/>
      <c r="AB13" s="1067"/>
    </row>
    <row r="14" spans="1:28" s="3" customFormat="1" ht="108.75" customHeight="1">
      <c r="A14" s="1063"/>
      <c r="B14" s="1068"/>
      <c r="C14" s="1069" t="s">
        <v>686</v>
      </c>
      <c r="D14" s="1070" t="s">
        <v>2</v>
      </c>
      <c r="E14" s="1071" t="s">
        <v>0</v>
      </c>
      <c r="F14" s="1070" t="s">
        <v>663</v>
      </c>
      <c r="G14" s="1072">
        <f>H14+T14</f>
        <v>42597</v>
      </c>
      <c r="H14" s="1072">
        <v>5159</v>
      </c>
      <c r="I14" s="1072">
        <f t="shared" si="0"/>
        <v>36267</v>
      </c>
      <c r="J14" s="1073"/>
      <c r="K14" s="1073">
        <f>36267</f>
        <v>36267</v>
      </c>
      <c r="L14" s="1073"/>
      <c r="M14" s="1073"/>
      <c r="N14" s="1073"/>
      <c r="O14" s="1073"/>
      <c r="P14" s="1073"/>
      <c r="Q14" s="1072">
        <v>1171</v>
      </c>
      <c r="R14" s="1072">
        <f t="shared" si="1"/>
        <v>37438</v>
      </c>
      <c r="S14" s="1073"/>
      <c r="T14" s="1073">
        <f>K14+Q14</f>
        <v>37438</v>
      </c>
      <c r="U14" s="1073"/>
      <c r="V14" s="1073"/>
      <c r="W14" s="1073"/>
      <c r="X14" s="1073"/>
      <c r="Y14" s="1073"/>
      <c r="Z14" s="1073"/>
      <c r="AA14" s="1073"/>
      <c r="AB14" s="1073"/>
    </row>
    <row r="15" spans="1:28" s="1056" customFormat="1" ht="47.25" customHeight="1" thickBot="1">
      <c r="A15" s="1074"/>
      <c r="B15" s="1074"/>
      <c r="C15" s="1075" t="s">
        <v>88</v>
      </c>
      <c r="D15" s="1076"/>
      <c r="E15" s="1076"/>
      <c r="F15" s="1077"/>
      <c r="G15" s="1078">
        <v>2006662</v>
      </c>
      <c r="H15" s="1078">
        <v>767637</v>
      </c>
      <c r="I15" s="1078">
        <f t="shared" si="0"/>
        <v>1239025</v>
      </c>
      <c r="J15" s="1078"/>
      <c r="K15" s="1078">
        <v>843156</v>
      </c>
      <c r="L15" s="1078">
        <v>395869</v>
      </c>
      <c r="M15" s="1078" t="e">
        <f>#REF!</f>
        <v>#REF!</v>
      </c>
      <c r="N15" s="1078"/>
      <c r="O15" s="1078"/>
      <c r="P15" s="1078"/>
      <c r="Q15" s="1078"/>
      <c r="R15" s="1078">
        <f t="shared" si="1"/>
        <v>1239025</v>
      </c>
      <c r="S15" s="1078"/>
      <c r="T15" s="1078">
        <v>843156</v>
      </c>
      <c r="U15" s="1078">
        <v>395869</v>
      </c>
      <c r="V15" s="1078" t="e">
        <f>#REF!</f>
        <v>#REF!</v>
      </c>
      <c r="W15" s="1078"/>
      <c r="X15" s="1078"/>
      <c r="Y15" s="1078"/>
      <c r="Z15" s="1079"/>
      <c r="AA15" s="1079"/>
      <c r="AB15" s="1079"/>
    </row>
    <row r="18" spans="3:4" ht="12.75">
      <c r="C18" s="22" t="s">
        <v>691</v>
      </c>
      <c r="D18" s="22" t="s">
        <v>692</v>
      </c>
    </row>
    <row r="19" spans="3:4" ht="12.75">
      <c r="C19" s="22" t="s">
        <v>693</v>
      </c>
      <c r="D19" s="22" t="s">
        <v>694</v>
      </c>
    </row>
    <row r="20" spans="3:4" ht="12.75">
      <c r="C20" s="22"/>
      <c r="D20" s="22" t="s">
        <v>695</v>
      </c>
    </row>
  </sheetData>
  <mergeCells count="7">
    <mergeCell ref="Z7:AB7"/>
    <mergeCell ref="J7:L7"/>
    <mergeCell ref="N7:P7"/>
    <mergeCell ref="C3:S3"/>
    <mergeCell ref="C4:G4"/>
    <mergeCell ref="S7:U7"/>
    <mergeCell ref="W7:Y7"/>
  </mergeCells>
  <printOptions horizontalCentered="1"/>
  <pageMargins left="0.3937007874015748" right="0.3937007874015748" top="0.5905511811023623" bottom="0.5905511811023623" header="0.5118110236220472" footer="0.5118110236220472"/>
  <pageSetup firstPageNumber="14" useFirstPageNumber="1" horizontalDpi="600" verticalDpi="600" orientation="landscape" paperSize="9" scale="3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I34"/>
  <sheetViews>
    <sheetView zoomScale="90" zoomScaleNormal="90" zoomScaleSheetLayoutView="75" workbookViewId="0" topLeftCell="A1">
      <selection activeCell="C8" sqref="C8"/>
    </sheetView>
  </sheetViews>
  <sheetFormatPr defaultColWidth="9.00390625" defaultRowHeight="12.75"/>
  <cols>
    <col min="1" max="1" width="8.625" style="22" customWidth="1"/>
    <col min="2" max="2" width="9.625" style="22" customWidth="1"/>
    <col min="3" max="3" width="70.00390625" style="22" customWidth="1"/>
    <col min="4" max="4" width="21.25390625" style="22" bestFit="1" customWidth="1"/>
    <col min="5" max="5" width="15.75390625" style="22" hidden="1" customWidth="1"/>
    <col min="6" max="7" width="18.75390625" style="22" customWidth="1"/>
    <col min="8" max="8" width="11.375" style="22" customWidth="1"/>
    <col min="9" max="9" width="9.125" style="22" customWidth="1"/>
    <col min="10" max="16384" width="7.875" style="22" customWidth="1"/>
  </cols>
  <sheetData>
    <row r="1" spans="1:7" ht="12.75" customHeight="1">
      <c r="A1" s="393"/>
      <c r="B1" s="393"/>
      <c r="C1" s="393"/>
      <c r="D1" s="393"/>
      <c r="E1" s="394"/>
      <c r="F1" s="50" t="s">
        <v>561</v>
      </c>
      <c r="G1" s="394"/>
    </row>
    <row r="2" spans="1:7" ht="12.75" customHeight="1">
      <c r="A2" s="393"/>
      <c r="B2" s="393"/>
      <c r="C2" s="393"/>
      <c r="D2" s="393"/>
      <c r="E2" s="393"/>
      <c r="F2" s="22" t="s">
        <v>624</v>
      </c>
      <c r="G2" s="393"/>
    </row>
    <row r="3" spans="1:7" ht="15" customHeight="1">
      <c r="A3" s="393"/>
      <c r="B3" s="393"/>
      <c r="C3" s="395" t="s">
        <v>519</v>
      </c>
      <c r="D3" s="393"/>
      <c r="E3" s="394"/>
      <c r="F3" s="22" t="s">
        <v>27</v>
      </c>
      <c r="G3" s="393"/>
    </row>
    <row r="4" spans="1:7" ht="12.75" customHeight="1">
      <c r="A4" s="393"/>
      <c r="B4" s="393"/>
      <c r="C4" s="393"/>
      <c r="D4" s="393"/>
      <c r="E4" s="394"/>
      <c r="F4" s="22" t="s">
        <v>625</v>
      </c>
      <c r="G4" s="393"/>
    </row>
    <row r="5" spans="1:7" ht="12.75" customHeight="1">
      <c r="A5" s="393"/>
      <c r="B5" s="393"/>
      <c r="C5" s="393"/>
      <c r="D5" s="393"/>
      <c r="E5" s="393"/>
      <c r="F5" s="393"/>
      <c r="G5" s="393"/>
    </row>
    <row r="6" spans="1:7" ht="12.75" customHeight="1" thickBot="1">
      <c r="A6" s="393"/>
      <c r="B6" s="393"/>
      <c r="C6" s="393"/>
      <c r="D6" s="396"/>
      <c r="E6" s="396"/>
      <c r="F6" s="396"/>
      <c r="G6" s="397" t="s">
        <v>28</v>
      </c>
    </row>
    <row r="7" spans="1:7" ht="10.5" customHeight="1" thickTop="1">
      <c r="A7" s="338"/>
      <c r="B7" s="338"/>
      <c r="C7" s="338"/>
      <c r="D7" s="1231" t="s">
        <v>524</v>
      </c>
      <c r="E7" s="398"/>
      <c r="F7" s="398"/>
      <c r="G7" s="398"/>
    </row>
    <row r="8" spans="1:7" ht="57.75" customHeight="1" thickBot="1">
      <c r="A8" s="399" t="s">
        <v>32</v>
      </c>
      <c r="B8" s="399" t="s">
        <v>33</v>
      </c>
      <c r="C8" s="400" t="s">
        <v>520</v>
      </c>
      <c r="D8" s="1242"/>
      <c r="E8" s="401" t="s">
        <v>521</v>
      </c>
      <c r="F8" s="401" t="s">
        <v>97</v>
      </c>
      <c r="G8" s="401" t="s">
        <v>84</v>
      </c>
    </row>
    <row r="9" spans="1:7" ht="11.25" customHeight="1" thickBot="1" thickTop="1">
      <c r="A9" s="250">
        <v>1</v>
      </c>
      <c r="B9" s="250">
        <v>2</v>
      </c>
      <c r="C9" s="250">
        <v>3</v>
      </c>
      <c r="D9" s="250">
        <v>4</v>
      </c>
      <c r="E9" s="250">
        <v>5</v>
      </c>
      <c r="F9" s="250">
        <v>5</v>
      </c>
      <c r="G9" s="250">
        <v>6</v>
      </c>
    </row>
    <row r="10" spans="1:9" ht="18" customHeight="1" thickBot="1" thickTop="1">
      <c r="A10" s="252"/>
      <c r="B10" s="252"/>
      <c r="C10" s="402" t="s">
        <v>522</v>
      </c>
      <c r="D10" s="254">
        <v>14714506</v>
      </c>
      <c r="E10" s="254"/>
      <c r="F10" s="254">
        <f>F12</f>
        <v>-101257</v>
      </c>
      <c r="G10" s="254">
        <f>D10+F10</f>
        <v>14613249</v>
      </c>
      <c r="H10" s="47"/>
      <c r="I10" s="47"/>
    </row>
    <row r="11" spans="1:7" ht="14.25" customHeight="1" thickTop="1">
      <c r="A11" s="67"/>
      <c r="B11" s="67"/>
      <c r="C11" s="403" t="s">
        <v>49</v>
      </c>
      <c r="D11" s="404"/>
      <c r="E11" s="404"/>
      <c r="F11" s="404"/>
      <c r="G11" s="404"/>
    </row>
    <row r="12" spans="1:7" s="45" customFormat="1" ht="15" customHeight="1" thickBot="1">
      <c r="A12" s="105"/>
      <c r="B12" s="105"/>
      <c r="C12" s="405" t="s">
        <v>523</v>
      </c>
      <c r="D12" s="106">
        <v>14284506</v>
      </c>
      <c r="E12" s="106"/>
      <c r="F12" s="106">
        <f>F13+F16+F23</f>
        <v>-101257</v>
      </c>
      <c r="G12" s="106">
        <f aca="true" t="shared" si="0" ref="G12:G28">D12+F12</f>
        <v>14183249</v>
      </c>
    </row>
    <row r="13" spans="1:7" s="45" customFormat="1" ht="18.75" customHeight="1" thickTop="1">
      <c r="A13" s="72">
        <v>754</v>
      </c>
      <c r="B13" s="72"/>
      <c r="C13" s="406" t="s">
        <v>52</v>
      </c>
      <c r="D13" s="407">
        <v>20000</v>
      </c>
      <c r="E13" s="407"/>
      <c r="F13" s="407">
        <f>F14</f>
        <v>8000</v>
      </c>
      <c r="G13" s="407">
        <f t="shared" si="0"/>
        <v>28000</v>
      </c>
    </row>
    <row r="14" spans="1:7" s="410" customFormat="1" ht="18.75" customHeight="1">
      <c r="A14" s="76"/>
      <c r="B14" s="189">
        <v>75412</v>
      </c>
      <c r="C14" s="408" t="s">
        <v>165</v>
      </c>
      <c r="D14" s="409"/>
      <c r="E14" s="409"/>
      <c r="F14" s="409">
        <f>F15</f>
        <v>8000</v>
      </c>
      <c r="G14" s="409">
        <f t="shared" si="0"/>
        <v>8000</v>
      </c>
    </row>
    <row r="15" spans="1:7" s="45" customFormat="1" ht="18.75" customHeight="1">
      <c r="A15" s="80"/>
      <c r="B15" s="80"/>
      <c r="C15" s="1175" t="s">
        <v>684</v>
      </c>
      <c r="D15" s="412"/>
      <c r="E15" s="412"/>
      <c r="F15" s="412">
        <v>8000</v>
      </c>
      <c r="G15" s="412">
        <f t="shared" si="0"/>
        <v>8000</v>
      </c>
    </row>
    <row r="16" spans="1:7" s="45" customFormat="1" ht="18.75" customHeight="1">
      <c r="A16" s="72">
        <v>801</v>
      </c>
      <c r="B16" s="72"/>
      <c r="C16" s="406" t="s">
        <v>58</v>
      </c>
      <c r="D16" s="407">
        <v>1633006</v>
      </c>
      <c r="E16" s="407"/>
      <c r="F16" s="407">
        <f>F19+F17+F21</f>
        <v>-200</v>
      </c>
      <c r="G16" s="407">
        <f t="shared" si="0"/>
        <v>1632806</v>
      </c>
    </row>
    <row r="17" spans="1:7" s="410" customFormat="1" ht="18.75" customHeight="1">
      <c r="A17" s="76"/>
      <c r="B17" s="189">
        <v>80101</v>
      </c>
      <c r="C17" s="408" t="s">
        <v>409</v>
      </c>
      <c r="D17" s="409">
        <v>568475</v>
      </c>
      <c r="E17" s="409"/>
      <c r="F17" s="409">
        <f>F18</f>
        <v>-1760</v>
      </c>
      <c r="G17" s="409">
        <f t="shared" si="0"/>
        <v>566715</v>
      </c>
    </row>
    <row r="18" spans="1:7" s="45" customFormat="1" ht="18.75" customHeight="1">
      <c r="A18" s="80"/>
      <c r="B18" s="80"/>
      <c r="C18" s="411" t="s">
        <v>578</v>
      </c>
      <c r="D18" s="412">
        <v>568475</v>
      </c>
      <c r="E18" s="412"/>
      <c r="F18" s="412">
        <v>-1760</v>
      </c>
      <c r="G18" s="412">
        <f t="shared" si="0"/>
        <v>566715</v>
      </c>
    </row>
    <row r="19" spans="1:7" s="410" customFormat="1" ht="18.75" customHeight="1">
      <c r="A19" s="76"/>
      <c r="B19" s="189">
        <v>80104</v>
      </c>
      <c r="C19" s="408" t="s">
        <v>108</v>
      </c>
      <c r="D19" s="409">
        <v>101623</v>
      </c>
      <c r="E19" s="409"/>
      <c r="F19" s="409">
        <f>F20</f>
        <v>-200</v>
      </c>
      <c r="G19" s="409">
        <f t="shared" si="0"/>
        <v>101423</v>
      </c>
    </row>
    <row r="20" spans="1:7" s="45" customFormat="1" ht="18.75" customHeight="1">
      <c r="A20" s="80"/>
      <c r="B20" s="80"/>
      <c r="C20" s="411" t="s">
        <v>117</v>
      </c>
      <c r="D20" s="412">
        <v>101623</v>
      </c>
      <c r="E20" s="412"/>
      <c r="F20" s="412">
        <v>-200</v>
      </c>
      <c r="G20" s="412">
        <f t="shared" si="0"/>
        <v>101423</v>
      </c>
    </row>
    <row r="21" spans="1:7" s="410" customFormat="1" ht="18.75" customHeight="1">
      <c r="A21" s="76"/>
      <c r="B21" s="189">
        <v>80110</v>
      </c>
      <c r="C21" s="408" t="s">
        <v>410</v>
      </c>
      <c r="D21" s="409">
        <v>312908</v>
      </c>
      <c r="E21" s="409"/>
      <c r="F21" s="409">
        <f>F22</f>
        <v>1760</v>
      </c>
      <c r="G21" s="409">
        <f t="shared" si="0"/>
        <v>314668</v>
      </c>
    </row>
    <row r="22" spans="1:7" s="45" customFormat="1" ht="18.75" customHeight="1">
      <c r="A22" s="80"/>
      <c r="B22" s="80"/>
      <c r="C22" s="852" t="s">
        <v>578</v>
      </c>
      <c r="D22" s="853">
        <v>312908</v>
      </c>
      <c r="E22" s="853"/>
      <c r="F22" s="853">
        <v>1760</v>
      </c>
      <c r="G22" s="853">
        <f t="shared" si="0"/>
        <v>314668</v>
      </c>
    </row>
    <row r="23" spans="1:7" s="45" customFormat="1" ht="18.75" customHeight="1">
      <c r="A23" s="72">
        <v>854</v>
      </c>
      <c r="B23" s="72"/>
      <c r="C23" s="406" t="s">
        <v>60</v>
      </c>
      <c r="D23" s="407">
        <v>425000</v>
      </c>
      <c r="E23" s="407"/>
      <c r="F23" s="407">
        <f>F24+F26</f>
        <v>-109057</v>
      </c>
      <c r="G23" s="407">
        <f t="shared" si="0"/>
        <v>315943</v>
      </c>
    </row>
    <row r="24" spans="1:7" s="410" customFormat="1" ht="18.75" customHeight="1">
      <c r="A24" s="76"/>
      <c r="B24" s="189">
        <v>85403</v>
      </c>
      <c r="C24" s="408" t="s">
        <v>553</v>
      </c>
      <c r="D24" s="409">
        <v>150000</v>
      </c>
      <c r="E24" s="409"/>
      <c r="F24" s="409">
        <f>F25</f>
        <v>943</v>
      </c>
      <c r="G24" s="409">
        <f t="shared" si="0"/>
        <v>150943</v>
      </c>
    </row>
    <row r="25" spans="1:7" s="45" customFormat="1" ht="18.75" customHeight="1">
      <c r="A25" s="80"/>
      <c r="B25" s="1168"/>
      <c r="C25" s="852" t="s">
        <v>579</v>
      </c>
      <c r="D25" s="853">
        <v>150000</v>
      </c>
      <c r="E25" s="853"/>
      <c r="F25" s="853">
        <v>943</v>
      </c>
      <c r="G25" s="853">
        <f t="shared" si="0"/>
        <v>150943</v>
      </c>
    </row>
    <row r="26" spans="1:7" s="45" customFormat="1" ht="18.75" customHeight="1">
      <c r="A26" s="80"/>
      <c r="B26" s="1165">
        <v>85410</v>
      </c>
      <c r="C26" s="1166" t="s">
        <v>438</v>
      </c>
      <c r="D26" s="1167">
        <v>200000</v>
      </c>
      <c r="E26" s="1167"/>
      <c r="F26" s="1167">
        <f>F27</f>
        <v>-110000</v>
      </c>
      <c r="G26" s="1167">
        <f>F26+D26</f>
        <v>90000</v>
      </c>
    </row>
    <row r="27" spans="1:7" s="45" customFormat="1" ht="18.75" customHeight="1">
      <c r="A27" s="80"/>
      <c r="B27" s="80"/>
      <c r="C27" s="852" t="s">
        <v>579</v>
      </c>
      <c r="D27" s="412">
        <v>200000</v>
      </c>
      <c r="E27" s="412"/>
      <c r="F27" s="412">
        <v>-110000</v>
      </c>
      <c r="G27" s="412">
        <f>F27+D27</f>
        <v>90000</v>
      </c>
    </row>
    <row r="28" spans="1:7" s="414" customFormat="1" ht="19.5" customHeight="1">
      <c r="A28" s="413"/>
      <c r="B28" s="413"/>
      <c r="C28" s="415" t="s">
        <v>572</v>
      </c>
      <c r="D28" s="416">
        <v>430000</v>
      </c>
      <c r="E28" s="416"/>
      <c r="F28" s="416"/>
      <c r="G28" s="416">
        <f t="shared" si="0"/>
        <v>430000</v>
      </c>
    </row>
    <row r="32" spans="3:4" ht="12.75">
      <c r="C32" s="22" t="s">
        <v>691</v>
      </c>
      <c r="D32" s="22" t="s">
        <v>692</v>
      </c>
    </row>
    <row r="33" spans="3:4" ht="12.75">
      <c r="C33" s="22" t="s">
        <v>693</v>
      </c>
      <c r="D33" s="22" t="s">
        <v>694</v>
      </c>
    </row>
    <row r="34" ht="12.75">
      <c r="D34" s="22" t="s">
        <v>695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15" useFirstPageNumber="1" horizontalDpi="300" verticalDpi="3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4"/>
  <sheetViews>
    <sheetView workbookViewId="0" topLeftCell="A1">
      <selection activeCell="C6" sqref="C6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8.75390625" style="0" customWidth="1"/>
    <col min="4" max="4" width="13.25390625" style="0" customWidth="1"/>
    <col min="5" max="5" width="13.00390625" style="0" customWidth="1"/>
    <col min="6" max="6" width="13.125" style="0" customWidth="1"/>
    <col min="7" max="7" width="13.25390625" style="0" customWidth="1"/>
    <col min="8" max="8" width="24.875" style="0" hidden="1" customWidth="1"/>
    <col min="9" max="9" width="16.375" style="0" customWidth="1"/>
    <col min="10" max="10" width="22.625" style="0" customWidth="1"/>
    <col min="11" max="11" width="13.75390625" style="0" customWidth="1"/>
    <col min="12" max="12" width="14.875" style="0" customWidth="1"/>
    <col min="13" max="14" width="13.25390625" style="0" customWidth="1"/>
    <col min="15" max="15" width="14.875" style="0" customWidth="1"/>
  </cols>
  <sheetData>
    <row r="1" spans="1:13" s="527" customFormat="1" ht="13.5" customHeight="1">
      <c r="A1" s="524"/>
      <c r="B1" s="525"/>
      <c r="C1" s="526"/>
      <c r="H1" s="528"/>
      <c r="I1" s="528"/>
      <c r="J1" s="528"/>
      <c r="M1" s="50" t="s">
        <v>564</v>
      </c>
    </row>
    <row r="2" spans="1:13" s="527" customFormat="1" ht="18">
      <c r="A2" s="524"/>
      <c r="B2" s="525"/>
      <c r="C2" s="529" t="s">
        <v>276</v>
      </c>
      <c r="D2" s="530"/>
      <c r="E2" s="531"/>
      <c r="F2" s="531"/>
      <c r="G2" s="531"/>
      <c r="H2" s="532"/>
      <c r="I2" s="532"/>
      <c r="J2" s="532"/>
      <c r="M2" s="22" t="s">
        <v>624</v>
      </c>
    </row>
    <row r="3" spans="1:13" s="527" customFormat="1" ht="18">
      <c r="A3" s="524"/>
      <c r="C3" s="529" t="s">
        <v>277</v>
      </c>
      <c r="D3" s="533"/>
      <c r="E3" s="533"/>
      <c r="F3" s="533"/>
      <c r="G3" s="533"/>
      <c r="H3" s="532"/>
      <c r="I3" s="532"/>
      <c r="J3" s="532"/>
      <c r="M3" s="22" t="s">
        <v>27</v>
      </c>
    </row>
    <row r="4" spans="1:13" s="527" customFormat="1" ht="14.25" customHeight="1">
      <c r="A4" s="524"/>
      <c r="B4" s="525"/>
      <c r="C4" s="526"/>
      <c r="D4" s="530"/>
      <c r="E4" s="531"/>
      <c r="F4" s="531"/>
      <c r="G4" s="531"/>
      <c r="H4" s="532"/>
      <c r="I4" s="532"/>
      <c r="J4" s="532"/>
      <c r="M4" s="22" t="s">
        <v>625</v>
      </c>
    </row>
    <row r="5" spans="1:14" s="527" customFormat="1" ht="9.75" customHeight="1">
      <c r="A5" s="524"/>
      <c r="B5" s="525"/>
      <c r="C5" s="526"/>
      <c r="D5" s="530"/>
      <c r="E5" s="531"/>
      <c r="F5" s="531"/>
      <c r="G5" s="531"/>
      <c r="H5" s="532"/>
      <c r="I5" s="532"/>
      <c r="J5" s="532"/>
      <c r="M5" s="531"/>
      <c r="N5" s="531"/>
    </row>
    <row r="6" spans="1:15" s="527" customFormat="1" ht="15" customHeight="1" thickBot="1">
      <c r="A6" s="534"/>
      <c r="B6" s="535"/>
      <c r="C6" s="536"/>
      <c r="D6" s="537"/>
      <c r="E6" s="537"/>
      <c r="F6" s="537"/>
      <c r="G6" s="537"/>
      <c r="H6" s="538"/>
      <c r="I6" s="538"/>
      <c r="J6" s="538"/>
      <c r="K6" s="537"/>
      <c r="L6" s="537"/>
      <c r="M6" s="537"/>
      <c r="N6" s="537"/>
      <c r="O6" s="537" t="s">
        <v>278</v>
      </c>
    </row>
    <row r="7" spans="1:39" s="530" customFormat="1" ht="56.25" customHeight="1" thickBot="1" thickTop="1">
      <c r="A7" s="539"/>
      <c r="B7" s="540"/>
      <c r="C7" s="541"/>
      <c r="D7" s="1243" t="s">
        <v>279</v>
      </c>
      <c r="E7" s="1244"/>
      <c r="F7" s="542"/>
      <c r="G7" s="1243" t="s">
        <v>280</v>
      </c>
      <c r="H7" s="1245"/>
      <c r="I7" s="1244"/>
      <c r="J7" s="543"/>
      <c r="K7" s="1243" t="s">
        <v>281</v>
      </c>
      <c r="L7" s="1244"/>
      <c r="M7" s="542"/>
      <c r="N7" s="1246" t="s">
        <v>282</v>
      </c>
      <c r="O7" s="124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</row>
    <row r="8" spans="1:39" s="551" customFormat="1" ht="39" customHeight="1" thickBot="1" thickTop="1">
      <c r="A8" s="544" t="s">
        <v>32</v>
      </c>
      <c r="B8" s="545" t="s">
        <v>33</v>
      </c>
      <c r="C8" s="546" t="s">
        <v>29</v>
      </c>
      <c r="D8" s="547" t="s">
        <v>265</v>
      </c>
      <c r="E8" s="548" t="s">
        <v>283</v>
      </c>
      <c r="F8" s="549" t="s">
        <v>97</v>
      </c>
      <c r="G8" s="549" t="s">
        <v>265</v>
      </c>
      <c r="H8" s="549" t="s">
        <v>284</v>
      </c>
      <c r="I8" s="549" t="s">
        <v>285</v>
      </c>
      <c r="J8" s="549" t="s">
        <v>286</v>
      </c>
      <c r="K8" s="550" t="s">
        <v>265</v>
      </c>
      <c r="L8" s="548" t="s">
        <v>287</v>
      </c>
      <c r="M8" s="549" t="s">
        <v>97</v>
      </c>
      <c r="N8" s="549" t="s">
        <v>265</v>
      </c>
      <c r="O8" s="548" t="s">
        <v>287</v>
      </c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</row>
    <row r="9" spans="1:39" s="556" customFormat="1" ht="14.25" thickBot="1" thickTop="1">
      <c r="A9" s="552">
        <v>1</v>
      </c>
      <c r="B9" s="553">
        <v>2</v>
      </c>
      <c r="C9" s="554">
        <v>3</v>
      </c>
      <c r="D9" s="552">
        <v>4</v>
      </c>
      <c r="E9" s="552">
        <v>5</v>
      </c>
      <c r="F9" s="552">
        <v>6</v>
      </c>
      <c r="G9" s="552">
        <v>7</v>
      </c>
      <c r="H9" s="555">
        <v>6</v>
      </c>
      <c r="I9" s="555">
        <v>8</v>
      </c>
      <c r="J9" s="555">
        <v>9</v>
      </c>
      <c r="K9" s="552">
        <v>10</v>
      </c>
      <c r="L9" s="552">
        <v>11</v>
      </c>
      <c r="M9" s="552">
        <v>12</v>
      </c>
      <c r="N9" s="552">
        <v>13</v>
      </c>
      <c r="O9" s="552">
        <v>14</v>
      </c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</row>
    <row r="10" spans="1:39" s="564" customFormat="1" ht="30.75" customHeight="1" thickBot="1" thickTop="1">
      <c r="A10" s="557"/>
      <c r="B10" s="558"/>
      <c r="C10" s="559" t="s">
        <v>72</v>
      </c>
      <c r="D10" s="560">
        <v>91289472</v>
      </c>
      <c r="E10" s="560">
        <v>7543000</v>
      </c>
      <c r="F10" s="561"/>
      <c r="G10" s="561">
        <f>D10+F10</f>
        <v>91289472</v>
      </c>
      <c r="H10" s="562"/>
      <c r="I10" s="560">
        <f>E10+F10</f>
        <v>7543000</v>
      </c>
      <c r="J10" s="563"/>
      <c r="K10" s="560">
        <v>91135184</v>
      </c>
      <c r="L10" s="560">
        <v>7498790</v>
      </c>
      <c r="M10" s="561"/>
      <c r="N10" s="560">
        <f>K10</f>
        <v>91135184</v>
      </c>
      <c r="O10" s="560">
        <f>L10</f>
        <v>7498790</v>
      </c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</row>
    <row r="11" spans="1:39" s="564" customFormat="1" ht="30.75" customHeight="1" hidden="1">
      <c r="A11" s="565"/>
      <c r="B11" s="566"/>
      <c r="C11" s="567" t="s">
        <v>523</v>
      </c>
      <c r="D11" s="568"/>
      <c r="E11" s="568"/>
      <c r="F11" s="569"/>
      <c r="G11" s="569"/>
      <c r="H11" s="570"/>
      <c r="I11" s="568"/>
      <c r="J11" s="571"/>
      <c r="K11" s="568"/>
      <c r="L11" s="568"/>
      <c r="M11" s="569"/>
      <c r="N11" s="568"/>
      <c r="O11" s="568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</row>
    <row r="12" spans="1:39" s="578" customFormat="1" ht="24" customHeight="1" thickTop="1">
      <c r="A12" s="572"/>
      <c r="B12" s="573"/>
      <c r="C12" s="574" t="s">
        <v>288</v>
      </c>
      <c r="D12" s="575">
        <v>74774900</v>
      </c>
      <c r="E12" s="575">
        <v>6985000</v>
      </c>
      <c r="F12" s="575"/>
      <c r="G12" s="575">
        <f>D12+F12</f>
        <v>74774900</v>
      </c>
      <c r="H12" s="576"/>
      <c r="I12" s="575">
        <f>E12+F12</f>
        <v>6985000</v>
      </c>
      <c r="J12" s="576"/>
      <c r="K12" s="575">
        <v>74461900</v>
      </c>
      <c r="L12" s="575">
        <v>6326700</v>
      </c>
      <c r="M12" s="575"/>
      <c r="N12" s="575">
        <f>K12</f>
        <v>74461900</v>
      </c>
      <c r="O12" s="575">
        <f>L12</f>
        <v>6326700</v>
      </c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</row>
    <row r="13" spans="1:15" s="527" customFormat="1" ht="23.25" customHeight="1">
      <c r="A13" s="579"/>
      <c r="B13" s="580"/>
      <c r="C13" s="581" t="s">
        <v>289</v>
      </c>
      <c r="D13" s="582"/>
      <c r="E13" s="583">
        <v>9258000</v>
      </c>
      <c r="F13" s="583">
        <f>F14</f>
        <v>0</v>
      </c>
      <c r="G13" s="583"/>
      <c r="H13" s="583"/>
      <c r="I13" s="583">
        <f>E13+F13</f>
        <v>9258000</v>
      </c>
      <c r="J13" s="584"/>
      <c r="K13" s="583">
        <v>9258000</v>
      </c>
      <c r="L13" s="583"/>
      <c r="M13" s="583">
        <f>M14</f>
        <v>0</v>
      </c>
      <c r="N13" s="583">
        <f>K13+M13</f>
        <v>9258000</v>
      </c>
      <c r="O13" s="585"/>
    </row>
    <row r="14" spans="1:15" s="527" customFormat="1" ht="28.5" customHeight="1">
      <c r="A14" s="586">
        <v>926</v>
      </c>
      <c r="B14" s="587">
        <v>92604</v>
      </c>
      <c r="C14" s="588" t="s">
        <v>290</v>
      </c>
      <c r="D14" s="589"/>
      <c r="E14" s="590">
        <v>7513000</v>
      </c>
      <c r="F14" s="590">
        <f>SUM(F16:F19)</f>
        <v>0</v>
      </c>
      <c r="G14" s="590"/>
      <c r="H14" s="591"/>
      <c r="I14" s="590">
        <f>E14+F14</f>
        <v>7513000</v>
      </c>
      <c r="J14" s="592"/>
      <c r="K14" s="590">
        <v>7513000</v>
      </c>
      <c r="L14" s="593"/>
      <c r="M14" s="590">
        <f>SUM(M16:M19)</f>
        <v>0</v>
      </c>
      <c r="N14" s="593">
        <f>K14+M14</f>
        <v>7513000</v>
      </c>
      <c r="O14" s="593"/>
    </row>
    <row r="15" spans="1:15" s="527" customFormat="1" ht="15.75" customHeight="1">
      <c r="A15" s="586"/>
      <c r="B15" s="587"/>
      <c r="C15" s="588"/>
      <c r="D15" s="589"/>
      <c r="E15" s="594" t="s">
        <v>291</v>
      </c>
      <c r="F15" s="594"/>
      <c r="G15" s="586"/>
      <c r="H15" s="595"/>
      <c r="I15" s="594" t="s">
        <v>291</v>
      </c>
      <c r="J15" s="592"/>
      <c r="K15" s="594" t="s">
        <v>291</v>
      </c>
      <c r="L15" s="596"/>
      <c r="M15" s="594"/>
      <c r="N15" s="594" t="s">
        <v>291</v>
      </c>
      <c r="O15" s="596"/>
    </row>
    <row r="16" spans="1:15" s="527" customFormat="1" ht="46.5" customHeight="1">
      <c r="A16" s="586"/>
      <c r="B16" s="587"/>
      <c r="C16" s="588"/>
      <c r="D16" s="589"/>
      <c r="E16" s="597">
        <v>3000000</v>
      </c>
      <c r="F16" s="598">
        <v>100000</v>
      </c>
      <c r="G16" s="597"/>
      <c r="H16" s="600"/>
      <c r="I16" s="597">
        <f>E16+F16</f>
        <v>3100000</v>
      </c>
      <c r="J16" s="606" t="s">
        <v>269</v>
      </c>
      <c r="K16" s="597">
        <v>3000000</v>
      </c>
      <c r="L16" s="598"/>
      <c r="M16" s="598">
        <v>100000</v>
      </c>
      <c r="N16" s="607">
        <f>M16+K16</f>
        <v>3100000</v>
      </c>
      <c r="O16" s="607"/>
    </row>
    <row r="17" spans="1:15" s="527" customFormat="1" ht="29.25" customHeight="1">
      <c r="A17" s="586"/>
      <c r="B17" s="587"/>
      <c r="C17" s="588"/>
      <c r="D17" s="586"/>
      <c r="E17" s="598">
        <v>1000000</v>
      </c>
      <c r="F17" s="598">
        <v>-100000</v>
      </c>
      <c r="G17" s="598"/>
      <c r="H17" s="600"/>
      <c r="I17" s="597">
        <f>E17+F17</f>
        <v>900000</v>
      </c>
      <c r="J17" s="606" t="s">
        <v>270</v>
      </c>
      <c r="K17" s="598">
        <v>1000000</v>
      </c>
      <c r="L17" s="598"/>
      <c r="M17" s="598">
        <v>-100000</v>
      </c>
      <c r="N17" s="607">
        <f>M17+K17</f>
        <v>900000</v>
      </c>
      <c r="O17" s="607"/>
    </row>
    <row r="18" spans="1:15" s="527" customFormat="1" ht="37.5" customHeight="1">
      <c r="A18" s="586"/>
      <c r="B18" s="587"/>
      <c r="C18" s="588"/>
      <c r="D18" s="586"/>
      <c r="E18" s="598">
        <v>300000</v>
      </c>
      <c r="F18" s="598">
        <v>-150000</v>
      </c>
      <c r="G18" s="598"/>
      <c r="H18" s="600"/>
      <c r="I18" s="597">
        <f>E18+F18</f>
        <v>150000</v>
      </c>
      <c r="J18" s="606" t="s">
        <v>271</v>
      </c>
      <c r="K18" s="598">
        <v>300000</v>
      </c>
      <c r="L18" s="598"/>
      <c r="M18" s="598">
        <v>-150000</v>
      </c>
      <c r="N18" s="607">
        <f>M18+K18</f>
        <v>150000</v>
      </c>
      <c r="O18" s="607"/>
    </row>
    <row r="19" spans="1:15" s="527" customFormat="1" ht="37.5" customHeight="1">
      <c r="A19" s="586"/>
      <c r="B19" s="587"/>
      <c r="C19" s="588"/>
      <c r="D19" s="586"/>
      <c r="E19" s="598">
        <v>750000</v>
      </c>
      <c r="F19" s="598">
        <v>150000</v>
      </c>
      <c r="G19" s="598"/>
      <c r="H19" s="600"/>
      <c r="I19" s="597">
        <f>E19+F19</f>
        <v>900000</v>
      </c>
      <c r="J19" s="606" t="s">
        <v>273</v>
      </c>
      <c r="K19" s="598">
        <v>750000</v>
      </c>
      <c r="L19" s="598"/>
      <c r="M19" s="598">
        <v>150000</v>
      </c>
      <c r="N19" s="607">
        <f>M19+K19</f>
        <v>900000</v>
      </c>
      <c r="O19" s="607"/>
    </row>
    <row r="20" spans="1:15" s="599" customFormat="1" ht="22.5" customHeight="1">
      <c r="A20" s="604"/>
      <c r="B20" s="605"/>
      <c r="C20" s="601" t="s">
        <v>292</v>
      </c>
      <c r="D20" s="601">
        <v>3038800</v>
      </c>
      <c r="E20" s="601">
        <v>558000</v>
      </c>
      <c r="F20" s="601"/>
      <c r="G20" s="601">
        <f>D20</f>
        <v>3038800</v>
      </c>
      <c r="H20" s="602"/>
      <c r="I20" s="601">
        <f>E20</f>
        <v>558000</v>
      </c>
      <c r="J20" s="602"/>
      <c r="K20" s="601">
        <v>3066978</v>
      </c>
      <c r="L20" s="601">
        <v>1172090</v>
      </c>
      <c r="M20" s="601"/>
      <c r="N20" s="601">
        <f>K20</f>
        <v>3066978</v>
      </c>
      <c r="O20" s="603">
        <f>L20</f>
        <v>1172090</v>
      </c>
    </row>
    <row r="21" spans="1:15" s="599" customFormat="1" ht="22.5" customHeight="1">
      <c r="A21" s="828"/>
      <c r="B21" s="829"/>
      <c r="C21" s="601" t="s">
        <v>293</v>
      </c>
      <c r="D21" s="601">
        <v>13475772</v>
      </c>
      <c r="E21" s="601"/>
      <c r="F21" s="601"/>
      <c r="G21" s="601">
        <f>D21</f>
        <v>13475772</v>
      </c>
      <c r="H21" s="602"/>
      <c r="I21" s="601"/>
      <c r="J21" s="602"/>
      <c r="K21" s="601">
        <v>13606306</v>
      </c>
      <c r="L21" s="601"/>
      <c r="M21" s="601"/>
      <c r="N21" s="601">
        <f>K21</f>
        <v>13606306</v>
      </c>
      <c r="O21" s="603"/>
    </row>
    <row r="22" spans="1:10" s="527" customFormat="1" ht="12.75">
      <c r="A22" s="524"/>
      <c r="B22" s="525"/>
      <c r="C22" s="526"/>
      <c r="H22" s="528"/>
      <c r="I22" s="528"/>
      <c r="J22" s="528"/>
    </row>
    <row r="23" spans="1:10" s="527" customFormat="1" ht="12.75">
      <c r="A23" s="524"/>
      <c r="B23" s="525"/>
      <c r="C23" s="526"/>
      <c r="H23" s="528"/>
      <c r="I23" s="528"/>
      <c r="J23" s="528"/>
    </row>
    <row r="24" spans="1:10" s="527" customFormat="1" ht="12.75">
      <c r="A24" s="524"/>
      <c r="B24" s="525"/>
      <c r="C24" s="526"/>
      <c r="H24" s="528"/>
      <c r="I24" s="528"/>
      <c r="J24" s="528"/>
    </row>
    <row r="25" spans="1:10" s="527" customFormat="1" ht="12.75">
      <c r="A25" s="524"/>
      <c r="B25" s="525"/>
      <c r="C25" s="526"/>
      <c r="E25" s="22" t="s">
        <v>691</v>
      </c>
      <c r="F25" s="22"/>
      <c r="H25" s="528"/>
      <c r="I25" s="22" t="s">
        <v>692</v>
      </c>
      <c r="J25" s="528"/>
    </row>
    <row r="26" spans="1:10" s="527" customFormat="1" ht="12.75">
      <c r="A26" s="524"/>
      <c r="B26" s="525"/>
      <c r="C26" s="526"/>
      <c r="E26" s="22" t="s">
        <v>693</v>
      </c>
      <c r="F26" s="22"/>
      <c r="H26" s="528"/>
      <c r="I26" s="22" t="s">
        <v>694</v>
      </c>
      <c r="J26" s="528"/>
    </row>
    <row r="27" spans="1:10" s="527" customFormat="1" ht="12.75">
      <c r="A27" s="524"/>
      <c r="B27" s="525"/>
      <c r="C27" s="526"/>
      <c r="E27" s="22"/>
      <c r="F27" s="22"/>
      <c r="H27" s="528"/>
      <c r="I27" s="22" t="s">
        <v>695</v>
      </c>
      <c r="J27" s="528"/>
    </row>
    <row r="28" spans="1:10" s="527" customFormat="1" ht="12.75">
      <c r="A28" s="524"/>
      <c r="B28" s="525"/>
      <c r="C28" s="526"/>
      <c r="H28" s="528"/>
      <c r="I28" s="528"/>
      <c r="J28" s="528"/>
    </row>
    <row r="29" spans="1:10" s="527" customFormat="1" ht="12.75">
      <c r="A29" s="524"/>
      <c r="B29" s="525"/>
      <c r="C29" s="526"/>
      <c r="H29" s="528"/>
      <c r="I29" s="528"/>
      <c r="J29" s="528"/>
    </row>
    <row r="30" spans="1:10" s="527" customFormat="1" ht="12.75">
      <c r="A30" s="524"/>
      <c r="B30" s="525"/>
      <c r="C30" s="526"/>
      <c r="H30" s="528"/>
      <c r="I30" s="528"/>
      <c r="J30" s="528"/>
    </row>
    <row r="31" spans="1:10" s="527" customFormat="1" ht="12.75">
      <c r="A31" s="524"/>
      <c r="B31" s="525"/>
      <c r="C31" s="526"/>
      <c r="H31" s="528"/>
      <c r="I31" s="528"/>
      <c r="J31" s="528"/>
    </row>
    <row r="32" spans="1:10" s="527" customFormat="1" ht="12.75">
      <c r="A32" s="524"/>
      <c r="B32" s="525"/>
      <c r="C32" s="526"/>
      <c r="H32" s="528"/>
      <c r="I32" s="528"/>
      <c r="J32" s="528"/>
    </row>
    <row r="33" spans="1:10" s="527" customFormat="1" ht="12.75">
      <c r="A33" s="524"/>
      <c r="B33" s="525"/>
      <c r="C33" s="526"/>
      <c r="H33" s="528"/>
      <c r="I33" s="528"/>
      <c r="J33" s="528"/>
    </row>
    <row r="34" spans="1:10" s="527" customFormat="1" ht="12.75">
      <c r="A34" s="524"/>
      <c r="B34" s="525"/>
      <c r="C34" s="526"/>
      <c r="H34" s="528"/>
      <c r="I34" s="528"/>
      <c r="J34" s="528"/>
    </row>
    <row r="35" spans="1:10" s="527" customFormat="1" ht="12.75">
      <c r="A35" s="524"/>
      <c r="B35" s="525"/>
      <c r="C35" s="526"/>
      <c r="H35" s="528"/>
      <c r="I35" s="528"/>
      <c r="J35" s="528"/>
    </row>
    <row r="36" spans="1:10" s="527" customFormat="1" ht="12.75">
      <c r="A36" s="524"/>
      <c r="B36" s="525"/>
      <c r="C36" s="526"/>
      <c r="H36" s="528"/>
      <c r="I36" s="528"/>
      <c r="J36" s="528"/>
    </row>
    <row r="37" spans="1:10" s="527" customFormat="1" ht="12.75">
      <c r="A37" s="524"/>
      <c r="B37" s="525"/>
      <c r="C37" s="526"/>
      <c r="H37" s="528"/>
      <c r="I37" s="528"/>
      <c r="J37" s="528"/>
    </row>
    <row r="38" spans="1:10" s="527" customFormat="1" ht="12.75">
      <c r="A38" s="524"/>
      <c r="B38" s="525"/>
      <c r="C38" s="526"/>
      <c r="H38" s="528"/>
      <c r="I38" s="528"/>
      <c r="J38" s="528"/>
    </row>
    <row r="39" spans="1:10" s="527" customFormat="1" ht="12.75">
      <c r="A39" s="524"/>
      <c r="B39" s="525"/>
      <c r="C39" s="526"/>
      <c r="H39" s="528"/>
      <c r="I39" s="528"/>
      <c r="J39" s="528"/>
    </row>
    <row r="40" spans="1:10" s="527" customFormat="1" ht="12.75">
      <c r="A40" s="524"/>
      <c r="B40" s="525"/>
      <c r="C40" s="526"/>
      <c r="H40" s="528"/>
      <c r="I40" s="528"/>
      <c r="J40" s="528"/>
    </row>
    <row r="41" spans="1:10" s="527" customFormat="1" ht="12.75">
      <c r="A41" s="524"/>
      <c r="B41" s="525"/>
      <c r="C41" s="526"/>
      <c r="H41" s="528"/>
      <c r="I41" s="528"/>
      <c r="J41" s="528"/>
    </row>
    <row r="42" spans="1:10" s="527" customFormat="1" ht="12.75">
      <c r="A42" s="524"/>
      <c r="B42" s="525"/>
      <c r="C42" s="526"/>
      <c r="H42" s="528"/>
      <c r="I42" s="528"/>
      <c r="J42" s="528"/>
    </row>
    <row r="43" spans="1:10" s="527" customFormat="1" ht="12.75">
      <c r="A43" s="524"/>
      <c r="B43" s="525"/>
      <c r="C43" s="526"/>
      <c r="H43" s="528"/>
      <c r="I43" s="528"/>
      <c r="J43" s="528"/>
    </row>
    <row r="44" spans="1:10" s="527" customFormat="1" ht="12.75">
      <c r="A44" s="524"/>
      <c r="B44" s="525"/>
      <c r="C44" s="526"/>
      <c r="H44" s="528"/>
      <c r="I44" s="528"/>
      <c r="J44" s="528"/>
    </row>
    <row r="45" spans="1:10" s="527" customFormat="1" ht="12.75">
      <c r="A45" s="524"/>
      <c r="B45" s="525"/>
      <c r="C45" s="526"/>
      <c r="H45" s="528"/>
      <c r="I45" s="528"/>
      <c r="J45" s="528"/>
    </row>
    <row r="46" spans="1:10" s="527" customFormat="1" ht="12.75">
      <c r="A46" s="524"/>
      <c r="B46" s="525"/>
      <c r="C46" s="526"/>
      <c r="H46" s="528"/>
      <c r="I46" s="528"/>
      <c r="J46" s="528"/>
    </row>
    <row r="47" spans="1:10" s="527" customFormat="1" ht="12.75">
      <c r="A47" s="524"/>
      <c r="B47" s="525"/>
      <c r="C47" s="526"/>
      <c r="H47" s="528"/>
      <c r="I47" s="528"/>
      <c r="J47" s="528"/>
    </row>
    <row r="48" spans="1:10" s="527" customFormat="1" ht="12.75">
      <c r="A48" s="524"/>
      <c r="B48" s="525"/>
      <c r="C48" s="526"/>
      <c r="H48" s="528"/>
      <c r="I48" s="528"/>
      <c r="J48" s="528"/>
    </row>
    <row r="49" spans="1:10" s="527" customFormat="1" ht="12.75">
      <c r="A49" s="524"/>
      <c r="B49" s="525"/>
      <c r="C49" s="526"/>
      <c r="H49" s="528"/>
      <c r="I49" s="528"/>
      <c r="J49" s="528"/>
    </row>
    <row r="50" spans="1:10" s="527" customFormat="1" ht="12.75">
      <c r="A50" s="524"/>
      <c r="B50" s="525"/>
      <c r="C50" s="526"/>
      <c r="H50" s="528"/>
      <c r="I50" s="528"/>
      <c r="J50" s="528"/>
    </row>
    <row r="51" spans="1:10" s="527" customFormat="1" ht="12.75">
      <c r="A51" s="524"/>
      <c r="B51" s="525"/>
      <c r="C51" s="526"/>
      <c r="H51" s="528"/>
      <c r="I51" s="528"/>
      <c r="J51" s="528"/>
    </row>
    <row r="52" spans="1:10" s="527" customFormat="1" ht="12.75">
      <c r="A52" s="524"/>
      <c r="B52" s="525"/>
      <c r="C52" s="526"/>
      <c r="H52" s="528"/>
      <c r="I52" s="528"/>
      <c r="J52" s="528"/>
    </row>
    <row r="53" spans="1:10" s="527" customFormat="1" ht="12.75">
      <c r="A53" s="524"/>
      <c r="B53" s="525"/>
      <c r="C53" s="526"/>
      <c r="H53" s="528"/>
      <c r="I53" s="528"/>
      <c r="J53" s="528"/>
    </row>
    <row r="54" spans="1:10" s="527" customFormat="1" ht="12.75">
      <c r="A54" s="524"/>
      <c r="B54" s="525"/>
      <c r="C54" s="526"/>
      <c r="H54" s="528"/>
      <c r="I54" s="528"/>
      <c r="J54" s="528"/>
    </row>
    <row r="55" spans="1:10" s="527" customFormat="1" ht="12.75">
      <c r="A55" s="524"/>
      <c r="B55" s="525"/>
      <c r="C55" s="526"/>
      <c r="H55" s="528"/>
      <c r="I55" s="528"/>
      <c r="J55" s="528"/>
    </row>
    <row r="56" spans="1:10" s="527" customFormat="1" ht="12.75">
      <c r="A56" s="524"/>
      <c r="B56" s="525"/>
      <c r="C56" s="526"/>
      <c r="H56" s="528"/>
      <c r="I56" s="528"/>
      <c r="J56" s="528"/>
    </row>
    <row r="57" spans="1:10" s="527" customFormat="1" ht="12.75">
      <c r="A57" s="524"/>
      <c r="B57" s="525"/>
      <c r="C57" s="526"/>
      <c r="H57" s="528"/>
      <c r="I57" s="528"/>
      <c r="J57" s="528"/>
    </row>
    <row r="58" spans="1:10" s="527" customFormat="1" ht="12.75">
      <c r="A58" s="524"/>
      <c r="B58" s="525"/>
      <c r="C58" s="526"/>
      <c r="H58" s="528"/>
      <c r="I58" s="528"/>
      <c r="J58" s="528"/>
    </row>
    <row r="59" spans="1:10" s="527" customFormat="1" ht="12.75">
      <c r="A59" s="524"/>
      <c r="B59" s="525"/>
      <c r="C59" s="526"/>
      <c r="H59" s="528"/>
      <c r="I59" s="528"/>
      <c r="J59" s="528"/>
    </row>
    <row r="60" spans="1:10" s="527" customFormat="1" ht="12.75">
      <c r="A60" s="524"/>
      <c r="B60" s="525"/>
      <c r="C60" s="526"/>
      <c r="H60" s="528"/>
      <c r="I60" s="528"/>
      <c r="J60" s="528"/>
    </row>
    <row r="61" spans="1:10" s="527" customFormat="1" ht="12.75">
      <c r="A61" s="524"/>
      <c r="B61" s="525"/>
      <c r="C61" s="526"/>
      <c r="H61" s="528"/>
      <c r="I61" s="528"/>
      <c r="J61" s="528"/>
    </row>
    <row r="62" spans="1:10" s="527" customFormat="1" ht="12.75">
      <c r="A62" s="524"/>
      <c r="B62" s="525"/>
      <c r="C62" s="526"/>
      <c r="H62" s="528"/>
      <c r="I62" s="528"/>
      <c r="J62" s="528"/>
    </row>
    <row r="63" spans="1:10" s="527" customFormat="1" ht="12.75">
      <c r="A63" s="524"/>
      <c r="B63" s="525"/>
      <c r="C63" s="526"/>
      <c r="H63" s="528"/>
      <c r="I63" s="528"/>
      <c r="J63" s="528"/>
    </row>
    <row r="64" spans="1:10" s="527" customFormat="1" ht="12.75">
      <c r="A64" s="524"/>
      <c r="B64" s="525"/>
      <c r="C64" s="526"/>
      <c r="H64" s="528"/>
      <c r="I64" s="528"/>
      <c r="J64" s="528"/>
    </row>
  </sheetData>
  <mergeCells count="4">
    <mergeCell ref="D7:E7"/>
    <mergeCell ref="G7:I7"/>
    <mergeCell ref="K7:L7"/>
    <mergeCell ref="N7:O7"/>
  </mergeCells>
  <printOptions horizontalCentered="1"/>
  <pageMargins left="0.2755905511811024" right="0.2755905511811024" top="0.7086614173228347" bottom="0.7086614173228347" header="0.5118110236220472" footer="0.5118110236220472"/>
  <pageSetup firstPageNumber="16" useFirstPageNumber="1" horizontalDpi="600" verticalDpi="600" orientation="landscape" paperSize="9" scale="6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J39"/>
  <sheetViews>
    <sheetView zoomScale="90" zoomScaleNormal="90" zoomScaleSheetLayoutView="75" workbookViewId="0" topLeftCell="A1">
      <selection activeCell="D7" sqref="D7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8.25390625" style="22" customWidth="1"/>
    <col min="4" max="4" width="66.625" style="22" customWidth="1"/>
    <col min="5" max="5" width="22.75390625" style="22" customWidth="1"/>
    <col min="6" max="6" width="19.00390625" style="22" customWidth="1"/>
    <col min="7" max="7" width="20.375" style="22" customWidth="1"/>
    <col min="8" max="8" width="12.00390625" style="22" customWidth="1"/>
    <col min="9" max="9" width="11.125" style="22" customWidth="1"/>
    <col min="10" max="10" width="15.25390625" style="22" customWidth="1"/>
    <col min="11" max="16384" width="9.125" style="22" customWidth="1"/>
  </cols>
  <sheetData>
    <row r="1" spans="2:6" ht="15" customHeight="1">
      <c r="B1" s="248"/>
      <c r="C1" s="248"/>
      <c r="F1" s="50" t="s">
        <v>565</v>
      </c>
    </row>
    <row r="2" ht="15" customHeight="1">
      <c r="F2" s="22" t="s">
        <v>624</v>
      </c>
    </row>
    <row r="3" spans="4:6" ht="15" customHeight="1">
      <c r="D3" s="3" t="s">
        <v>417</v>
      </c>
      <c r="F3" s="22" t="s">
        <v>27</v>
      </c>
    </row>
    <row r="4" ht="15" customHeight="1">
      <c r="F4" s="22" t="s">
        <v>625</v>
      </c>
    </row>
    <row r="5" ht="17.25" customHeight="1" thickBot="1">
      <c r="G5" s="54" t="s">
        <v>28</v>
      </c>
    </row>
    <row r="6" spans="1:7" ht="67.5" customHeight="1" thickBot="1" thickTop="1">
      <c r="A6" s="249" t="s">
        <v>81</v>
      </c>
      <c r="B6" s="249" t="s">
        <v>33</v>
      </c>
      <c r="C6" s="118" t="s">
        <v>66</v>
      </c>
      <c r="D6" s="118" t="s">
        <v>418</v>
      </c>
      <c r="E6" s="118" t="s">
        <v>419</v>
      </c>
      <c r="F6" s="118" t="s">
        <v>97</v>
      </c>
      <c r="G6" s="117" t="s">
        <v>84</v>
      </c>
    </row>
    <row r="7" spans="1:7" s="251" customFormat="1" ht="15.75" customHeight="1" thickBot="1" thickTop="1">
      <c r="A7" s="250">
        <v>1</v>
      </c>
      <c r="B7" s="250">
        <v>2</v>
      </c>
      <c r="C7" s="250">
        <v>3</v>
      </c>
      <c r="D7" s="250">
        <v>4</v>
      </c>
      <c r="E7" s="250">
        <v>5</v>
      </c>
      <c r="F7" s="250">
        <v>6</v>
      </c>
      <c r="G7" s="215">
        <v>7</v>
      </c>
    </row>
    <row r="8" spans="1:10" ht="24" customHeight="1" thickBot="1" thickTop="1">
      <c r="A8" s="252"/>
      <c r="B8" s="252"/>
      <c r="C8" s="252"/>
      <c r="D8" s="253" t="s">
        <v>420</v>
      </c>
      <c r="E8" s="275">
        <f>E10+E24</f>
        <v>879589177</v>
      </c>
      <c r="F8" s="254">
        <f>F10+F24</f>
        <v>784926</v>
      </c>
      <c r="G8" s="254">
        <f>E8+F8</f>
        <v>880374103</v>
      </c>
      <c r="H8" s="47"/>
      <c r="I8" s="47"/>
      <c r="J8" s="47"/>
    </row>
    <row r="9" spans="1:7" ht="13.5" customHeight="1" thickTop="1">
      <c r="A9" s="67"/>
      <c r="B9" s="67"/>
      <c r="C9" s="67"/>
      <c r="D9" s="67" t="s">
        <v>49</v>
      </c>
      <c r="E9" s="276"/>
      <c r="F9" s="255"/>
      <c r="G9" s="255"/>
    </row>
    <row r="10" spans="1:10" ht="19.5" customHeight="1" thickBot="1">
      <c r="A10" s="67"/>
      <c r="B10" s="67"/>
      <c r="C10" s="67"/>
      <c r="D10" s="256" t="s">
        <v>429</v>
      </c>
      <c r="E10" s="277">
        <f>E11+E12+E13+E18+E19</f>
        <v>603656173</v>
      </c>
      <c r="F10" s="257">
        <f>F11+F12+F13+F18+F19</f>
        <v>773589</v>
      </c>
      <c r="G10" s="257">
        <f aca="true" t="shared" si="0" ref="G10:G23">E10+F10</f>
        <v>604429762</v>
      </c>
      <c r="H10" s="47"/>
      <c r="J10" s="47"/>
    </row>
    <row r="11" spans="1:7" s="248" customFormat="1" ht="19.5" customHeight="1" thickBot="1">
      <c r="A11" s="85"/>
      <c r="B11" s="85"/>
      <c r="C11" s="85"/>
      <c r="D11" s="258" t="s">
        <v>421</v>
      </c>
      <c r="E11" s="115">
        <v>403289173</v>
      </c>
      <c r="F11" s="71"/>
      <c r="G11" s="259">
        <f t="shared" si="0"/>
        <v>403289173</v>
      </c>
    </row>
    <row r="12" spans="1:7" s="248" customFormat="1" ht="19.5" customHeight="1" thickBot="1" thickTop="1">
      <c r="A12" s="85"/>
      <c r="B12" s="85"/>
      <c r="C12" s="85"/>
      <c r="D12" s="260" t="s">
        <v>422</v>
      </c>
      <c r="E12" s="153">
        <v>107503206</v>
      </c>
      <c r="F12" s="261"/>
      <c r="G12" s="71">
        <f t="shared" si="0"/>
        <v>107503206</v>
      </c>
    </row>
    <row r="13" spans="1:7" s="248" customFormat="1" ht="19.5" customHeight="1" thickBot="1" thickTop="1">
      <c r="A13" s="85"/>
      <c r="B13" s="85"/>
      <c r="C13" s="85"/>
      <c r="D13" s="260" t="s">
        <v>423</v>
      </c>
      <c r="E13" s="115">
        <v>14861598</v>
      </c>
      <c r="F13" s="71">
        <f>F14</f>
        <v>769089</v>
      </c>
      <c r="G13" s="262">
        <f t="shared" si="0"/>
        <v>15630687</v>
      </c>
    </row>
    <row r="14" spans="1:7" ht="19.5" customHeight="1" thickTop="1">
      <c r="A14" s="187">
        <v>854</v>
      </c>
      <c r="B14" s="72"/>
      <c r="C14" s="263"/>
      <c r="D14" s="614" t="s">
        <v>60</v>
      </c>
      <c r="E14" s="246">
        <v>294428</v>
      </c>
      <c r="F14" s="264">
        <f>F15</f>
        <v>769089</v>
      </c>
      <c r="G14" s="87">
        <f t="shared" si="0"/>
        <v>1063517</v>
      </c>
    </row>
    <row r="15" spans="1:7" ht="20.25" customHeight="1">
      <c r="A15" s="265"/>
      <c r="B15" s="234">
        <v>85415</v>
      </c>
      <c r="C15" s="266"/>
      <c r="D15" s="615" t="s">
        <v>407</v>
      </c>
      <c r="E15" s="452">
        <v>294428</v>
      </c>
      <c r="F15" s="267">
        <f>F16</f>
        <v>769089</v>
      </c>
      <c r="G15" s="233">
        <f t="shared" si="0"/>
        <v>1063517</v>
      </c>
    </row>
    <row r="16" spans="1:7" ht="28.5" customHeight="1">
      <c r="A16" s="188"/>
      <c r="B16" s="76"/>
      <c r="C16" s="221"/>
      <c r="D16" s="616" t="s">
        <v>301</v>
      </c>
      <c r="E16" s="438">
        <v>294428</v>
      </c>
      <c r="F16" s="268">
        <f>F17</f>
        <v>769089</v>
      </c>
      <c r="G16" s="269">
        <f t="shared" si="0"/>
        <v>1063517</v>
      </c>
    </row>
    <row r="17" spans="1:7" ht="29.25" customHeight="1">
      <c r="A17" s="85"/>
      <c r="B17" s="85"/>
      <c r="C17" s="270">
        <v>2030</v>
      </c>
      <c r="D17" s="617" t="s">
        <v>559</v>
      </c>
      <c r="E17" s="453">
        <v>294428</v>
      </c>
      <c r="F17" s="271">
        <v>769089</v>
      </c>
      <c r="G17" s="271">
        <f t="shared" si="0"/>
        <v>1063517</v>
      </c>
    </row>
    <row r="18" spans="1:7" s="248" customFormat="1" ht="26.25" customHeight="1" thickBot="1">
      <c r="A18" s="272"/>
      <c r="B18" s="272"/>
      <c r="C18" s="272"/>
      <c r="D18" s="273" t="s">
        <v>424</v>
      </c>
      <c r="E18" s="278">
        <v>821200</v>
      </c>
      <c r="F18" s="274"/>
      <c r="G18" s="274">
        <f t="shared" si="0"/>
        <v>821200</v>
      </c>
    </row>
    <row r="19" spans="1:7" s="248" customFormat="1" ht="31.5" customHeight="1" thickBot="1" thickTop="1">
      <c r="A19" s="272"/>
      <c r="B19" s="272"/>
      <c r="C19" s="272"/>
      <c r="D19" s="273" t="s">
        <v>425</v>
      </c>
      <c r="E19" s="115">
        <v>77180996</v>
      </c>
      <c r="F19" s="71">
        <f>F20</f>
        <v>4500</v>
      </c>
      <c r="G19" s="71">
        <f t="shared" si="0"/>
        <v>77185496</v>
      </c>
    </row>
    <row r="20" spans="1:7" ht="21" customHeight="1" thickTop="1">
      <c r="A20" s="187">
        <v>854</v>
      </c>
      <c r="B20" s="72"/>
      <c r="C20" s="263"/>
      <c r="D20" s="240" t="s">
        <v>60</v>
      </c>
      <c r="E20" s="264"/>
      <c r="F20" s="264">
        <f>F21</f>
        <v>4500</v>
      </c>
      <c r="G20" s="87">
        <f t="shared" si="0"/>
        <v>4500</v>
      </c>
    </row>
    <row r="21" spans="1:7" ht="21" customHeight="1">
      <c r="A21" s="265"/>
      <c r="B21" s="234">
        <v>85401</v>
      </c>
      <c r="C21" s="266"/>
      <c r="D21" s="239" t="s">
        <v>552</v>
      </c>
      <c r="E21" s="267"/>
      <c r="F21" s="267">
        <f>F22</f>
        <v>4500</v>
      </c>
      <c r="G21" s="233">
        <f t="shared" si="0"/>
        <v>4500</v>
      </c>
    </row>
    <row r="22" spans="1:7" ht="26.25" customHeight="1">
      <c r="A22" s="188"/>
      <c r="B22" s="76"/>
      <c r="C22" s="221"/>
      <c r="D22" s="241" t="s">
        <v>668</v>
      </c>
      <c r="E22" s="268"/>
      <c r="F22" s="268">
        <f>F23</f>
        <v>4500</v>
      </c>
      <c r="G22" s="269">
        <f t="shared" si="0"/>
        <v>4500</v>
      </c>
    </row>
    <row r="23" spans="1:7" ht="30.75" customHeight="1">
      <c r="A23" s="85"/>
      <c r="B23" s="85"/>
      <c r="C23" s="270">
        <v>2010</v>
      </c>
      <c r="D23" s="242" t="s">
        <v>404</v>
      </c>
      <c r="E23" s="84"/>
      <c r="F23" s="271">
        <v>4500</v>
      </c>
      <c r="G23" s="271">
        <f t="shared" si="0"/>
        <v>4500</v>
      </c>
    </row>
    <row r="24" spans="1:7" s="248" customFormat="1" ht="20.25" customHeight="1" thickBot="1">
      <c r="A24" s="67"/>
      <c r="B24" s="67"/>
      <c r="C24" s="67"/>
      <c r="D24" s="86" t="s">
        <v>623</v>
      </c>
      <c r="E24" s="955">
        <v>275933004</v>
      </c>
      <c r="F24" s="956">
        <f>F25+F26+F27+F28+F29</f>
        <v>11337</v>
      </c>
      <c r="G24" s="956">
        <f>E24+F24</f>
        <v>275944341</v>
      </c>
    </row>
    <row r="25" spans="1:7" s="248" customFormat="1" ht="19.5" customHeight="1" thickBot="1">
      <c r="A25" s="85"/>
      <c r="B25" s="85"/>
      <c r="C25" s="85"/>
      <c r="D25" s="942" t="s">
        <v>421</v>
      </c>
      <c r="E25" s="153">
        <v>72360210</v>
      </c>
      <c r="F25" s="943"/>
      <c r="G25" s="106">
        <f aca="true" t="shared" si="1" ref="G25:G33">E25+F25</f>
        <v>72360210</v>
      </c>
    </row>
    <row r="26" spans="1:7" s="248" customFormat="1" ht="20.25" customHeight="1" thickTop="1">
      <c r="A26" s="86"/>
      <c r="B26" s="86"/>
      <c r="C26" s="86"/>
      <c r="D26" s="962" t="s">
        <v>426</v>
      </c>
      <c r="E26" s="961">
        <v>132320759</v>
      </c>
      <c r="F26" s="953"/>
      <c r="G26" s="953">
        <f t="shared" si="1"/>
        <v>132320759</v>
      </c>
    </row>
    <row r="27" spans="1:7" s="248" customFormat="1" ht="18.75" customHeight="1" thickBot="1">
      <c r="A27" s="85"/>
      <c r="B27" s="85"/>
      <c r="C27" s="85"/>
      <c r="D27" s="260" t="s">
        <v>423</v>
      </c>
      <c r="E27" s="1202">
        <v>46056546</v>
      </c>
      <c r="F27" s="106"/>
      <c r="G27" s="106">
        <f t="shared" si="1"/>
        <v>46056546</v>
      </c>
    </row>
    <row r="28" spans="1:7" ht="28.5" customHeight="1" thickBot="1" thickTop="1">
      <c r="A28" s="85"/>
      <c r="B28" s="85"/>
      <c r="C28" s="85"/>
      <c r="D28" s="957" t="s">
        <v>424</v>
      </c>
      <c r="E28" s="153">
        <v>3699025</v>
      </c>
      <c r="F28" s="958"/>
      <c r="G28" s="958">
        <f t="shared" si="1"/>
        <v>3699025</v>
      </c>
    </row>
    <row r="29" spans="1:7" ht="30" customHeight="1" thickBot="1" thickTop="1">
      <c r="A29" s="86"/>
      <c r="B29" s="86"/>
      <c r="C29" s="86"/>
      <c r="D29" s="959" t="s">
        <v>630</v>
      </c>
      <c r="E29" s="945">
        <v>21496464</v>
      </c>
      <c r="F29" s="946">
        <f>F30</f>
        <v>11337</v>
      </c>
      <c r="G29" s="946">
        <f t="shared" si="1"/>
        <v>21507801</v>
      </c>
    </row>
    <row r="30" spans="1:7" ht="19.5" customHeight="1" thickTop="1">
      <c r="A30" s="187">
        <v>710</v>
      </c>
      <c r="B30" s="72"/>
      <c r="C30" s="263"/>
      <c r="D30" s="240" t="s">
        <v>526</v>
      </c>
      <c r="E30" s="264">
        <v>551168</v>
      </c>
      <c r="F30" s="264">
        <f>F31</f>
        <v>11337</v>
      </c>
      <c r="G30" s="87">
        <f t="shared" si="1"/>
        <v>562505</v>
      </c>
    </row>
    <row r="31" spans="1:7" ht="18" customHeight="1">
      <c r="A31" s="265"/>
      <c r="B31" s="234">
        <v>71095</v>
      </c>
      <c r="C31" s="266"/>
      <c r="D31" s="239" t="s">
        <v>57</v>
      </c>
      <c r="E31" s="267"/>
      <c r="F31" s="267">
        <f>F32</f>
        <v>11337</v>
      </c>
      <c r="G31" s="233">
        <f t="shared" si="1"/>
        <v>11337</v>
      </c>
    </row>
    <row r="32" spans="1:7" ht="26.25" customHeight="1">
      <c r="A32" s="188"/>
      <c r="B32" s="76"/>
      <c r="C32" s="221"/>
      <c r="D32" s="960" t="s">
        <v>669</v>
      </c>
      <c r="E32" s="268"/>
      <c r="F32" s="268">
        <f>F33</f>
        <v>11337</v>
      </c>
      <c r="G32" s="269">
        <f t="shared" si="1"/>
        <v>11337</v>
      </c>
    </row>
    <row r="33" spans="1:7" ht="37.5" customHeight="1">
      <c r="A33" s="86"/>
      <c r="B33" s="86"/>
      <c r="C33" s="270">
        <v>2110</v>
      </c>
      <c r="D33" s="242" t="s">
        <v>631</v>
      </c>
      <c r="E33" s="84"/>
      <c r="F33" s="271">
        <v>11337</v>
      </c>
      <c r="G33" s="271">
        <f t="shared" si="1"/>
        <v>11337</v>
      </c>
    </row>
    <row r="37" spans="2:6" ht="12.75">
      <c r="B37" s="22" t="s">
        <v>691</v>
      </c>
      <c r="D37" s="527"/>
      <c r="E37" s="528"/>
      <c r="F37" s="22" t="s">
        <v>692</v>
      </c>
    </row>
    <row r="38" spans="2:6" ht="12.75">
      <c r="B38" s="22" t="s">
        <v>693</v>
      </c>
      <c r="D38" s="527"/>
      <c r="E38" s="528"/>
      <c r="F38" s="22" t="s">
        <v>694</v>
      </c>
    </row>
    <row r="39" spans="4:6" ht="12.75">
      <c r="D39" s="527"/>
      <c r="E39" s="528"/>
      <c r="F39" s="22" t="s">
        <v>695</v>
      </c>
    </row>
  </sheetData>
  <printOptions horizontalCentered="1"/>
  <pageMargins left="0.4724409448818898" right="0.4724409448818898" top="0.6692913385826772" bottom="0.5905511811023623" header="0.5118110236220472" footer="0.3937007874015748"/>
  <pageSetup firstPageNumber="17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L314"/>
  <sheetViews>
    <sheetView zoomScale="90" zoomScaleNormal="90" zoomScaleSheetLayoutView="75" workbookViewId="0" topLeftCell="A7">
      <pane ySplit="1200" topLeftCell="BM217" activePane="bottomLeft" state="split"/>
      <selection pane="topLeft" activeCell="D8" sqref="D8"/>
      <selection pane="bottomLeft" activeCell="A230" sqref="A230:IV230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7.625" style="22" customWidth="1"/>
    <col min="4" max="4" width="57.00390625" style="22" customWidth="1"/>
    <col min="5" max="8" width="20.75390625" style="22" customWidth="1"/>
    <col min="9" max="9" width="11.875" style="22" customWidth="1"/>
    <col min="10" max="10" width="12.375" style="22" customWidth="1"/>
    <col min="11" max="11" width="13.375" style="22" customWidth="1"/>
    <col min="12" max="12" width="11.00390625" style="22" customWidth="1"/>
    <col min="13" max="16384" width="9.125" style="22" customWidth="1"/>
  </cols>
  <sheetData>
    <row r="1" ht="18" customHeight="1">
      <c r="G1" s="50" t="s">
        <v>566</v>
      </c>
    </row>
    <row r="2" ht="18" customHeight="1">
      <c r="G2" s="22" t="s">
        <v>624</v>
      </c>
    </row>
    <row r="3" ht="18" customHeight="1">
      <c r="G3" s="22" t="s">
        <v>27</v>
      </c>
    </row>
    <row r="4" spans="4:7" ht="18" customHeight="1">
      <c r="D4" s="4" t="s">
        <v>80</v>
      </c>
      <c r="G4" s="22" t="s">
        <v>625</v>
      </c>
    </row>
    <row r="5" ht="17.25" customHeight="1" thickBot="1">
      <c r="H5" s="54" t="s">
        <v>28</v>
      </c>
    </row>
    <row r="6" spans="1:8" ht="66.75" customHeight="1" thickBot="1" thickTop="1">
      <c r="A6" s="116" t="s">
        <v>81</v>
      </c>
      <c r="B6" s="116" t="s">
        <v>33</v>
      </c>
      <c r="C6" s="117" t="s">
        <v>66</v>
      </c>
      <c r="D6" s="117" t="s">
        <v>82</v>
      </c>
      <c r="E6" s="118" t="s">
        <v>83</v>
      </c>
      <c r="F6" s="117" t="s">
        <v>70</v>
      </c>
      <c r="G6" s="117" t="s">
        <v>71</v>
      </c>
      <c r="H6" s="117" t="s">
        <v>84</v>
      </c>
    </row>
    <row r="7" spans="1:10" ht="18.75" customHeight="1" thickBot="1" thickTop="1">
      <c r="A7" s="16">
        <v>1</v>
      </c>
      <c r="B7" s="16">
        <v>2</v>
      </c>
      <c r="C7" s="16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J7" s="47"/>
    </row>
    <row r="8" spans="1:12" ht="21.75" customHeight="1" thickBot="1" thickTop="1">
      <c r="A8" s="85"/>
      <c r="B8" s="120"/>
      <c r="C8" s="120"/>
      <c r="D8" s="121" t="s">
        <v>48</v>
      </c>
      <c r="E8" s="122">
        <f>E10+E227+E239</f>
        <v>926530224</v>
      </c>
      <c r="F8" s="122">
        <f>F10+F227+F239</f>
        <v>1672338</v>
      </c>
      <c r="G8" s="122">
        <f>G10+G227+G239</f>
        <v>2457264</v>
      </c>
      <c r="H8" s="122">
        <f>E8+G8-F8</f>
        <v>927315150</v>
      </c>
      <c r="I8" s="47">
        <f>G8-F8</f>
        <v>784926</v>
      </c>
      <c r="J8" s="47">
        <f>I8-'doch Pr'!F8</f>
        <v>0</v>
      </c>
      <c r="K8" s="47"/>
      <c r="L8" s="47"/>
    </row>
    <row r="9" spans="1:10" ht="19.5" customHeight="1">
      <c r="A9" s="67"/>
      <c r="B9" s="67"/>
      <c r="C9" s="67"/>
      <c r="D9" s="67" t="s">
        <v>49</v>
      </c>
      <c r="E9" s="123"/>
      <c r="F9" s="123"/>
      <c r="G9" s="123"/>
      <c r="H9" s="123"/>
      <c r="J9" s="124"/>
    </row>
    <row r="10" spans="1:12" ht="17.25" customHeight="1" thickBot="1">
      <c r="A10" s="86"/>
      <c r="B10" s="86"/>
      <c r="C10" s="86"/>
      <c r="D10" s="91" t="s">
        <v>51</v>
      </c>
      <c r="E10" s="88">
        <v>823776739</v>
      </c>
      <c r="F10" s="125">
        <f>F11+F18+F24+F35+F102+F145+F153+F159+F203+F208</f>
        <v>1656069</v>
      </c>
      <c r="G10" s="125">
        <f>G11+G18+G24+G35+G102+G145+G153+G159+G203+G208</f>
        <v>2425158</v>
      </c>
      <c r="H10" s="125">
        <f aca="true" t="shared" si="0" ref="H10:H245">E10+G10-F10</f>
        <v>824545828</v>
      </c>
      <c r="I10" s="47"/>
      <c r="J10" s="47"/>
      <c r="L10" s="47"/>
    </row>
    <row r="11" spans="1:12" ht="21" customHeight="1" thickTop="1">
      <c r="A11" s="89">
        <v>750</v>
      </c>
      <c r="B11" s="89"/>
      <c r="C11" s="89"/>
      <c r="D11" s="89" t="s">
        <v>62</v>
      </c>
      <c r="E11" s="74">
        <v>63232441</v>
      </c>
      <c r="F11" s="75">
        <f>F12</f>
        <v>135000</v>
      </c>
      <c r="G11" s="75">
        <f>G12</f>
        <v>135000</v>
      </c>
      <c r="H11" s="75">
        <f t="shared" si="0"/>
        <v>63232441</v>
      </c>
      <c r="I11" s="47"/>
      <c r="J11" s="47"/>
      <c r="L11" s="47"/>
    </row>
    <row r="12" spans="1:12" s="130" customFormat="1" ht="21" customHeight="1">
      <c r="A12" s="81"/>
      <c r="B12" s="78">
        <v>75023</v>
      </c>
      <c r="C12" s="78"/>
      <c r="D12" s="78" t="s">
        <v>78</v>
      </c>
      <c r="E12" s="137">
        <v>59552000</v>
      </c>
      <c r="F12" s="137">
        <f>F13+F15</f>
        <v>135000</v>
      </c>
      <c r="G12" s="137">
        <f>G13+G15</f>
        <v>135000</v>
      </c>
      <c r="H12" s="137">
        <f t="shared" si="0"/>
        <v>59552000</v>
      </c>
      <c r="I12" s="138"/>
      <c r="J12" s="138"/>
      <c r="L12" s="138"/>
    </row>
    <row r="13" spans="1:12" s="130" customFormat="1" ht="21" customHeight="1">
      <c r="A13" s="209"/>
      <c r="B13" s="210"/>
      <c r="C13" s="108"/>
      <c r="D13" s="101" t="s">
        <v>79</v>
      </c>
      <c r="E13" s="144">
        <v>11846000</v>
      </c>
      <c r="F13" s="144"/>
      <c r="G13" s="144">
        <f>G14</f>
        <v>135000</v>
      </c>
      <c r="H13" s="144">
        <f t="shared" si="0"/>
        <v>11981000</v>
      </c>
      <c r="I13" s="138"/>
      <c r="J13" s="138"/>
      <c r="L13" s="138"/>
    </row>
    <row r="14" spans="1:12" s="158" customFormat="1" ht="17.25" customHeight="1">
      <c r="A14" s="208"/>
      <c r="B14" s="172"/>
      <c r="C14" s="328">
        <v>4140</v>
      </c>
      <c r="D14" s="330" t="s">
        <v>162</v>
      </c>
      <c r="E14" s="156">
        <v>60000</v>
      </c>
      <c r="F14" s="156"/>
      <c r="G14" s="156">
        <v>135000</v>
      </c>
      <c r="H14" s="156">
        <f t="shared" si="0"/>
        <v>195000</v>
      </c>
      <c r="I14" s="157"/>
      <c r="J14" s="157"/>
      <c r="L14" s="157"/>
    </row>
    <row r="15" spans="1:12" s="130" customFormat="1" ht="19.5" customHeight="1">
      <c r="A15" s="209"/>
      <c r="B15" s="220"/>
      <c r="C15" s="108"/>
      <c r="D15" s="101" t="s">
        <v>105</v>
      </c>
      <c r="E15" s="144">
        <v>6322000</v>
      </c>
      <c r="F15" s="144">
        <f>SUM(F16:F17)</f>
        <v>135000</v>
      </c>
      <c r="G15" s="144"/>
      <c r="H15" s="144">
        <f t="shared" si="0"/>
        <v>6187000</v>
      </c>
      <c r="I15" s="138"/>
      <c r="J15" s="138"/>
      <c r="L15" s="138"/>
    </row>
    <row r="16" spans="1:12" s="158" customFormat="1" ht="19.5" customHeight="1">
      <c r="A16" s="208"/>
      <c r="B16" s="172"/>
      <c r="C16" s="328">
        <v>4110</v>
      </c>
      <c r="D16" s="330" t="s">
        <v>163</v>
      </c>
      <c r="E16" s="156">
        <v>5684000</v>
      </c>
      <c r="F16" s="156">
        <v>100000</v>
      </c>
      <c r="G16" s="156"/>
      <c r="H16" s="156">
        <f t="shared" si="0"/>
        <v>5584000</v>
      </c>
      <c r="I16" s="157"/>
      <c r="J16" s="157"/>
      <c r="L16" s="157"/>
    </row>
    <row r="17" spans="1:12" s="158" customFormat="1" ht="19.5" customHeight="1">
      <c r="A17" s="208"/>
      <c r="B17" s="172"/>
      <c r="C17" s="328">
        <v>4120</v>
      </c>
      <c r="D17" s="330" t="s">
        <v>164</v>
      </c>
      <c r="E17" s="443">
        <v>638000</v>
      </c>
      <c r="F17" s="443">
        <v>35000</v>
      </c>
      <c r="G17" s="443"/>
      <c r="H17" s="443">
        <f t="shared" si="0"/>
        <v>603000</v>
      </c>
      <c r="I17" s="157"/>
      <c r="J17" s="157"/>
      <c r="L17" s="157"/>
    </row>
    <row r="18" spans="1:12" ht="19.5" customHeight="1">
      <c r="A18" s="89">
        <v>754</v>
      </c>
      <c r="B18" s="89"/>
      <c r="C18" s="89"/>
      <c r="D18" s="89" t="s">
        <v>52</v>
      </c>
      <c r="E18" s="74">
        <v>6443000</v>
      </c>
      <c r="F18" s="75">
        <f>F19</f>
        <v>8000</v>
      </c>
      <c r="G18" s="75">
        <f>G19</f>
        <v>8000</v>
      </c>
      <c r="H18" s="75">
        <f t="shared" si="0"/>
        <v>6443000</v>
      </c>
      <c r="I18" s="47"/>
      <c r="J18" s="47"/>
      <c r="L18" s="47"/>
    </row>
    <row r="19" spans="1:12" s="130" customFormat="1" ht="19.5" customHeight="1">
      <c r="A19" s="81"/>
      <c r="B19" s="78">
        <v>75412</v>
      </c>
      <c r="C19" s="78"/>
      <c r="D19" s="78" t="s">
        <v>165</v>
      </c>
      <c r="E19" s="137">
        <v>65000</v>
      </c>
      <c r="F19" s="137">
        <f>SUM(F21:F23)</f>
        <v>8000</v>
      </c>
      <c r="G19" s="137">
        <f>SUM(G21:G23)</f>
        <v>8000</v>
      </c>
      <c r="H19" s="137">
        <f t="shared" si="0"/>
        <v>65000</v>
      </c>
      <c r="I19" s="138"/>
      <c r="J19" s="138"/>
      <c r="L19" s="138"/>
    </row>
    <row r="20" spans="1:12" s="130" customFormat="1" ht="19.5" customHeight="1">
      <c r="A20" s="209"/>
      <c r="B20" s="210"/>
      <c r="C20" s="108"/>
      <c r="D20" s="101" t="s">
        <v>166</v>
      </c>
      <c r="E20" s="676">
        <v>65000</v>
      </c>
      <c r="F20" s="676">
        <f>SUM(F21:F23)</f>
        <v>8000</v>
      </c>
      <c r="G20" s="676">
        <f>SUM(G21:G23)</f>
        <v>8000</v>
      </c>
      <c r="H20" s="676">
        <f t="shared" si="0"/>
        <v>65000</v>
      </c>
      <c r="I20" s="138"/>
      <c r="J20" s="138"/>
      <c r="L20" s="138"/>
    </row>
    <row r="21" spans="1:12" s="158" customFormat="1" ht="19.5" customHeight="1">
      <c r="A21" s="208"/>
      <c r="B21" s="172"/>
      <c r="C21" s="328">
        <v>4210</v>
      </c>
      <c r="D21" s="330" t="s">
        <v>75</v>
      </c>
      <c r="E21" s="163">
        <v>28400</v>
      </c>
      <c r="F21" s="163">
        <v>2972</v>
      </c>
      <c r="G21" s="163"/>
      <c r="H21" s="163">
        <f t="shared" si="0"/>
        <v>25428</v>
      </c>
      <c r="I21" s="157"/>
      <c r="J21" s="157"/>
      <c r="L21" s="157"/>
    </row>
    <row r="22" spans="1:12" s="158" customFormat="1" ht="19.5" customHeight="1">
      <c r="A22" s="208"/>
      <c r="B22" s="172"/>
      <c r="C22" s="328">
        <v>4270</v>
      </c>
      <c r="D22" s="330" t="s">
        <v>685</v>
      </c>
      <c r="E22" s="163"/>
      <c r="F22" s="163"/>
      <c r="G22" s="163">
        <v>8000</v>
      </c>
      <c r="H22" s="163">
        <f t="shared" si="0"/>
        <v>8000</v>
      </c>
      <c r="I22" s="157"/>
      <c r="J22" s="157"/>
      <c r="L22" s="157"/>
    </row>
    <row r="23" spans="1:12" s="158" customFormat="1" ht="19.5" customHeight="1">
      <c r="A23" s="208"/>
      <c r="B23" s="172"/>
      <c r="C23" s="328">
        <v>4430</v>
      </c>
      <c r="D23" s="330" t="s">
        <v>169</v>
      </c>
      <c r="E23" s="163">
        <v>13600</v>
      </c>
      <c r="F23" s="163">
        <v>5028</v>
      </c>
      <c r="G23" s="163"/>
      <c r="H23" s="163">
        <f t="shared" si="0"/>
        <v>8572</v>
      </c>
      <c r="I23" s="157"/>
      <c r="J23" s="157"/>
      <c r="L23" s="157"/>
    </row>
    <row r="24" spans="1:12" ht="19.5" customHeight="1">
      <c r="A24" s="89">
        <v>758</v>
      </c>
      <c r="B24" s="89"/>
      <c r="C24" s="89"/>
      <c r="D24" s="89" t="s">
        <v>53</v>
      </c>
      <c r="E24" s="74">
        <v>13072987</v>
      </c>
      <c r="F24" s="75">
        <f>F25+F30</f>
        <v>285971</v>
      </c>
      <c r="G24" s="75">
        <f>G25+G30</f>
        <v>24800</v>
      </c>
      <c r="H24" s="75">
        <f t="shared" si="0"/>
        <v>12811816</v>
      </c>
      <c r="I24" s="47"/>
      <c r="J24" s="47"/>
      <c r="L24" s="47"/>
    </row>
    <row r="25" spans="1:12" s="130" customFormat="1" ht="19.5" customHeight="1">
      <c r="A25" s="683"/>
      <c r="B25" s="77">
        <v>75818</v>
      </c>
      <c r="C25" s="77"/>
      <c r="D25" s="77" t="s">
        <v>54</v>
      </c>
      <c r="E25" s="137">
        <v>9909964</v>
      </c>
      <c r="F25" s="137">
        <f>F28+F26</f>
        <v>285971</v>
      </c>
      <c r="G25" s="137"/>
      <c r="H25" s="137">
        <f t="shared" si="0"/>
        <v>9623993</v>
      </c>
      <c r="I25" s="138"/>
      <c r="J25" s="138"/>
      <c r="L25" s="138"/>
    </row>
    <row r="26" spans="1:12" s="130" customFormat="1" ht="19.5" customHeight="1">
      <c r="A26" s="209"/>
      <c r="B26" s="210"/>
      <c r="C26" s="108"/>
      <c r="D26" s="98" t="s">
        <v>563</v>
      </c>
      <c r="E26" s="143">
        <v>5737097</v>
      </c>
      <c r="F26" s="143">
        <f>F27</f>
        <v>260000</v>
      </c>
      <c r="G26" s="143"/>
      <c r="H26" s="143">
        <f t="shared" si="0"/>
        <v>5477097</v>
      </c>
      <c r="I26" s="138"/>
      <c r="J26" s="138"/>
      <c r="L26" s="138"/>
    </row>
    <row r="27" spans="1:12" s="158" customFormat="1" ht="19.5" customHeight="1">
      <c r="A27" s="208"/>
      <c r="B27" s="172"/>
      <c r="C27" s="328">
        <v>4810</v>
      </c>
      <c r="D27" s="330" t="s">
        <v>77</v>
      </c>
      <c r="E27" s="443">
        <v>5737097</v>
      </c>
      <c r="F27" s="443">
        <v>260000</v>
      </c>
      <c r="G27" s="443"/>
      <c r="H27" s="443">
        <f t="shared" si="0"/>
        <v>5477097</v>
      </c>
      <c r="I27" s="157"/>
      <c r="J27" s="157"/>
      <c r="L27" s="157"/>
    </row>
    <row r="28" spans="1:12" s="130" customFormat="1" ht="27.75" customHeight="1">
      <c r="A28" s="209"/>
      <c r="B28" s="220"/>
      <c r="C28" s="108"/>
      <c r="D28" s="101" t="s">
        <v>535</v>
      </c>
      <c r="E28" s="144">
        <v>3322867</v>
      </c>
      <c r="F28" s="144">
        <f>F29</f>
        <v>25971</v>
      </c>
      <c r="G28" s="144"/>
      <c r="H28" s="144">
        <f t="shared" si="0"/>
        <v>3296896</v>
      </c>
      <c r="I28" s="138"/>
      <c r="J28" s="138"/>
      <c r="L28" s="138"/>
    </row>
    <row r="29" spans="1:12" s="158" customFormat="1" ht="19.5" customHeight="1">
      <c r="A29" s="235"/>
      <c r="B29" s="331"/>
      <c r="C29" s="328">
        <v>4810</v>
      </c>
      <c r="D29" s="330" t="s">
        <v>77</v>
      </c>
      <c r="E29" s="156">
        <v>146867</v>
      </c>
      <c r="F29" s="156">
        <f>24800+1171</f>
        <v>25971</v>
      </c>
      <c r="G29" s="156"/>
      <c r="H29" s="156">
        <f t="shared" si="0"/>
        <v>120896</v>
      </c>
      <c r="I29" s="157"/>
      <c r="J29" s="157"/>
      <c r="L29" s="157"/>
    </row>
    <row r="30" spans="1:12" s="130" customFormat="1" ht="19.5" customHeight="1">
      <c r="A30" s="81"/>
      <c r="B30" s="78">
        <v>75860</v>
      </c>
      <c r="C30" s="78"/>
      <c r="D30" s="78" t="s">
        <v>587</v>
      </c>
      <c r="E30" s="756">
        <v>408239</v>
      </c>
      <c r="F30" s="756"/>
      <c r="G30" s="756">
        <f>G31</f>
        <v>24800</v>
      </c>
      <c r="H30" s="756">
        <f t="shared" si="0"/>
        <v>433039</v>
      </c>
      <c r="I30" s="138"/>
      <c r="J30" s="138"/>
      <c r="L30" s="138"/>
    </row>
    <row r="31" spans="1:12" s="130" customFormat="1" ht="26.25" customHeight="1">
      <c r="A31" s="80"/>
      <c r="B31" s="499"/>
      <c r="C31" s="108"/>
      <c r="D31" s="101" t="s">
        <v>588</v>
      </c>
      <c r="E31" s="144">
        <v>156700</v>
      </c>
      <c r="F31" s="144"/>
      <c r="G31" s="144">
        <f>SUM(G32:G34)</f>
        <v>24800</v>
      </c>
      <c r="H31" s="144">
        <f t="shared" si="0"/>
        <v>181500</v>
      </c>
      <c r="I31" s="138"/>
      <c r="J31" s="138"/>
      <c r="L31" s="138"/>
    </row>
    <row r="32" spans="1:12" s="160" customFormat="1" ht="19.5" customHeight="1">
      <c r="A32" s="207"/>
      <c r="B32" s="81"/>
      <c r="C32" s="140">
        <v>4170</v>
      </c>
      <c r="D32" s="83" t="s">
        <v>87</v>
      </c>
      <c r="E32" s="146"/>
      <c r="F32" s="146"/>
      <c r="G32" s="146">
        <v>16000</v>
      </c>
      <c r="H32" s="146">
        <f t="shared" si="0"/>
        <v>16000</v>
      </c>
      <c r="I32" s="159"/>
      <c r="J32" s="159"/>
      <c r="L32" s="159"/>
    </row>
    <row r="33" spans="1:12" s="160" customFormat="1" ht="19.5" customHeight="1">
      <c r="A33" s="207"/>
      <c r="B33" s="81"/>
      <c r="C33" s="140">
        <v>4300</v>
      </c>
      <c r="D33" s="83" t="s">
        <v>76</v>
      </c>
      <c r="E33" s="154"/>
      <c r="F33" s="154"/>
      <c r="G33" s="154">
        <v>6300</v>
      </c>
      <c r="H33" s="154">
        <f t="shared" si="0"/>
        <v>6300</v>
      </c>
      <c r="I33" s="159"/>
      <c r="J33" s="159"/>
      <c r="L33" s="159"/>
    </row>
    <row r="34" spans="1:12" s="160" customFormat="1" ht="19.5" customHeight="1">
      <c r="A34" s="207"/>
      <c r="B34" s="81"/>
      <c r="C34" s="140">
        <v>4420</v>
      </c>
      <c r="D34" s="83" t="s">
        <v>127</v>
      </c>
      <c r="E34" s="154"/>
      <c r="F34" s="154"/>
      <c r="G34" s="154">
        <v>2500</v>
      </c>
      <c r="H34" s="154">
        <f t="shared" si="0"/>
        <v>2500</v>
      </c>
      <c r="I34" s="159"/>
      <c r="J34" s="159"/>
      <c r="L34" s="159"/>
    </row>
    <row r="35" spans="1:12" ht="18.75" customHeight="1">
      <c r="A35" s="72">
        <v>801</v>
      </c>
      <c r="B35" s="89"/>
      <c r="C35" s="73"/>
      <c r="D35" s="92" t="s">
        <v>58</v>
      </c>
      <c r="E35" s="74">
        <v>352746308</v>
      </c>
      <c r="F35" s="75">
        <f>F39+F52+F57+F63+F68+F75+F84+F90+F95+F98+F36</f>
        <v>458960</v>
      </c>
      <c r="G35" s="75">
        <f>G39+G52+G57+G63+G68+G75+G84+G90+G95+G98+G36</f>
        <v>458960</v>
      </c>
      <c r="H35" s="75">
        <f t="shared" si="0"/>
        <v>352746308</v>
      </c>
      <c r="I35" s="47"/>
      <c r="J35" s="47"/>
      <c r="L35" s="47"/>
    </row>
    <row r="36" spans="1:12" s="95" customFormat="1" ht="18.75" customHeight="1">
      <c r="A36" s="76"/>
      <c r="B36" s="78">
        <v>80101</v>
      </c>
      <c r="C36" s="78"/>
      <c r="D36" s="78" t="s">
        <v>409</v>
      </c>
      <c r="E36" s="756">
        <v>100616339</v>
      </c>
      <c r="F36" s="675">
        <f>F37</f>
        <v>1760</v>
      </c>
      <c r="G36" s="675"/>
      <c r="H36" s="675">
        <f t="shared" si="0"/>
        <v>100614579</v>
      </c>
      <c r="I36" s="138"/>
      <c r="J36" s="138"/>
      <c r="L36" s="94"/>
    </row>
    <row r="37" spans="1:12" s="95" customFormat="1" ht="18.75" customHeight="1">
      <c r="A37" s="80"/>
      <c r="B37" s="499"/>
      <c r="C37" s="499"/>
      <c r="D37" s="691" t="s">
        <v>79</v>
      </c>
      <c r="E37" s="143">
        <v>11565145</v>
      </c>
      <c r="F37" s="757">
        <f>F38</f>
        <v>1760</v>
      </c>
      <c r="G37" s="757"/>
      <c r="H37" s="757">
        <f t="shared" si="0"/>
        <v>11563385</v>
      </c>
      <c r="I37" s="138"/>
      <c r="J37" s="138"/>
      <c r="L37" s="94"/>
    </row>
    <row r="38" spans="1:12" s="758" customFormat="1" ht="18.75" customHeight="1">
      <c r="A38" s="207"/>
      <c r="B38" s="81"/>
      <c r="C38" s="82">
        <v>4270</v>
      </c>
      <c r="D38" s="688" t="s">
        <v>576</v>
      </c>
      <c r="E38" s="742">
        <v>568475</v>
      </c>
      <c r="F38" s="761">
        <f>9018-7258</f>
        <v>1760</v>
      </c>
      <c r="G38" s="761"/>
      <c r="H38" s="761">
        <f t="shared" si="0"/>
        <v>566715</v>
      </c>
      <c r="I38" s="159"/>
      <c r="J38" s="159"/>
      <c r="L38" s="759"/>
    </row>
    <row r="39" spans="1:12" s="130" customFormat="1" ht="18.75" customHeight="1">
      <c r="A39" s="76"/>
      <c r="B39" s="77">
        <v>80104</v>
      </c>
      <c r="C39" s="77"/>
      <c r="D39" s="77" t="s">
        <v>108</v>
      </c>
      <c r="E39" s="137">
        <v>49001100</v>
      </c>
      <c r="F39" s="137">
        <f>F40+F42+F49</f>
        <v>149910</v>
      </c>
      <c r="G39" s="137">
        <f>G40+G42+G49</f>
        <v>149910</v>
      </c>
      <c r="H39" s="137">
        <f t="shared" si="0"/>
        <v>49001100</v>
      </c>
      <c r="I39" s="138"/>
      <c r="J39" s="138"/>
      <c r="L39" s="138"/>
    </row>
    <row r="40" spans="1:12" s="130" customFormat="1" ht="18.75" customHeight="1">
      <c r="A40" s="80"/>
      <c r="B40" s="499"/>
      <c r="C40" s="66"/>
      <c r="D40" s="689" t="s">
        <v>266</v>
      </c>
      <c r="E40" s="143">
        <v>31127000</v>
      </c>
      <c r="F40" s="143">
        <f>F41</f>
        <v>147740</v>
      </c>
      <c r="G40" s="143"/>
      <c r="H40" s="143">
        <f t="shared" si="0"/>
        <v>30979260</v>
      </c>
      <c r="I40" s="138"/>
      <c r="J40" s="138"/>
      <c r="L40" s="138"/>
    </row>
    <row r="41" spans="1:12" s="160" customFormat="1" ht="18.75" customHeight="1">
      <c r="A41" s="207"/>
      <c r="B41" s="81"/>
      <c r="C41" s="82">
        <v>4040</v>
      </c>
      <c r="D41" s="682" t="s">
        <v>110</v>
      </c>
      <c r="E41" s="154">
        <v>2328000</v>
      </c>
      <c r="F41" s="154">
        <v>147740</v>
      </c>
      <c r="G41" s="154"/>
      <c r="H41" s="154">
        <f t="shared" si="0"/>
        <v>2180260</v>
      </c>
      <c r="I41" s="159"/>
      <c r="J41" s="159"/>
      <c r="L41" s="159"/>
    </row>
    <row r="42" spans="1:12" s="130" customFormat="1" ht="19.5" customHeight="1">
      <c r="A42" s="80"/>
      <c r="B42" s="66"/>
      <c r="C42" s="66"/>
      <c r="D42" s="689" t="s">
        <v>79</v>
      </c>
      <c r="E42" s="143">
        <v>6179095</v>
      </c>
      <c r="F42" s="143">
        <f>SUM(F43:F48)</f>
        <v>2170</v>
      </c>
      <c r="G42" s="143">
        <f>SUM(G43:G48)</f>
        <v>140340</v>
      </c>
      <c r="H42" s="143">
        <f t="shared" si="0"/>
        <v>6317265</v>
      </c>
      <c r="I42" s="138"/>
      <c r="J42" s="138"/>
      <c r="L42" s="138"/>
    </row>
    <row r="43" spans="1:12" s="160" customFormat="1" ht="23.25" customHeight="1">
      <c r="A43" s="207"/>
      <c r="B43" s="81"/>
      <c r="C43" s="82">
        <v>4140</v>
      </c>
      <c r="D43" s="682" t="s">
        <v>162</v>
      </c>
      <c r="E43" s="154">
        <v>82000</v>
      </c>
      <c r="F43" s="154"/>
      <c r="G43" s="154">
        <f>13160-4010</f>
        <v>9150</v>
      </c>
      <c r="H43" s="154">
        <f t="shared" si="0"/>
        <v>91150</v>
      </c>
      <c r="I43" s="159"/>
      <c r="J43" s="159"/>
      <c r="L43" s="159"/>
    </row>
    <row r="44" spans="1:12" s="158" customFormat="1" ht="21" customHeight="1">
      <c r="A44" s="208"/>
      <c r="B44" s="172"/>
      <c r="C44" s="328">
        <v>4210</v>
      </c>
      <c r="D44" s="330" t="s">
        <v>75</v>
      </c>
      <c r="E44" s="443">
        <v>337558</v>
      </c>
      <c r="F44" s="443"/>
      <c r="G44" s="443">
        <v>3200</v>
      </c>
      <c r="H44" s="443">
        <f t="shared" si="0"/>
        <v>340758</v>
      </c>
      <c r="I44" s="157"/>
      <c r="J44" s="157"/>
      <c r="L44" s="157"/>
    </row>
    <row r="45" spans="1:12" s="158" customFormat="1" ht="21" customHeight="1">
      <c r="A45" s="208"/>
      <c r="B45" s="172"/>
      <c r="C45" s="328">
        <v>4240</v>
      </c>
      <c r="D45" s="330" t="s">
        <v>414</v>
      </c>
      <c r="E45" s="443">
        <v>141600</v>
      </c>
      <c r="F45" s="443">
        <v>1970</v>
      </c>
      <c r="G45" s="443"/>
      <c r="H45" s="443">
        <f t="shared" si="0"/>
        <v>139630</v>
      </c>
      <c r="I45" s="157"/>
      <c r="J45" s="157"/>
      <c r="L45" s="157"/>
    </row>
    <row r="46" spans="1:12" s="158" customFormat="1" ht="21" customHeight="1">
      <c r="A46" s="208"/>
      <c r="B46" s="172"/>
      <c r="C46" s="328">
        <v>4260</v>
      </c>
      <c r="D46" s="330" t="s">
        <v>167</v>
      </c>
      <c r="E46" s="443">
        <v>2193268</v>
      </c>
      <c r="F46" s="443"/>
      <c r="G46" s="443">
        <f>72000-3000</f>
        <v>69000</v>
      </c>
      <c r="H46" s="443">
        <f t="shared" si="0"/>
        <v>2262268</v>
      </c>
      <c r="I46" s="157"/>
      <c r="J46" s="157"/>
      <c r="L46" s="157"/>
    </row>
    <row r="47" spans="1:12" s="158" customFormat="1" ht="21" customHeight="1">
      <c r="A47" s="208"/>
      <c r="B47" s="172"/>
      <c r="C47" s="328">
        <v>4270</v>
      </c>
      <c r="D47" s="330" t="s">
        <v>109</v>
      </c>
      <c r="E47" s="443">
        <v>101623</v>
      </c>
      <c r="F47" s="443">
        <f>3200-3000</f>
        <v>200</v>
      </c>
      <c r="G47" s="443"/>
      <c r="H47" s="443">
        <f t="shared" si="0"/>
        <v>101423</v>
      </c>
      <c r="I47" s="157"/>
      <c r="J47" s="157"/>
      <c r="L47" s="157"/>
    </row>
    <row r="48" spans="1:12" s="158" customFormat="1" ht="21" customHeight="1">
      <c r="A48" s="208"/>
      <c r="B48" s="172"/>
      <c r="C48" s="328">
        <v>4300</v>
      </c>
      <c r="D48" s="330" t="s">
        <v>76</v>
      </c>
      <c r="E48" s="443">
        <v>1234055</v>
      </c>
      <c r="F48" s="443"/>
      <c r="G48" s="443">
        <f>60590-1600</f>
        <v>58990</v>
      </c>
      <c r="H48" s="443">
        <f t="shared" si="0"/>
        <v>1293045</v>
      </c>
      <c r="I48" s="157"/>
      <c r="J48" s="157"/>
      <c r="L48" s="157"/>
    </row>
    <row r="49" spans="1:12" s="130" customFormat="1" ht="19.5" customHeight="1">
      <c r="A49" s="80"/>
      <c r="B49" s="66"/>
      <c r="C49" s="66"/>
      <c r="D49" s="689" t="s">
        <v>275</v>
      </c>
      <c r="E49" s="143">
        <v>1394905</v>
      </c>
      <c r="F49" s="143"/>
      <c r="G49" s="143">
        <f>G51</f>
        <v>9570</v>
      </c>
      <c r="H49" s="143">
        <f t="shared" si="0"/>
        <v>1404475</v>
      </c>
      <c r="I49" s="138"/>
      <c r="J49" s="138"/>
      <c r="L49" s="138"/>
    </row>
    <row r="50" spans="1:12" s="158" customFormat="1" ht="19.5" customHeight="1">
      <c r="A50" s="208"/>
      <c r="B50" s="172"/>
      <c r="C50" s="172"/>
      <c r="D50" s="738" t="s">
        <v>517</v>
      </c>
      <c r="E50" s="487"/>
      <c r="F50" s="487"/>
      <c r="G50" s="487">
        <v>9570</v>
      </c>
      <c r="H50" s="487">
        <f t="shared" si="0"/>
        <v>9570</v>
      </c>
      <c r="I50" s="157"/>
      <c r="J50" s="157"/>
      <c r="L50" s="157"/>
    </row>
    <row r="51" spans="1:12" s="160" customFormat="1" ht="19.5" customHeight="1">
      <c r="A51" s="207"/>
      <c r="B51" s="82"/>
      <c r="C51" s="82">
        <v>6060</v>
      </c>
      <c r="D51" s="682" t="s">
        <v>114</v>
      </c>
      <c r="E51" s="154"/>
      <c r="F51" s="154"/>
      <c r="G51" s="154">
        <f>G50</f>
        <v>9570</v>
      </c>
      <c r="H51" s="154">
        <f t="shared" si="0"/>
        <v>9570</v>
      </c>
      <c r="I51" s="159"/>
      <c r="J51" s="159"/>
      <c r="L51" s="159"/>
    </row>
    <row r="52" spans="1:12" s="95" customFormat="1" ht="19.5" customHeight="1">
      <c r="A52" s="76"/>
      <c r="B52" s="78">
        <v>80110</v>
      </c>
      <c r="C52" s="78"/>
      <c r="D52" s="78" t="s">
        <v>410</v>
      </c>
      <c r="E52" s="756">
        <v>54292549</v>
      </c>
      <c r="F52" s="675">
        <f>F53</f>
        <v>3000</v>
      </c>
      <c r="G52" s="675">
        <f>G53</f>
        <v>4760</v>
      </c>
      <c r="H52" s="675">
        <f t="shared" si="0"/>
        <v>54294309</v>
      </c>
      <c r="I52" s="138"/>
      <c r="J52" s="138"/>
      <c r="L52" s="94"/>
    </row>
    <row r="53" spans="1:12" s="95" customFormat="1" ht="19.5" customHeight="1">
      <c r="A53" s="80"/>
      <c r="B53" s="499"/>
      <c r="C53" s="499"/>
      <c r="D53" s="691" t="s">
        <v>79</v>
      </c>
      <c r="E53" s="143">
        <v>6154825</v>
      </c>
      <c r="F53" s="757">
        <f>SUM(F54:F56)</f>
        <v>3000</v>
      </c>
      <c r="G53" s="757">
        <f>SUM(G54:G56)</f>
        <v>4760</v>
      </c>
      <c r="H53" s="757">
        <f t="shared" si="0"/>
        <v>6156585</v>
      </c>
      <c r="I53" s="138"/>
      <c r="J53" s="138"/>
      <c r="L53" s="94"/>
    </row>
    <row r="54" spans="1:12" s="758" customFormat="1" ht="19.5" customHeight="1">
      <c r="A54" s="207"/>
      <c r="B54" s="81"/>
      <c r="C54" s="82">
        <v>4260</v>
      </c>
      <c r="D54" s="688" t="s">
        <v>167</v>
      </c>
      <c r="E54" s="154">
        <v>2479590</v>
      </c>
      <c r="F54" s="730">
        <f>38000-35000</f>
        <v>3000</v>
      </c>
      <c r="G54" s="730"/>
      <c r="H54" s="730">
        <f t="shared" si="0"/>
        <v>2476590</v>
      </c>
      <c r="I54" s="159"/>
      <c r="J54" s="159"/>
      <c r="L54" s="759"/>
    </row>
    <row r="55" spans="1:12" s="758" customFormat="1" ht="19.5" customHeight="1">
      <c r="A55" s="207"/>
      <c r="B55" s="81"/>
      <c r="C55" s="82">
        <v>4270</v>
      </c>
      <c r="D55" s="688" t="s">
        <v>576</v>
      </c>
      <c r="E55" s="742">
        <v>312908</v>
      </c>
      <c r="F55" s="761"/>
      <c r="G55" s="761">
        <v>1760</v>
      </c>
      <c r="H55" s="761">
        <f>E55+G55-F55</f>
        <v>314668</v>
      </c>
      <c r="I55" s="159"/>
      <c r="J55" s="159"/>
      <c r="L55" s="759"/>
    </row>
    <row r="56" spans="1:12" s="758" customFormat="1" ht="19.5" customHeight="1">
      <c r="A56" s="207"/>
      <c r="B56" s="81"/>
      <c r="C56" s="140">
        <v>4300</v>
      </c>
      <c r="D56" s="83" t="s">
        <v>76</v>
      </c>
      <c r="E56" s="780">
        <v>395847</v>
      </c>
      <c r="F56" s="781"/>
      <c r="G56" s="781">
        <v>3000</v>
      </c>
      <c r="H56" s="781">
        <f>E56+G56-F56</f>
        <v>398847</v>
      </c>
      <c r="I56" s="159"/>
      <c r="J56" s="159"/>
      <c r="L56" s="759"/>
    </row>
    <row r="57" spans="1:12" s="95" customFormat="1" ht="19.5" customHeight="1">
      <c r="A57" s="76"/>
      <c r="B57" s="77">
        <v>80120</v>
      </c>
      <c r="C57" s="77"/>
      <c r="D57" s="77" t="s">
        <v>411</v>
      </c>
      <c r="E57" s="137">
        <v>49661700</v>
      </c>
      <c r="F57" s="79">
        <f>F58</f>
        <v>17900</v>
      </c>
      <c r="G57" s="79">
        <f>G58</f>
        <v>17900</v>
      </c>
      <c r="H57" s="79">
        <f t="shared" si="0"/>
        <v>49661700</v>
      </c>
      <c r="I57" s="138"/>
      <c r="J57" s="138"/>
      <c r="L57" s="94"/>
    </row>
    <row r="58" spans="1:12" s="95" customFormat="1" ht="19.5" customHeight="1">
      <c r="A58" s="80"/>
      <c r="B58" s="499"/>
      <c r="C58" s="499"/>
      <c r="D58" s="691" t="s">
        <v>79</v>
      </c>
      <c r="E58" s="143">
        <v>5130880</v>
      </c>
      <c r="F58" s="757">
        <f>F60</f>
        <v>17900</v>
      </c>
      <c r="G58" s="757">
        <f>SUM(G59:G62)</f>
        <v>17900</v>
      </c>
      <c r="H58" s="757">
        <f t="shared" si="0"/>
        <v>5130880</v>
      </c>
      <c r="I58" s="138"/>
      <c r="J58" s="138"/>
      <c r="L58" s="94"/>
    </row>
    <row r="59" spans="1:12" s="758" customFormat="1" ht="18" customHeight="1">
      <c r="A59" s="698"/>
      <c r="B59" s="82"/>
      <c r="C59" s="82">
        <v>4210</v>
      </c>
      <c r="D59" s="688" t="s">
        <v>75</v>
      </c>
      <c r="E59" s="154">
        <v>264393</v>
      </c>
      <c r="F59" s="730"/>
      <c r="G59" s="730">
        <v>2000</v>
      </c>
      <c r="H59" s="730">
        <f t="shared" si="0"/>
        <v>266393</v>
      </c>
      <c r="I59" s="159"/>
      <c r="J59" s="159"/>
      <c r="L59" s="759"/>
    </row>
    <row r="60" spans="1:12" s="160" customFormat="1" ht="19.5" customHeight="1">
      <c r="A60" s="207"/>
      <c r="B60" s="81"/>
      <c r="C60" s="140">
        <v>4260</v>
      </c>
      <c r="D60" s="83" t="s">
        <v>167</v>
      </c>
      <c r="E60" s="154">
        <v>2003080</v>
      </c>
      <c r="F60" s="154">
        <v>17900</v>
      </c>
      <c r="G60" s="154"/>
      <c r="H60" s="154">
        <f t="shared" si="0"/>
        <v>1985180</v>
      </c>
      <c r="I60" s="159"/>
      <c r="J60" s="159"/>
      <c r="L60" s="159"/>
    </row>
    <row r="61" spans="1:12" s="160" customFormat="1" ht="19.5" customHeight="1">
      <c r="A61" s="207"/>
      <c r="B61" s="81"/>
      <c r="C61" s="140">
        <v>4300</v>
      </c>
      <c r="D61" s="83" t="s">
        <v>76</v>
      </c>
      <c r="E61" s="154">
        <v>276346</v>
      </c>
      <c r="F61" s="154"/>
      <c r="G61" s="154">
        <v>8300</v>
      </c>
      <c r="H61" s="154">
        <f t="shared" si="0"/>
        <v>284646</v>
      </c>
      <c r="I61" s="159"/>
      <c r="J61" s="159"/>
      <c r="L61" s="159"/>
    </row>
    <row r="62" spans="1:12" s="160" customFormat="1" ht="19.5" customHeight="1">
      <c r="A62" s="207"/>
      <c r="B62" s="81"/>
      <c r="C62" s="140">
        <v>4420</v>
      </c>
      <c r="D62" s="83" t="s">
        <v>127</v>
      </c>
      <c r="E62" s="154">
        <v>17740</v>
      </c>
      <c r="F62" s="154"/>
      <c r="G62" s="154">
        <v>7600</v>
      </c>
      <c r="H62" s="154">
        <f t="shared" si="0"/>
        <v>25340</v>
      </c>
      <c r="I62" s="159"/>
      <c r="J62" s="159"/>
      <c r="L62" s="159"/>
    </row>
    <row r="63" spans="1:12" s="95" customFormat="1" ht="18.75" customHeight="1">
      <c r="A63" s="76"/>
      <c r="B63" s="77">
        <v>80121</v>
      </c>
      <c r="C63" s="77"/>
      <c r="D63" s="77" t="s">
        <v>546</v>
      </c>
      <c r="E63" s="137">
        <v>810000</v>
      </c>
      <c r="F63" s="79">
        <f>F64+F66</f>
        <v>2000</v>
      </c>
      <c r="G63" s="79">
        <f>G64+G66</f>
        <v>2000</v>
      </c>
      <c r="H63" s="79">
        <f aca="true" t="shared" si="1" ref="H63:H74">E63+G63-F63</f>
        <v>810000</v>
      </c>
      <c r="I63" s="138"/>
      <c r="J63" s="138"/>
      <c r="L63" s="94"/>
    </row>
    <row r="64" spans="1:12" s="95" customFormat="1" ht="18.75" customHeight="1">
      <c r="A64" s="80"/>
      <c r="B64" s="499"/>
      <c r="C64" s="499"/>
      <c r="D64" s="691" t="s">
        <v>79</v>
      </c>
      <c r="E64" s="143">
        <v>77500</v>
      </c>
      <c r="F64" s="757"/>
      <c r="G64" s="757">
        <f>G65</f>
        <v>2000</v>
      </c>
      <c r="H64" s="757">
        <f t="shared" si="1"/>
        <v>79500</v>
      </c>
      <c r="I64" s="138"/>
      <c r="J64" s="138"/>
      <c r="L64" s="94"/>
    </row>
    <row r="65" spans="1:12" s="758" customFormat="1" ht="18.75" customHeight="1">
      <c r="A65" s="207"/>
      <c r="B65" s="81"/>
      <c r="C65" s="81">
        <v>4260</v>
      </c>
      <c r="D65" s="760" t="s">
        <v>167</v>
      </c>
      <c r="E65" s="742">
        <v>28000</v>
      </c>
      <c r="F65" s="761"/>
      <c r="G65" s="761">
        <f>4000-2000</f>
        <v>2000</v>
      </c>
      <c r="H65" s="761">
        <f t="shared" si="1"/>
        <v>30000</v>
      </c>
      <c r="I65" s="159"/>
      <c r="J65" s="159"/>
      <c r="L65" s="759"/>
    </row>
    <row r="66" spans="1:12" s="95" customFormat="1" ht="18.75" customHeight="1">
      <c r="A66" s="80"/>
      <c r="B66" s="66"/>
      <c r="C66" s="499"/>
      <c r="D66" s="691" t="s">
        <v>105</v>
      </c>
      <c r="E66" s="143">
        <v>117800</v>
      </c>
      <c r="F66" s="757">
        <f>F67</f>
        <v>2000</v>
      </c>
      <c r="G66" s="757"/>
      <c r="H66" s="757">
        <f t="shared" si="1"/>
        <v>115800</v>
      </c>
      <c r="I66" s="138"/>
      <c r="J66" s="138"/>
      <c r="L66" s="94"/>
    </row>
    <row r="67" spans="1:12" s="758" customFormat="1" ht="18.75" customHeight="1">
      <c r="A67" s="207"/>
      <c r="B67" s="81"/>
      <c r="C67" s="81">
        <v>4110</v>
      </c>
      <c r="D67" s="760" t="s">
        <v>163</v>
      </c>
      <c r="E67" s="742">
        <v>102200</v>
      </c>
      <c r="F67" s="761">
        <v>2000</v>
      </c>
      <c r="G67" s="761"/>
      <c r="H67" s="761">
        <f t="shared" si="1"/>
        <v>100200</v>
      </c>
      <c r="I67" s="159"/>
      <c r="J67" s="159"/>
      <c r="L67" s="759"/>
    </row>
    <row r="68" spans="1:12" s="95" customFormat="1" ht="18.75" customHeight="1">
      <c r="A68" s="76"/>
      <c r="B68" s="77">
        <v>80123</v>
      </c>
      <c r="C68" s="77"/>
      <c r="D68" s="77" t="s">
        <v>547</v>
      </c>
      <c r="E68" s="137">
        <v>8592000</v>
      </c>
      <c r="F68" s="79">
        <f>F69+F73</f>
        <v>9000</v>
      </c>
      <c r="G68" s="79">
        <f>G69+G73</f>
        <v>9000</v>
      </c>
      <c r="H68" s="79">
        <f t="shared" si="1"/>
        <v>8592000</v>
      </c>
      <c r="I68" s="138"/>
      <c r="J68" s="138"/>
      <c r="L68" s="94"/>
    </row>
    <row r="69" spans="1:12" s="95" customFormat="1" ht="18.75" customHeight="1">
      <c r="A69" s="80"/>
      <c r="B69" s="499"/>
      <c r="C69" s="499"/>
      <c r="D69" s="691" t="s">
        <v>79</v>
      </c>
      <c r="E69" s="143">
        <v>635400</v>
      </c>
      <c r="F69" s="757"/>
      <c r="G69" s="757">
        <f>SUM(G70:G72)</f>
        <v>9000</v>
      </c>
      <c r="H69" s="757">
        <f t="shared" si="1"/>
        <v>644400</v>
      </c>
      <c r="I69" s="138"/>
      <c r="J69" s="138"/>
      <c r="L69" s="94"/>
    </row>
    <row r="70" spans="1:12" s="758" customFormat="1" ht="18.75" customHeight="1">
      <c r="A70" s="207"/>
      <c r="B70" s="81"/>
      <c r="C70" s="82">
        <v>4210</v>
      </c>
      <c r="D70" s="688" t="s">
        <v>75</v>
      </c>
      <c r="E70" s="154">
        <v>40290</v>
      </c>
      <c r="F70" s="730"/>
      <c r="G70" s="730">
        <v>2000</v>
      </c>
      <c r="H70" s="730">
        <f t="shared" si="1"/>
        <v>42290</v>
      </c>
      <c r="I70" s="159"/>
      <c r="J70" s="159"/>
      <c r="L70" s="759"/>
    </row>
    <row r="71" spans="1:12" s="160" customFormat="1" ht="21" customHeight="1">
      <c r="A71" s="207"/>
      <c r="B71" s="81"/>
      <c r="C71" s="140">
        <v>4260</v>
      </c>
      <c r="D71" s="83" t="s">
        <v>167</v>
      </c>
      <c r="E71" s="154">
        <v>158830</v>
      </c>
      <c r="F71" s="154"/>
      <c r="G71" s="154">
        <v>5000</v>
      </c>
      <c r="H71" s="154">
        <f t="shared" si="1"/>
        <v>163830</v>
      </c>
      <c r="I71" s="159"/>
      <c r="J71" s="159"/>
      <c r="L71" s="159"/>
    </row>
    <row r="72" spans="1:12" s="160" customFormat="1" ht="21" customHeight="1">
      <c r="A72" s="207"/>
      <c r="B72" s="81"/>
      <c r="C72" s="140">
        <v>4300</v>
      </c>
      <c r="D72" s="83" t="s">
        <v>76</v>
      </c>
      <c r="E72" s="154">
        <v>34380</v>
      </c>
      <c r="F72" s="154"/>
      <c r="G72" s="154">
        <v>2000</v>
      </c>
      <c r="H72" s="154">
        <f t="shared" si="1"/>
        <v>36380</v>
      </c>
      <c r="I72" s="159"/>
      <c r="J72" s="159"/>
      <c r="L72" s="159"/>
    </row>
    <row r="73" spans="1:12" s="95" customFormat="1" ht="18.75" customHeight="1">
      <c r="A73" s="80"/>
      <c r="B73" s="66"/>
      <c r="C73" s="499"/>
      <c r="D73" s="691" t="s">
        <v>105</v>
      </c>
      <c r="E73" s="143">
        <v>1267300</v>
      </c>
      <c r="F73" s="757">
        <f>F74</f>
        <v>9000</v>
      </c>
      <c r="G73" s="757"/>
      <c r="H73" s="757">
        <f t="shared" si="1"/>
        <v>1258300</v>
      </c>
      <c r="I73" s="138"/>
      <c r="J73" s="138"/>
      <c r="L73" s="94"/>
    </row>
    <row r="74" spans="1:12" s="758" customFormat="1" ht="18.75" customHeight="1">
      <c r="A74" s="207"/>
      <c r="B74" s="81"/>
      <c r="C74" s="81">
        <v>4110</v>
      </c>
      <c r="D74" s="760" t="s">
        <v>163</v>
      </c>
      <c r="E74" s="742">
        <v>1110850</v>
      </c>
      <c r="F74" s="761">
        <v>9000</v>
      </c>
      <c r="G74" s="761"/>
      <c r="H74" s="761">
        <f t="shared" si="1"/>
        <v>1101850</v>
      </c>
      <c r="I74" s="159"/>
      <c r="J74" s="159"/>
      <c r="L74" s="759"/>
    </row>
    <row r="75" spans="1:12" s="95" customFormat="1" ht="18.75" customHeight="1">
      <c r="A75" s="76"/>
      <c r="B75" s="77">
        <v>80130</v>
      </c>
      <c r="C75" s="77"/>
      <c r="D75" s="77" t="s">
        <v>107</v>
      </c>
      <c r="E75" s="137">
        <v>50453386</v>
      </c>
      <c r="F75" s="79">
        <f>F76+F80</f>
        <v>263190</v>
      </c>
      <c r="G75" s="79">
        <f>G76+G80</f>
        <v>258190</v>
      </c>
      <c r="H75" s="79">
        <f aca="true" t="shared" si="2" ref="H75:H99">E75+G75-F75</f>
        <v>50448386</v>
      </c>
      <c r="I75" s="138"/>
      <c r="J75" s="138"/>
      <c r="L75" s="94"/>
    </row>
    <row r="76" spans="1:12" s="95" customFormat="1" ht="18.75" customHeight="1">
      <c r="A76" s="80"/>
      <c r="B76" s="499"/>
      <c r="C76" s="499"/>
      <c r="D76" s="691" t="s">
        <v>79</v>
      </c>
      <c r="E76" s="143">
        <v>4766906</v>
      </c>
      <c r="F76" s="757">
        <f>SUM(F77:F79)</f>
        <v>33000</v>
      </c>
      <c r="G76" s="757">
        <f>SUM(G77:G79)</f>
        <v>28000</v>
      </c>
      <c r="H76" s="757">
        <f t="shared" si="2"/>
        <v>4761906</v>
      </c>
      <c r="I76" s="138"/>
      <c r="J76" s="138"/>
      <c r="L76" s="94"/>
    </row>
    <row r="77" spans="1:12" s="758" customFormat="1" ht="18.75" customHeight="1">
      <c r="A77" s="207"/>
      <c r="B77" s="81"/>
      <c r="C77" s="82">
        <v>4210</v>
      </c>
      <c r="D77" s="688" t="s">
        <v>75</v>
      </c>
      <c r="E77" s="154">
        <v>570210</v>
      </c>
      <c r="F77" s="730"/>
      <c r="G77" s="730">
        <v>25000</v>
      </c>
      <c r="H77" s="730">
        <f t="shared" si="2"/>
        <v>595210</v>
      </c>
      <c r="I77" s="159"/>
      <c r="J77" s="159"/>
      <c r="L77" s="759"/>
    </row>
    <row r="78" spans="1:12" s="758" customFormat="1" ht="18.75" customHeight="1">
      <c r="A78" s="207"/>
      <c r="B78" s="81"/>
      <c r="C78" s="618">
        <v>4260</v>
      </c>
      <c r="D78" s="619" t="s">
        <v>167</v>
      </c>
      <c r="E78" s="780">
        <v>1747276</v>
      </c>
      <c r="F78" s="781">
        <f>41000-8000</f>
        <v>33000</v>
      </c>
      <c r="G78" s="781"/>
      <c r="H78" s="781">
        <f t="shared" si="2"/>
        <v>1714276</v>
      </c>
      <c r="I78" s="159"/>
      <c r="J78" s="159"/>
      <c r="L78" s="759"/>
    </row>
    <row r="79" spans="1:12" s="160" customFormat="1" ht="21" customHeight="1">
      <c r="A79" s="207"/>
      <c r="B79" s="81"/>
      <c r="C79" s="140">
        <v>4300</v>
      </c>
      <c r="D79" s="83" t="s">
        <v>76</v>
      </c>
      <c r="E79" s="154">
        <v>398970</v>
      </c>
      <c r="F79" s="154"/>
      <c r="G79" s="154">
        <v>3000</v>
      </c>
      <c r="H79" s="154">
        <f t="shared" si="2"/>
        <v>401970</v>
      </c>
      <c r="I79" s="159"/>
      <c r="J79" s="159"/>
      <c r="L79" s="159"/>
    </row>
    <row r="80" spans="1:12" s="130" customFormat="1" ht="21" customHeight="1">
      <c r="A80" s="80"/>
      <c r="B80" s="66"/>
      <c r="C80" s="66"/>
      <c r="D80" s="765" t="s">
        <v>275</v>
      </c>
      <c r="E80" s="143">
        <v>11024300</v>
      </c>
      <c r="F80" s="143">
        <f>F81</f>
        <v>230190</v>
      </c>
      <c r="G80" s="143">
        <f>G83</f>
        <v>230190</v>
      </c>
      <c r="H80" s="143">
        <f t="shared" si="2"/>
        <v>11024300</v>
      </c>
      <c r="I80" s="138"/>
      <c r="J80" s="138"/>
      <c r="L80" s="138"/>
    </row>
    <row r="81" spans="1:12" s="158" customFormat="1" ht="21" customHeight="1">
      <c r="A81" s="208"/>
      <c r="B81" s="172"/>
      <c r="C81" s="172"/>
      <c r="D81" s="738" t="s">
        <v>577</v>
      </c>
      <c r="E81" s="487">
        <v>5374300</v>
      </c>
      <c r="F81" s="487">
        <v>230190</v>
      </c>
      <c r="G81" s="487"/>
      <c r="H81" s="487">
        <f t="shared" si="2"/>
        <v>5144110</v>
      </c>
      <c r="I81" s="157"/>
      <c r="J81" s="157"/>
      <c r="L81" s="157"/>
    </row>
    <row r="82" spans="1:12" s="158" customFormat="1" ht="21" customHeight="1">
      <c r="A82" s="208"/>
      <c r="B82" s="172"/>
      <c r="C82" s="172"/>
      <c r="D82" s="861" t="s">
        <v>589</v>
      </c>
      <c r="E82" s="492"/>
      <c r="F82" s="492"/>
      <c r="G82" s="492">
        <v>230190</v>
      </c>
      <c r="H82" s="492">
        <f>E82+G82-F82</f>
        <v>230190</v>
      </c>
      <c r="I82" s="157"/>
      <c r="J82" s="157"/>
      <c r="L82" s="157"/>
    </row>
    <row r="83" spans="1:12" s="160" customFormat="1" ht="21" customHeight="1">
      <c r="A83" s="207"/>
      <c r="B83" s="82"/>
      <c r="C83" s="82">
        <v>6050</v>
      </c>
      <c r="D83" s="682" t="s">
        <v>262</v>
      </c>
      <c r="E83" s="154">
        <v>10224300</v>
      </c>
      <c r="F83" s="154">
        <f>SUM(F81:F82)</f>
        <v>230190</v>
      </c>
      <c r="G83" s="154">
        <f>SUM(G81:G82)</f>
        <v>230190</v>
      </c>
      <c r="H83" s="154">
        <f t="shared" si="2"/>
        <v>10224300</v>
      </c>
      <c r="I83" s="159"/>
      <c r="J83" s="159"/>
      <c r="L83" s="159"/>
    </row>
    <row r="84" spans="1:12" s="95" customFormat="1" ht="18.75" customHeight="1">
      <c r="A84" s="76"/>
      <c r="B84" s="78">
        <v>80132</v>
      </c>
      <c r="C84" s="78"/>
      <c r="D84" s="78" t="s">
        <v>549</v>
      </c>
      <c r="E84" s="756">
        <v>3695000</v>
      </c>
      <c r="F84" s="675">
        <f>F85+F87</f>
        <v>8000</v>
      </c>
      <c r="G84" s="675">
        <f>G85+G87</f>
        <v>8000</v>
      </c>
      <c r="H84" s="675">
        <f t="shared" si="2"/>
        <v>3695000</v>
      </c>
      <c r="I84" s="138"/>
      <c r="J84" s="138"/>
      <c r="L84" s="94"/>
    </row>
    <row r="85" spans="1:12" s="95" customFormat="1" ht="18.75" customHeight="1">
      <c r="A85" s="80"/>
      <c r="B85" s="499"/>
      <c r="C85" s="499"/>
      <c r="D85" s="691" t="s">
        <v>105</v>
      </c>
      <c r="E85" s="143">
        <v>569100</v>
      </c>
      <c r="F85" s="757">
        <f>F86</f>
        <v>8000</v>
      </c>
      <c r="G85" s="757"/>
      <c r="H85" s="757">
        <f t="shared" si="2"/>
        <v>561100</v>
      </c>
      <c r="I85" s="138"/>
      <c r="J85" s="138"/>
      <c r="L85" s="94"/>
    </row>
    <row r="86" spans="1:12" s="758" customFormat="1" ht="18.75" customHeight="1">
      <c r="A86" s="207"/>
      <c r="B86" s="81"/>
      <c r="C86" s="82">
        <v>4110</v>
      </c>
      <c r="D86" s="688" t="s">
        <v>163</v>
      </c>
      <c r="E86" s="742">
        <v>504100</v>
      </c>
      <c r="F86" s="761">
        <v>8000</v>
      </c>
      <c r="G86" s="761"/>
      <c r="H86" s="761">
        <f t="shared" si="2"/>
        <v>496100</v>
      </c>
      <c r="I86" s="159"/>
      <c r="J86" s="159"/>
      <c r="L86" s="759"/>
    </row>
    <row r="87" spans="1:12" s="130" customFormat="1" ht="21" customHeight="1">
      <c r="A87" s="80"/>
      <c r="B87" s="66"/>
      <c r="C87" s="66"/>
      <c r="D87" s="765" t="s">
        <v>633</v>
      </c>
      <c r="E87" s="143"/>
      <c r="F87" s="143"/>
      <c r="G87" s="143">
        <f>G89</f>
        <v>8000</v>
      </c>
      <c r="H87" s="143">
        <f t="shared" si="2"/>
        <v>8000</v>
      </c>
      <c r="I87" s="138"/>
      <c r="J87" s="138"/>
      <c r="L87" s="138"/>
    </row>
    <row r="88" spans="1:12" s="160" customFormat="1" ht="21" customHeight="1">
      <c r="A88" s="207"/>
      <c r="B88" s="81"/>
      <c r="C88" s="81"/>
      <c r="D88" s="611" t="s">
        <v>517</v>
      </c>
      <c r="E88" s="779"/>
      <c r="F88" s="779"/>
      <c r="G88" s="779">
        <v>8000</v>
      </c>
      <c r="H88" s="779">
        <f t="shared" si="2"/>
        <v>8000</v>
      </c>
      <c r="I88" s="159"/>
      <c r="J88" s="159"/>
      <c r="L88" s="159"/>
    </row>
    <row r="89" spans="1:12" s="160" customFormat="1" ht="21" customHeight="1">
      <c r="A89" s="698"/>
      <c r="B89" s="82"/>
      <c r="C89" s="82">
        <v>6060</v>
      </c>
      <c r="D89" s="682" t="s">
        <v>114</v>
      </c>
      <c r="E89" s="154"/>
      <c r="F89" s="154"/>
      <c r="G89" s="154">
        <f>G88</f>
        <v>8000</v>
      </c>
      <c r="H89" s="154">
        <f t="shared" si="2"/>
        <v>8000</v>
      </c>
      <c r="I89" s="159"/>
      <c r="J89" s="159"/>
      <c r="L89" s="159"/>
    </row>
    <row r="90" spans="1:12" s="95" customFormat="1" ht="18.75" customHeight="1">
      <c r="A90" s="76"/>
      <c r="B90" s="78">
        <v>80134</v>
      </c>
      <c r="C90" s="78"/>
      <c r="D90" s="78" t="s">
        <v>550</v>
      </c>
      <c r="E90" s="756">
        <v>5100000</v>
      </c>
      <c r="F90" s="675">
        <f>F91+F93</f>
        <v>2000</v>
      </c>
      <c r="G90" s="675">
        <f>G91+G93</f>
        <v>2000</v>
      </c>
      <c r="H90" s="675">
        <f t="shared" si="2"/>
        <v>5100000</v>
      </c>
      <c r="I90" s="138"/>
      <c r="J90" s="138"/>
      <c r="L90" s="94"/>
    </row>
    <row r="91" spans="1:12" s="95" customFormat="1" ht="18.75" customHeight="1">
      <c r="A91" s="80"/>
      <c r="B91" s="499"/>
      <c r="C91" s="499"/>
      <c r="D91" s="691" t="s">
        <v>79</v>
      </c>
      <c r="E91" s="143">
        <v>465600</v>
      </c>
      <c r="F91" s="757"/>
      <c r="G91" s="757">
        <f>G92</f>
        <v>2000</v>
      </c>
      <c r="H91" s="757">
        <f t="shared" si="2"/>
        <v>467600</v>
      </c>
      <c r="I91" s="138"/>
      <c r="J91" s="138"/>
      <c r="L91" s="94"/>
    </row>
    <row r="92" spans="1:12" s="758" customFormat="1" ht="18.75" customHeight="1">
      <c r="A92" s="207"/>
      <c r="B92" s="81"/>
      <c r="C92" s="81">
        <v>4260</v>
      </c>
      <c r="D92" s="760" t="s">
        <v>167</v>
      </c>
      <c r="E92" s="742">
        <v>184000</v>
      </c>
      <c r="F92" s="761"/>
      <c r="G92" s="761">
        <f>6000-4000</f>
        <v>2000</v>
      </c>
      <c r="H92" s="761">
        <f t="shared" si="2"/>
        <v>186000</v>
      </c>
      <c r="I92" s="159"/>
      <c r="J92" s="159"/>
      <c r="L92" s="759"/>
    </row>
    <row r="93" spans="1:12" s="95" customFormat="1" ht="18.75" customHeight="1">
      <c r="A93" s="80"/>
      <c r="B93" s="66"/>
      <c r="C93" s="499"/>
      <c r="D93" s="691" t="s">
        <v>105</v>
      </c>
      <c r="E93" s="143">
        <v>738200</v>
      </c>
      <c r="F93" s="757">
        <f>F94</f>
        <v>2000</v>
      </c>
      <c r="G93" s="757"/>
      <c r="H93" s="757">
        <f t="shared" si="2"/>
        <v>736200</v>
      </c>
      <c r="I93" s="138"/>
      <c r="J93" s="138"/>
      <c r="L93" s="94"/>
    </row>
    <row r="94" spans="1:12" s="758" customFormat="1" ht="18.75" customHeight="1">
      <c r="A94" s="207"/>
      <c r="B94" s="82"/>
      <c r="C94" s="82">
        <v>4110</v>
      </c>
      <c r="D94" s="688" t="s">
        <v>163</v>
      </c>
      <c r="E94" s="154">
        <v>653650</v>
      </c>
      <c r="F94" s="730">
        <v>2000</v>
      </c>
      <c r="G94" s="730"/>
      <c r="H94" s="730">
        <f t="shared" si="2"/>
        <v>651650</v>
      </c>
      <c r="I94" s="159"/>
      <c r="J94" s="159"/>
      <c r="L94" s="759"/>
    </row>
    <row r="95" spans="1:12" s="95" customFormat="1" ht="27.75" customHeight="1">
      <c r="A95" s="76"/>
      <c r="B95" s="77">
        <v>80140</v>
      </c>
      <c r="C95" s="77"/>
      <c r="D95" s="334" t="s">
        <v>506</v>
      </c>
      <c r="E95" s="137">
        <v>10792620</v>
      </c>
      <c r="F95" s="79"/>
      <c r="G95" s="79">
        <f>G96</f>
        <v>5000</v>
      </c>
      <c r="H95" s="79">
        <f t="shared" si="2"/>
        <v>10797620</v>
      </c>
      <c r="I95" s="138"/>
      <c r="J95" s="138"/>
      <c r="L95" s="94"/>
    </row>
    <row r="96" spans="1:12" s="95" customFormat="1" ht="18.75" customHeight="1">
      <c r="A96" s="80"/>
      <c r="B96" s="499"/>
      <c r="C96" s="499"/>
      <c r="D96" s="691" t="s">
        <v>79</v>
      </c>
      <c r="E96" s="143">
        <v>1159200</v>
      </c>
      <c r="F96" s="757"/>
      <c r="G96" s="757">
        <f>G97</f>
        <v>5000</v>
      </c>
      <c r="H96" s="757">
        <f t="shared" si="2"/>
        <v>1164200</v>
      </c>
      <c r="I96" s="138"/>
      <c r="J96" s="138"/>
      <c r="L96" s="94"/>
    </row>
    <row r="97" spans="1:12" s="758" customFormat="1" ht="18.75" customHeight="1">
      <c r="A97" s="207"/>
      <c r="B97" s="82"/>
      <c r="C97" s="82">
        <v>4210</v>
      </c>
      <c r="D97" s="688" t="s">
        <v>75</v>
      </c>
      <c r="E97" s="146">
        <v>153500</v>
      </c>
      <c r="F97" s="764"/>
      <c r="G97" s="764">
        <v>5000</v>
      </c>
      <c r="H97" s="764">
        <f t="shared" si="2"/>
        <v>158500</v>
      </c>
      <c r="I97" s="159"/>
      <c r="J97" s="159"/>
      <c r="L97" s="759"/>
    </row>
    <row r="98" spans="1:12" s="95" customFormat="1" ht="18.75" customHeight="1">
      <c r="A98" s="76"/>
      <c r="B98" s="78">
        <v>80146</v>
      </c>
      <c r="C98" s="78"/>
      <c r="D98" s="78" t="s">
        <v>413</v>
      </c>
      <c r="E98" s="756">
        <v>1630000</v>
      </c>
      <c r="F98" s="675">
        <f>F99</f>
        <v>2200</v>
      </c>
      <c r="G98" s="675">
        <f>G99</f>
        <v>2200</v>
      </c>
      <c r="H98" s="675">
        <f t="shared" si="2"/>
        <v>1630000</v>
      </c>
      <c r="I98" s="138"/>
      <c r="J98" s="138"/>
      <c r="L98" s="94"/>
    </row>
    <row r="99" spans="1:12" s="95" customFormat="1" ht="18.75" customHeight="1">
      <c r="A99" s="80"/>
      <c r="B99" s="499"/>
      <c r="C99" s="499"/>
      <c r="D99" s="691" t="s">
        <v>537</v>
      </c>
      <c r="E99" s="143">
        <v>1630000</v>
      </c>
      <c r="F99" s="757">
        <f>SUM(F100:F101)</f>
        <v>2200</v>
      </c>
      <c r="G99" s="757">
        <f>SUM(G100:G101)</f>
        <v>2200</v>
      </c>
      <c r="H99" s="757">
        <f t="shared" si="2"/>
        <v>1630000</v>
      </c>
      <c r="I99" s="138"/>
      <c r="J99" s="138"/>
      <c r="L99" s="94"/>
    </row>
    <row r="100" spans="1:12" s="758" customFormat="1" ht="18.75" customHeight="1">
      <c r="A100" s="207"/>
      <c r="B100" s="81"/>
      <c r="C100" s="82">
        <v>4170</v>
      </c>
      <c r="D100" s="688" t="s">
        <v>87</v>
      </c>
      <c r="E100" s="154">
        <v>110650</v>
      </c>
      <c r="F100" s="730">
        <v>2200</v>
      </c>
      <c r="G100" s="730"/>
      <c r="H100" s="730">
        <f>E100+G100-F100</f>
        <v>108450</v>
      </c>
      <c r="I100" s="159"/>
      <c r="J100" s="159"/>
      <c r="L100" s="759"/>
    </row>
    <row r="101" spans="1:12" s="758" customFormat="1" ht="18.75" customHeight="1">
      <c r="A101" s="207"/>
      <c r="B101" s="81"/>
      <c r="C101" s="618">
        <v>4300</v>
      </c>
      <c r="D101" s="619" t="s">
        <v>76</v>
      </c>
      <c r="E101" s="780">
        <v>899157</v>
      </c>
      <c r="F101" s="781"/>
      <c r="G101" s="781">
        <v>2200</v>
      </c>
      <c r="H101" s="781">
        <f>E101+G101-F101</f>
        <v>901357</v>
      </c>
      <c r="I101" s="159"/>
      <c r="J101" s="159"/>
      <c r="L101" s="759"/>
    </row>
    <row r="102" spans="1:12" ht="21" customHeight="1">
      <c r="A102" s="72">
        <v>851</v>
      </c>
      <c r="B102" s="89"/>
      <c r="C102" s="73"/>
      <c r="D102" s="92" t="s">
        <v>61</v>
      </c>
      <c r="E102" s="74">
        <v>6235000</v>
      </c>
      <c r="F102" s="75">
        <f>F103+F109+F112+F118+F135</f>
        <v>338825</v>
      </c>
      <c r="G102" s="75">
        <f>G103+G109+G112+G118+G135</f>
        <v>338825</v>
      </c>
      <c r="H102" s="75">
        <f t="shared" si="0"/>
        <v>6235000</v>
      </c>
      <c r="I102" s="47"/>
      <c r="J102" s="47"/>
      <c r="L102" s="47"/>
    </row>
    <row r="103" spans="1:12" s="130" customFormat="1" ht="21" customHeight="1">
      <c r="A103" s="76"/>
      <c r="B103" s="77">
        <v>85121</v>
      </c>
      <c r="C103" s="77"/>
      <c r="D103" s="77" t="s">
        <v>294</v>
      </c>
      <c r="E103" s="137">
        <v>1020000</v>
      </c>
      <c r="F103" s="137">
        <f>F106+F104</f>
        <v>49385</v>
      </c>
      <c r="G103" s="137">
        <f>G106+G104</f>
        <v>32885</v>
      </c>
      <c r="H103" s="137">
        <f t="shared" si="0"/>
        <v>1003500</v>
      </c>
      <c r="I103" s="138"/>
      <c r="J103" s="138"/>
      <c r="L103" s="138"/>
    </row>
    <row r="104" spans="1:12" s="130" customFormat="1" ht="21" customHeight="1">
      <c r="A104" s="80"/>
      <c r="B104" s="499"/>
      <c r="C104" s="66"/>
      <c r="D104" s="689" t="s">
        <v>171</v>
      </c>
      <c r="E104" s="143">
        <v>800000</v>
      </c>
      <c r="F104" s="143">
        <f>F105</f>
        <v>16500</v>
      </c>
      <c r="G104" s="143"/>
      <c r="H104" s="143">
        <f t="shared" si="0"/>
        <v>783500</v>
      </c>
      <c r="I104" s="138"/>
      <c r="J104" s="138"/>
      <c r="L104" s="138"/>
    </row>
    <row r="105" spans="1:12" s="160" customFormat="1" ht="21" customHeight="1">
      <c r="A105" s="207"/>
      <c r="B105" s="81"/>
      <c r="C105" s="82">
        <v>4280</v>
      </c>
      <c r="D105" s="682" t="s">
        <v>168</v>
      </c>
      <c r="E105" s="154">
        <v>800000</v>
      </c>
      <c r="F105" s="154">
        <v>16500</v>
      </c>
      <c r="G105" s="154"/>
      <c r="H105" s="154">
        <f t="shared" si="0"/>
        <v>783500</v>
      </c>
      <c r="I105" s="159"/>
      <c r="J105" s="159"/>
      <c r="L105" s="159"/>
    </row>
    <row r="106" spans="1:12" s="130" customFormat="1" ht="27" customHeight="1">
      <c r="A106" s="80"/>
      <c r="B106" s="66"/>
      <c r="C106" s="499"/>
      <c r="D106" s="690" t="s">
        <v>295</v>
      </c>
      <c r="E106" s="143">
        <v>100000</v>
      </c>
      <c r="F106" s="143">
        <f>SUM(F107:F108)</f>
        <v>32885</v>
      </c>
      <c r="G106" s="143">
        <f>SUM(G107:G108)</f>
        <v>32885</v>
      </c>
      <c r="H106" s="143">
        <f t="shared" si="0"/>
        <v>100000</v>
      </c>
      <c r="I106" s="138"/>
      <c r="J106" s="138"/>
      <c r="L106" s="138"/>
    </row>
    <row r="107" spans="1:12" s="160" customFormat="1" ht="21" customHeight="1">
      <c r="A107" s="207"/>
      <c r="B107" s="81"/>
      <c r="C107" s="140">
        <v>3020</v>
      </c>
      <c r="D107" s="83" t="s">
        <v>505</v>
      </c>
      <c r="E107" s="154">
        <v>100000</v>
      </c>
      <c r="F107" s="154">
        <v>32885</v>
      </c>
      <c r="G107" s="154"/>
      <c r="H107" s="154">
        <f t="shared" si="0"/>
        <v>67115</v>
      </c>
      <c r="I107" s="159"/>
      <c r="J107" s="159"/>
      <c r="L107" s="159"/>
    </row>
    <row r="108" spans="1:12" s="160" customFormat="1" ht="21" customHeight="1">
      <c r="A108" s="207"/>
      <c r="B108" s="82"/>
      <c r="C108" s="82">
        <v>4590</v>
      </c>
      <c r="D108" s="682" t="s">
        <v>562</v>
      </c>
      <c r="E108" s="154"/>
      <c r="F108" s="154"/>
      <c r="G108" s="154">
        <v>32885</v>
      </c>
      <c r="H108" s="154">
        <f t="shared" si="0"/>
        <v>32885</v>
      </c>
      <c r="I108" s="159"/>
      <c r="J108" s="159"/>
      <c r="L108" s="159"/>
    </row>
    <row r="109" spans="1:12" s="130" customFormat="1" ht="21" customHeight="1">
      <c r="A109" s="76"/>
      <c r="B109" s="77">
        <v>85149</v>
      </c>
      <c r="C109" s="77"/>
      <c r="D109" s="77" t="s">
        <v>172</v>
      </c>
      <c r="E109" s="137">
        <v>200000</v>
      </c>
      <c r="F109" s="137"/>
      <c r="G109" s="137">
        <f>G110</f>
        <v>16500</v>
      </c>
      <c r="H109" s="137">
        <f t="shared" si="0"/>
        <v>216500</v>
      </c>
      <c r="I109" s="138"/>
      <c r="J109" s="138"/>
      <c r="L109" s="138"/>
    </row>
    <row r="110" spans="1:12" s="130" customFormat="1" ht="21" customHeight="1">
      <c r="A110" s="80"/>
      <c r="B110" s="499"/>
      <c r="C110" s="499"/>
      <c r="D110" s="691" t="s">
        <v>173</v>
      </c>
      <c r="E110" s="144">
        <v>200000</v>
      </c>
      <c r="F110" s="144"/>
      <c r="G110" s="144">
        <f>G111</f>
        <v>16500</v>
      </c>
      <c r="H110" s="144">
        <f t="shared" si="0"/>
        <v>216500</v>
      </c>
      <c r="I110" s="138"/>
      <c r="J110" s="138"/>
      <c r="L110" s="138"/>
    </row>
    <row r="111" spans="1:12" s="160" customFormat="1" ht="21" customHeight="1">
      <c r="A111" s="207"/>
      <c r="B111" s="82"/>
      <c r="C111" s="82">
        <v>4280</v>
      </c>
      <c r="D111" s="688" t="s">
        <v>168</v>
      </c>
      <c r="E111" s="146">
        <v>200000</v>
      </c>
      <c r="F111" s="146"/>
      <c r="G111" s="146">
        <v>16500</v>
      </c>
      <c r="H111" s="146">
        <f t="shared" si="0"/>
        <v>216500</v>
      </c>
      <c r="I111" s="159"/>
      <c r="J111" s="159"/>
      <c r="L111" s="159"/>
    </row>
    <row r="112" spans="1:12" s="130" customFormat="1" ht="21" customHeight="1">
      <c r="A112" s="76"/>
      <c r="B112" s="78">
        <v>85153</v>
      </c>
      <c r="C112" s="78"/>
      <c r="D112" s="78" t="s">
        <v>174</v>
      </c>
      <c r="E112" s="756">
        <v>250000</v>
      </c>
      <c r="F112" s="756">
        <f>F113</f>
        <v>20000</v>
      </c>
      <c r="G112" s="756">
        <f>G113</f>
        <v>20000</v>
      </c>
      <c r="H112" s="756">
        <f t="shared" si="0"/>
        <v>250000</v>
      </c>
      <c r="I112" s="138"/>
      <c r="J112" s="138"/>
      <c r="L112" s="138"/>
    </row>
    <row r="113" spans="1:12" s="130" customFormat="1" ht="29.25" customHeight="1">
      <c r="A113" s="80"/>
      <c r="B113" s="499"/>
      <c r="C113" s="499"/>
      <c r="D113" s="684" t="s">
        <v>177</v>
      </c>
      <c r="E113" s="685">
        <v>250000</v>
      </c>
      <c r="F113" s="685">
        <f>F114</f>
        <v>20000</v>
      </c>
      <c r="G113" s="685">
        <f>G114</f>
        <v>20000</v>
      </c>
      <c r="H113" s="685">
        <f t="shared" si="0"/>
        <v>250000</v>
      </c>
      <c r="I113" s="138"/>
      <c r="J113" s="138"/>
      <c r="L113" s="138"/>
    </row>
    <row r="114" spans="1:12" s="160" customFormat="1" ht="21" customHeight="1">
      <c r="A114" s="207"/>
      <c r="B114" s="81"/>
      <c r="C114" s="66"/>
      <c r="D114" s="686" t="s">
        <v>175</v>
      </c>
      <c r="E114" s="687">
        <v>26000</v>
      </c>
      <c r="F114" s="687">
        <f>SUM(F115:F117)</f>
        <v>20000</v>
      </c>
      <c r="G114" s="687">
        <f>SUM(G115:G117)</f>
        <v>20000</v>
      </c>
      <c r="H114" s="687">
        <f t="shared" si="0"/>
        <v>26000</v>
      </c>
      <c r="I114" s="159"/>
      <c r="J114" s="159"/>
      <c r="L114" s="159"/>
    </row>
    <row r="115" spans="1:12" s="160" customFormat="1" ht="21" customHeight="1">
      <c r="A115" s="207"/>
      <c r="B115" s="81"/>
      <c r="C115" s="82">
        <v>3000</v>
      </c>
      <c r="D115" s="688" t="s">
        <v>178</v>
      </c>
      <c r="E115" s="146"/>
      <c r="F115" s="146"/>
      <c r="G115" s="146">
        <v>20000</v>
      </c>
      <c r="H115" s="146">
        <f t="shared" si="0"/>
        <v>20000</v>
      </c>
      <c r="I115" s="159"/>
      <c r="J115" s="159"/>
      <c r="L115" s="159"/>
    </row>
    <row r="116" spans="1:12" s="130" customFormat="1" ht="21" customHeight="1">
      <c r="A116" s="76"/>
      <c r="B116" s="477"/>
      <c r="C116" s="82">
        <v>4210</v>
      </c>
      <c r="D116" s="83" t="s">
        <v>75</v>
      </c>
      <c r="E116" s="84">
        <v>20000</v>
      </c>
      <c r="F116" s="84">
        <v>16000</v>
      </c>
      <c r="G116" s="84"/>
      <c r="H116" s="84">
        <f t="shared" si="0"/>
        <v>4000</v>
      </c>
      <c r="I116" s="138"/>
      <c r="J116" s="138"/>
      <c r="L116" s="138"/>
    </row>
    <row r="117" spans="1:12" s="130" customFormat="1" ht="21" customHeight="1">
      <c r="A117" s="900"/>
      <c r="B117" s="69"/>
      <c r="C117" s="82">
        <v>4300</v>
      </c>
      <c r="D117" s="83" t="s">
        <v>76</v>
      </c>
      <c r="E117" s="84">
        <v>5000</v>
      </c>
      <c r="F117" s="84">
        <v>4000</v>
      </c>
      <c r="G117" s="84"/>
      <c r="H117" s="84">
        <f t="shared" si="0"/>
        <v>1000</v>
      </c>
      <c r="I117" s="138"/>
      <c r="J117" s="138"/>
      <c r="L117" s="138"/>
    </row>
    <row r="118" spans="1:12" s="130" customFormat="1" ht="21" customHeight="1">
      <c r="A118" s="76"/>
      <c r="B118" s="78">
        <v>85154</v>
      </c>
      <c r="C118" s="78"/>
      <c r="D118" s="78" t="s">
        <v>86</v>
      </c>
      <c r="E118" s="137">
        <v>4345000</v>
      </c>
      <c r="F118" s="137">
        <f>F119</f>
        <v>259500</v>
      </c>
      <c r="G118" s="137">
        <f>G119</f>
        <v>259500</v>
      </c>
      <c r="H118" s="137">
        <f t="shared" si="0"/>
        <v>4345000</v>
      </c>
      <c r="I118" s="138"/>
      <c r="J118" s="138"/>
      <c r="L118" s="138"/>
    </row>
    <row r="119" spans="1:12" s="130" customFormat="1" ht="29.25" customHeight="1">
      <c r="A119" s="80"/>
      <c r="B119" s="499"/>
      <c r="C119" s="499"/>
      <c r="D119" s="692" t="s">
        <v>184</v>
      </c>
      <c r="E119" s="693">
        <v>4345000</v>
      </c>
      <c r="F119" s="693">
        <f>F120+F124</f>
        <v>259500</v>
      </c>
      <c r="G119" s="693">
        <f>G120+G124</f>
        <v>259500</v>
      </c>
      <c r="H119" s="693">
        <f t="shared" si="0"/>
        <v>4345000</v>
      </c>
      <c r="I119" s="138"/>
      <c r="J119" s="138"/>
      <c r="L119" s="138"/>
    </row>
    <row r="120" spans="1:12" s="160" customFormat="1" ht="29.25" customHeight="1">
      <c r="A120" s="207"/>
      <c r="B120" s="81"/>
      <c r="C120" s="66"/>
      <c r="D120" s="694" t="s">
        <v>180</v>
      </c>
      <c r="E120" s="695">
        <v>408000</v>
      </c>
      <c r="F120" s="695">
        <f>SUM(F121:F123)</f>
        <v>4700</v>
      </c>
      <c r="G120" s="695">
        <f>SUM(G121:G123)</f>
        <v>4700</v>
      </c>
      <c r="H120" s="695">
        <f t="shared" si="0"/>
        <v>408000</v>
      </c>
      <c r="I120" s="159"/>
      <c r="J120" s="159"/>
      <c r="L120" s="159"/>
    </row>
    <row r="121" spans="1:12" s="160" customFormat="1" ht="21" customHeight="1">
      <c r="A121" s="207"/>
      <c r="B121" s="81"/>
      <c r="C121" s="82">
        <v>4170</v>
      </c>
      <c r="D121" s="688" t="s">
        <v>87</v>
      </c>
      <c r="E121" s="146">
        <v>43184</v>
      </c>
      <c r="F121" s="146"/>
      <c r="G121" s="146">
        <v>4320</v>
      </c>
      <c r="H121" s="146">
        <f t="shared" si="0"/>
        <v>47504</v>
      </c>
      <c r="I121" s="159"/>
      <c r="J121" s="159"/>
      <c r="L121" s="159"/>
    </row>
    <row r="122" spans="1:12" s="130" customFormat="1" ht="21" customHeight="1">
      <c r="A122" s="76"/>
      <c r="B122" s="477"/>
      <c r="C122" s="82">
        <v>4210</v>
      </c>
      <c r="D122" s="83" t="s">
        <v>75</v>
      </c>
      <c r="E122" s="84">
        <v>1518</v>
      </c>
      <c r="F122" s="84"/>
      <c r="G122" s="84">
        <v>380</v>
      </c>
      <c r="H122" s="84">
        <f t="shared" si="0"/>
        <v>1898</v>
      </c>
      <c r="I122" s="138"/>
      <c r="J122" s="138"/>
      <c r="L122" s="138"/>
    </row>
    <row r="123" spans="1:12" s="130" customFormat="1" ht="21" customHeight="1">
      <c r="A123" s="76"/>
      <c r="B123" s="477"/>
      <c r="C123" s="82">
        <v>4300</v>
      </c>
      <c r="D123" s="83" t="s">
        <v>76</v>
      </c>
      <c r="E123" s="84">
        <v>79920</v>
      </c>
      <c r="F123" s="84">
        <v>4700</v>
      </c>
      <c r="G123" s="84"/>
      <c r="H123" s="84">
        <f t="shared" si="0"/>
        <v>75220</v>
      </c>
      <c r="I123" s="138"/>
      <c r="J123" s="138"/>
      <c r="L123" s="138"/>
    </row>
    <row r="124" spans="1:12" s="160" customFormat="1" ht="86.25" customHeight="1">
      <c r="A124" s="207"/>
      <c r="B124" s="81"/>
      <c r="C124" s="66"/>
      <c r="D124" s="694" t="s">
        <v>181</v>
      </c>
      <c r="E124" s="695">
        <v>1837000</v>
      </c>
      <c r="F124" s="695">
        <f>SUM(F128:F132)</f>
        <v>254800</v>
      </c>
      <c r="G124" s="695">
        <f>SUM(G125:G134)</f>
        <v>254800</v>
      </c>
      <c r="H124" s="695">
        <f t="shared" si="0"/>
        <v>1837000</v>
      </c>
      <c r="I124" s="159"/>
      <c r="J124" s="159"/>
      <c r="L124" s="159"/>
    </row>
    <row r="125" spans="1:12" s="160" customFormat="1" ht="21" customHeight="1">
      <c r="A125" s="207"/>
      <c r="B125" s="81"/>
      <c r="C125" s="82">
        <v>3000</v>
      </c>
      <c r="D125" s="688" t="s">
        <v>178</v>
      </c>
      <c r="E125" s="146"/>
      <c r="F125" s="146"/>
      <c r="G125" s="146">
        <v>5000</v>
      </c>
      <c r="H125" s="146">
        <f t="shared" si="0"/>
        <v>5000</v>
      </c>
      <c r="I125" s="159"/>
      <c r="J125" s="159"/>
      <c r="L125" s="159"/>
    </row>
    <row r="126" spans="1:12" s="160" customFormat="1" ht="21" customHeight="1">
      <c r="A126" s="207"/>
      <c r="B126" s="81"/>
      <c r="C126" s="82">
        <v>4110</v>
      </c>
      <c r="D126" s="83" t="s">
        <v>163</v>
      </c>
      <c r="E126" s="146">
        <v>35001</v>
      </c>
      <c r="F126" s="146"/>
      <c r="G126" s="146">
        <v>15465</v>
      </c>
      <c r="H126" s="146">
        <f t="shared" si="0"/>
        <v>50466</v>
      </c>
      <c r="I126" s="159"/>
      <c r="J126" s="159"/>
      <c r="L126" s="159"/>
    </row>
    <row r="127" spans="1:12" s="160" customFormat="1" ht="21" customHeight="1">
      <c r="A127" s="207"/>
      <c r="B127" s="81"/>
      <c r="C127" s="82">
        <v>4120</v>
      </c>
      <c r="D127" s="83" t="s">
        <v>164</v>
      </c>
      <c r="E127" s="146">
        <v>4789</v>
      </c>
      <c r="F127" s="146"/>
      <c r="G127" s="146">
        <v>2549</v>
      </c>
      <c r="H127" s="146">
        <f t="shared" si="0"/>
        <v>7338</v>
      </c>
      <c r="I127" s="159"/>
      <c r="J127" s="159"/>
      <c r="L127" s="159"/>
    </row>
    <row r="128" spans="1:12" s="160" customFormat="1" ht="21" customHeight="1">
      <c r="A128" s="207"/>
      <c r="B128" s="81"/>
      <c r="C128" s="82">
        <v>4170</v>
      </c>
      <c r="D128" s="688" t="s">
        <v>87</v>
      </c>
      <c r="E128" s="146">
        <v>643513</v>
      </c>
      <c r="F128" s="146">
        <f>350000-95200</f>
        <v>254800</v>
      </c>
      <c r="G128" s="146"/>
      <c r="H128" s="146">
        <f t="shared" si="0"/>
        <v>388713</v>
      </c>
      <c r="I128" s="159"/>
      <c r="J128" s="159"/>
      <c r="L128" s="159"/>
    </row>
    <row r="129" spans="1:12" s="130" customFormat="1" ht="21" customHeight="1">
      <c r="A129" s="76"/>
      <c r="B129" s="477"/>
      <c r="C129" s="82">
        <v>4210</v>
      </c>
      <c r="D129" s="83" t="s">
        <v>75</v>
      </c>
      <c r="E129" s="84">
        <v>123055</v>
      </c>
      <c r="F129" s="84"/>
      <c r="G129" s="84">
        <f>25840</f>
        <v>25840</v>
      </c>
      <c r="H129" s="84">
        <f t="shared" si="0"/>
        <v>148895</v>
      </c>
      <c r="I129" s="138"/>
      <c r="J129" s="138"/>
      <c r="L129" s="138"/>
    </row>
    <row r="130" spans="1:12" s="130" customFormat="1" ht="21" customHeight="1">
      <c r="A130" s="76"/>
      <c r="B130" s="477"/>
      <c r="C130" s="82">
        <v>4220</v>
      </c>
      <c r="D130" s="83" t="s">
        <v>182</v>
      </c>
      <c r="E130" s="84"/>
      <c r="F130" s="84"/>
      <c r="G130" s="84">
        <v>1344</v>
      </c>
      <c r="H130" s="84">
        <f t="shared" si="0"/>
        <v>1344</v>
      </c>
      <c r="I130" s="138"/>
      <c r="J130" s="138"/>
      <c r="L130" s="138"/>
    </row>
    <row r="131" spans="1:12" s="130" customFormat="1" ht="21" customHeight="1">
      <c r="A131" s="76"/>
      <c r="B131" s="477"/>
      <c r="C131" s="618">
        <v>4240</v>
      </c>
      <c r="D131" s="696" t="s">
        <v>414</v>
      </c>
      <c r="E131" s="84">
        <v>16876</v>
      </c>
      <c r="F131" s="84"/>
      <c r="G131" s="84">
        <v>2782</v>
      </c>
      <c r="H131" s="84">
        <f t="shared" si="0"/>
        <v>19658</v>
      </c>
      <c r="I131" s="138"/>
      <c r="J131" s="138"/>
      <c r="L131" s="138"/>
    </row>
    <row r="132" spans="1:12" s="130" customFormat="1" ht="21" customHeight="1">
      <c r="A132" s="76"/>
      <c r="B132" s="477"/>
      <c r="C132" s="82">
        <v>4300</v>
      </c>
      <c r="D132" s="83" t="s">
        <v>76</v>
      </c>
      <c r="E132" s="84">
        <v>391156</v>
      </c>
      <c r="F132" s="84"/>
      <c r="G132" s="84">
        <f>158240+43305</f>
        <v>201545</v>
      </c>
      <c r="H132" s="84">
        <f t="shared" si="0"/>
        <v>592701</v>
      </c>
      <c r="I132" s="138"/>
      <c r="J132" s="138"/>
      <c r="L132" s="138"/>
    </row>
    <row r="133" spans="1:12" s="130" customFormat="1" ht="21" customHeight="1">
      <c r="A133" s="76"/>
      <c r="B133" s="477"/>
      <c r="C133" s="81">
        <v>4410</v>
      </c>
      <c r="D133" s="697" t="s">
        <v>176</v>
      </c>
      <c r="E133" s="84">
        <v>400</v>
      </c>
      <c r="F133" s="84"/>
      <c r="G133" s="84">
        <v>75</v>
      </c>
      <c r="H133" s="84">
        <f t="shared" si="0"/>
        <v>475</v>
      </c>
      <c r="I133" s="138"/>
      <c r="J133" s="138"/>
      <c r="L133" s="138"/>
    </row>
    <row r="134" spans="1:12" s="130" customFormat="1" ht="21" customHeight="1">
      <c r="A134" s="76"/>
      <c r="B134" s="78"/>
      <c r="C134" s="618">
        <v>4430</v>
      </c>
      <c r="D134" s="696" t="s">
        <v>169</v>
      </c>
      <c r="E134" s="84">
        <v>380</v>
      </c>
      <c r="F134" s="84"/>
      <c r="G134" s="84">
        <v>200</v>
      </c>
      <c r="H134" s="84">
        <f t="shared" si="0"/>
        <v>580</v>
      </c>
      <c r="I134" s="138"/>
      <c r="J134" s="138"/>
      <c r="L134" s="138"/>
    </row>
    <row r="135" spans="1:12" s="130" customFormat="1" ht="21" customHeight="1">
      <c r="A135" s="76"/>
      <c r="B135" s="78">
        <v>85195</v>
      </c>
      <c r="C135" s="78"/>
      <c r="D135" s="78" t="s">
        <v>57</v>
      </c>
      <c r="E135" s="756">
        <v>420000</v>
      </c>
      <c r="F135" s="756">
        <f>F136</f>
        <v>9940</v>
      </c>
      <c r="G135" s="756">
        <f>G136</f>
        <v>9940</v>
      </c>
      <c r="H135" s="756">
        <f t="shared" si="0"/>
        <v>420000</v>
      </c>
      <c r="I135" s="138"/>
      <c r="J135" s="138"/>
      <c r="L135" s="138"/>
    </row>
    <row r="136" spans="1:12" s="130" customFormat="1" ht="29.25" customHeight="1">
      <c r="A136" s="80"/>
      <c r="B136" s="499"/>
      <c r="C136" s="499"/>
      <c r="D136" s="692" t="s">
        <v>188</v>
      </c>
      <c r="E136" s="693">
        <v>400000</v>
      </c>
      <c r="F136" s="693">
        <f>F137+F139+F143</f>
        <v>9940</v>
      </c>
      <c r="G136" s="693">
        <f>G137+G139+G143</f>
        <v>9940</v>
      </c>
      <c r="H136" s="693">
        <f t="shared" si="0"/>
        <v>400000</v>
      </c>
      <c r="I136" s="138"/>
      <c r="J136" s="138"/>
      <c r="L136" s="138"/>
    </row>
    <row r="137" spans="1:12" s="160" customFormat="1" ht="29.25" customHeight="1">
      <c r="A137" s="207"/>
      <c r="B137" s="81"/>
      <c r="C137" s="66"/>
      <c r="D137" s="694" t="s">
        <v>185</v>
      </c>
      <c r="E137" s="695">
        <v>121000</v>
      </c>
      <c r="F137" s="695">
        <f>F138</f>
        <v>600</v>
      </c>
      <c r="G137" s="695"/>
      <c r="H137" s="695">
        <f t="shared" si="0"/>
        <v>120400</v>
      </c>
      <c r="I137" s="159"/>
      <c r="J137" s="159"/>
      <c r="L137" s="159"/>
    </row>
    <row r="138" spans="1:12" s="160" customFormat="1" ht="21" customHeight="1">
      <c r="A138" s="207"/>
      <c r="B138" s="81"/>
      <c r="C138" s="82">
        <v>4170</v>
      </c>
      <c r="D138" s="688" t="s">
        <v>87</v>
      </c>
      <c r="E138" s="146">
        <v>12350</v>
      </c>
      <c r="F138" s="146">
        <v>600</v>
      </c>
      <c r="G138" s="146"/>
      <c r="H138" s="146">
        <f t="shared" si="0"/>
        <v>11750</v>
      </c>
      <c r="I138" s="159"/>
      <c r="J138" s="159"/>
      <c r="L138" s="159"/>
    </row>
    <row r="139" spans="1:12" s="160" customFormat="1" ht="29.25" customHeight="1">
      <c r="A139" s="207"/>
      <c r="B139" s="81"/>
      <c r="C139" s="66"/>
      <c r="D139" s="694" t="s">
        <v>186</v>
      </c>
      <c r="E139" s="695">
        <v>73500</v>
      </c>
      <c r="F139" s="695">
        <f>SUM(F140:F142)</f>
        <v>9340</v>
      </c>
      <c r="G139" s="695">
        <f>SUM(G140:G142)</f>
        <v>6000</v>
      </c>
      <c r="H139" s="695">
        <f t="shared" si="0"/>
        <v>70160</v>
      </c>
      <c r="I139" s="159"/>
      <c r="J139" s="159"/>
      <c r="L139" s="159"/>
    </row>
    <row r="140" spans="1:12" s="160" customFormat="1" ht="21" customHeight="1">
      <c r="A140" s="698"/>
      <c r="B140" s="82"/>
      <c r="C140" s="82">
        <v>4210</v>
      </c>
      <c r="D140" s="688" t="s">
        <v>75</v>
      </c>
      <c r="E140" s="146">
        <v>15200</v>
      </c>
      <c r="F140" s="146">
        <v>6000</v>
      </c>
      <c r="G140" s="146"/>
      <c r="H140" s="146">
        <f t="shared" si="0"/>
        <v>9200</v>
      </c>
      <c r="I140" s="159"/>
      <c r="J140" s="159"/>
      <c r="L140" s="159"/>
    </row>
    <row r="141" spans="1:12" s="160" customFormat="1" ht="21" customHeight="1">
      <c r="A141" s="207"/>
      <c r="B141" s="81"/>
      <c r="C141" s="82">
        <v>4300</v>
      </c>
      <c r="D141" s="688" t="s">
        <v>76</v>
      </c>
      <c r="E141" s="154">
        <v>14840</v>
      </c>
      <c r="F141" s="154">
        <f>3340</f>
        <v>3340</v>
      </c>
      <c r="G141" s="154"/>
      <c r="H141" s="154">
        <f t="shared" si="0"/>
        <v>11500</v>
      </c>
      <c r="I141" s="159"/>
      <c r="J141" s="159"/>
      <c r="L141" s="159"/>
    </row>
    <row r="142" spans="1:12" s="160" customFormat="1" ht="21" customHeight="1">
      <c r="A142" s="207"/>
      <c r="B142" s="81"/>
      <c r="C142" s="82">
        <v>6060</v>
      </c>
      <c r="D142" s="688" t="s">
        <v>114</v>
      </c>
      <c r="E142" s="146"/>
      <c r="F142" s="146"/>
      <c r="G142" s="146">
        <v>6000</v>
      </c>
      <c r="H142" s="146">
        <f t="shared" si="0"/>
        <v>6000</v>
      </c>
      <c r="I142" s="159"/>
      <c r="J142" s="159"/>
      <c r="L142" s="159"/>
    </row>
    <row r="143" spans="1:12" s="160" customFormat="1" ht="21" customHeight="1">
      <c r="A143" s="207"/>
      <c r="B143" s="81"/>
      <c r="C143" s="66"/>
      <c r="D143" s="694" t="s">
        <v>187</v>
      </c>
      <c r="E143" s="695">
        <v>45000</v>
      </c>
      <c r="F143" s="695"/>
      <c r="G143" s="695">
        <f>G144</f>
        <v>3940</v>
      </c>
      <c r="H143" s="695">
        <f t="shared" si="0"/>
        <v>48940</v>
      </c>
      <c r="I143" s="159"/>
      <c r="J143" s="159"/>
      <c r="L143" s="159"/>
    </row>
    <row r="144" spans="1:12" s="160" customFormat="1" ht="21" customHeight="1">
      <c r="A144" s="698"/>
      <c r="B144" s="82"/>
      <c r="C144" s="82">
        <v>4300</v>
      </c>
      <c r="D144" s="688" t="s">
        <v>76</v>
      </c>
      <c r="E144" s="146">
        <v>8450</v>
      </c>
      <c r="F144" s="146"/>
      <c r="G144" s="146">
        <v>3940</v>
      </c>
      <c r="H144" s="146">
        <f t="shared" si="0"/>
        <v>12390</v>
      </c>
      <c r="I144" s="159"/>
      <c r="J144" s="159"/>
      <c r="L144" s="159"/>
    </row>
    <row r="145" spans="1:12" ht="21" customHeight="1">
      <c r="A145" s="456">
        <v>852</v>
      </c>
      <c r="B145" s="73"/>
      <c r="C145" s="73"/>
      <c r="D145" s="92" t="s">
        <v>59</v>
      </c>
      <c r="E145" s="74">
        <v>93561955</v>
      </c>
      <c r="F145" s="75"/>
      <c r="G145" s="75">
        <f>G146+G150</f>
        <v>261171</v>
      </c>
      <c r="H145" s="75">
        <f t="shared" si="0"/>
        <v>93823126</v>
      </c>
      <c r="I145" s="47"/>
      <c r="J145" s="47"/>
      <c r="L145" s="47"/>
    </row>
    <row r="146" spans="1:12" s="130" customFormat="1" ht="21" customHeight="1">
      <c r="A146" s="76"/>
      <c r="B146" s="77">
        <v>85201</v>
      </c>
      <c r="C146" s="77"/>
      <c r="D146" s="334" t="s">
        <v>560</v>
      </c>
      <c r="E146" s="137">
        <v>10614300</v>
      </c>
      <c r="F146" s="137"/>
      <c r="G146" s="137">
        <f>G147</f>
        <v>260000</v>
      </c>
      <c r="H146" s="137">
        <f t="shared" si="0"/>
        <v>10874300</v>
      </c>
      <c r="I146" s="138"/>
      <c r="J146" s="138"/>
      <c r="L146" s="138"/>
    </row>
    <row r="147" spans="1:12" s="130" customFormat="1" ht="21" customHeight="1">
      <c r="A147" s="209"/>
      <c r="B147" s="210"/>
      <c r="C147" s="66"/>
      <c r="D147" s="499" t="s">
        <v>275</v>
      </c>
      <c r="E147" s="144">
        <v>980000</v>
      </c>
      <c r="F147" s="144"/>
      <c r="G147" s="144">
        <f>G149</f>
        <v>260000</v>
      </c>
      <c r="H147" s="144">
        <f t="shared" si="0"/>
        <v>1240000</v>
      </c>
      <c r="I147" s="138"/>
      <c r="J147" s="138"/>
      <c r="L147" s="138"/>
    </row>
    <row r="148" spans="1:12" s="158" customFormat="1" ht="21" customHeight="1">
      <c r="A148" s="208"/>
      <c r="B148" s="172"/>
      <c r="C148" s="81"/>
      <c r="D148" s="611" t="s">
        <v>297</v>
      </c>
      <c r="E148" s="487">
        <v>163000</v>
      </c>
      <c r="F148" s="487"/>
      <c r="G148" s="487">
        <v>260000</v>
      </c>
      <c r="H148" s="487">
        <f t="shared" si="0"/>
        <v>423000</v>
      </c>
      <c r="I148" s="157"/>
      <c r="J148" s="157"/>
      <c r="L148" s="157"/>
    </row>
    <row r="149" spans="1:12" s="158" customFormat="1" ht="21" customHeight="1">
      <c r="A149" s="208"/>
      <c r="B149" s="331"/>
      <c r="C149" s="82">
        <v>6050</v>
      </c>
      <c r="D149" s="83" t="s">
        <v>262</v>
      </c>
      <c r="E149" s="443">
        <v>963000</v>
      </c>
      <c r="F149" s="443"/>
      <c r="G149" s="443">
        <f>G148</f>
        <v>260000</v>
      </c>
      <c r="H149" s="443">
        <f t="shared" si="0"/>
        <v>1223000</v>
      </c>
      <c r="I149" s="157"/>
      <c r="J149" s="157"/>
      <c r="L149" s="157"/>
    </row>
    <row r="150" spans="1:12" s="130" customFormat="1" ht="21" customHeight="1">
      <c r="A150" s="76"/>
      <c r="B150" s="78">
        <v>85219</v>
      </c>
      <c r="C150" s="78"/>
      <c r="D150" s="78" t="s">
        <v>540</v>
      </c>
      <c r="E150" s="137">
        <v>13186960</v>
      </c>
      <c r="F150" s="137"/>
      <c r="G150" s="137">
        <f>G151</f>
        <v>1171</v>
      </c>
      <c r="H150" s="137">
        <f t="shared" si="0"/>
        <v>13188131</v>
      </c>
      <c r="I150" s="138"/>
      <c r="J150" s="138"/>
      <c r="L150" s="138"/>
    </row>
    <row r="151" spans="1:12" s="130" customFormat="1" ht="24.75" customHeight="1">
      <c r="A151" s="209"/>
      <c r="B151" s="210"/>
      <c r="C151" s="81"/>
      <c r="D151" s="690" t="s">
        <v>664</v>
      </c>
      <c r="E151" s="144">
        <v>47267</v>
      </c>
      <c r="F151" s="144"/>
      <c r="G151" s="144">
        <f>G152</f>
        <v>1171</v>
      </c>
      <c r="H151" s="144">
        <f t="shared" si="0"/>
        <v>48438</v>
      </c>
      <c r="I151" s="138"/>
      <c r="J151" s="138"/>
      <c r="L151" s="138"/>
    </row>
    <row r="152" spans="1:12" s="158" customFormat="1" ht="21" customHeight="1">
      <c r="A152" s="208"/>
      <c r="B152" s="172"/>
      <c r="C152" s="82">
        <v>4427</v>
      </c>
      <c r="D152" s="83" t="s">
        <v>127</v>
      </c>
      <c r="E152" s="156">
        <v>26610</v>
      </c>
      <c r="F152" s="156"/>
      <c r="G152" s="156">
        <v>1171</v>
      </c>
      <c r="H152" s="156">
        <f t="shared" si="0"/>
        <v>27781</v>
      </c>
      <c r="I152" s="157"/>
      <c r="J152" s="157"/>
      <c r="L152" s="157"/>
    </row>
    <row r="153" spans="1:12" ht="21" customHeight="1">
      <c r="A153" s="72">
        <v>853</v>
      </c>
      <c r="B153" s="89"/>
      <c r="C153" s="73"/>
      <c r="D153" s="92" t="s">
        <v>104</v>
      </c>
      <c r="E153" s="74">
        <v>9751267</v>
      </c>
      <c r="F153" s="75">
        <f>F154</f>
        <v>9100</v>
      </c>
      <c r="G153" s="75">
        <f>G154</f>
        <v>9100</v>
      </c>
      <c r="H153" s="75">
        <f t="shared" si="0"/>
        <v>9751267</v>
      </c>
      <c r="I153" s="47"/>
      <c r="J153" s="47"/>
      <c r="L153" s="47"/>
    </row>
    <row r="154" spans="1:12" s="130" customFormat="1" ht="21" customHeight="1">
      <c r="A154" s="76"/>
      <c r="B154" s="77">
        <v>85333</v>
      </c>
      <c r="C154" s="77"/>
      <c r="D154" s="77" t="s">
        <v>3</v>
      </c>
      <c r="E154" s="137">
        <v>4376467</v>
      </c>
      <c r="F154" s="137">
        <f>F155+F157</f>
        <v>9100</v>
      </c>
      <c r="G154" s="137">
        <f>G155+G157</f>
        <v>9100</v>
      </c>
      <c r="H154" s="137">
        <f t="shared" si="0"/>
        <v>4376467</v>
      </c>
      <c r="I154" s="138"/>
      <c r="J154" s="138"/>
      <c r="L154" s="138"/>
    </row>
    <row r="155" spans="1:12" s="130" customFormat="1" ht="21" customHeight="1">
      <c r="A155" s="209"/>
      <c r="B155" s="210"/>
      <c r="C155" s="210"/>
      <c r="D155" s="211" t="s">
        <v>266</v>
      </c>
      <c r="E155" s="144">
        <v>2733000</v>
      </c>
      <c r="F155" s="144"/>
      <c r="G155" s="144">
        <f>G156</f>
        <v>9100</v>
      </c>
      <c r="H155" s="144">
        <f t="shared" si="0"/>
        <v>2742100</v>
      </c>
      <c r="I155" s="138"/>
      <c r="J155" s="138"/>
      <c r="L155" s="138"/>
    </row>
    <row r="156" spans="1:12" s="158" customFormat="1" ht="21" customHeight="1">
      <c r="A156" s="208"/>
      <c r="B156" s="172"/>
      <c r="C156" s="172">
        <v>4170</v>
      </c>
      <c r="D156" s="222" t="s">
        <v>87</v>
      </c>
      <c r="E156" s="156">
        <v>13200</v>
      </c>
      <c r="F156" s="156"/>
      <c r="G156" s="156">
        <v>9100</v>
      </c>
      <c r="H156" s="156">
        <f t="shared" si="0"/>
        <v>22300</v>
      </c>
      <c r="I156" s="157"/>
      <c r="J156" s="157"/>
      <c r="L156" s="157"/>
    </row>
    <row r="157" spans="1:12" s="130" customFormat="1" ht="21" customHeight="1">
      <c r="A157" s="209"/>
      <c r="B157" s="220"/>
      <c r="C157" s="210"/>
      <c r="D157" s="211" t="s">
        <v>79</v>
      </c>
      <c r="E157" s="144">
        <v>541000</v>
      </c>
      <c r="F157" s="144">
        <f>F158</f>
        <v>9100</v>
      </c>
      <c r="G157" s="144"/>
      <c r="H157" s="144">
        <f t="shared" si="0"/>
        <v>531900</v>
      </c>
      <c r="I157" s="138"/>
      <c r="J157" s="138"/>
      <c r="L157" s="138"/>
    </row>
    <row r="158" spans="1:12" s="158" customFormat="1" ht="21" customHeight="1">
      <c r="A158" s="208"/>
      <c r="B158" s="172"/>
      <c r="C158" s="331">
        <v>4300</v>
      </c>
      <c r="D158" s="332" t="s">
        <v>76</v>
      </c>
      <c r="E158" s="156">
        <v>193441</v>
      </c>
      <c r="F158" s="156">
        <v>9100</v>
      </c>
      <c r="G158" s="156"/>
      <c r="H158" s="156">
        <f t="shared" si="0"/>
        <v>184341</v>
      </c>
      <c r="I158" s="157"/>
      <c r="J158" s="157"/>
      <c r="L158" s="157"/>
    </row>
    <row r="159" spans="1:12" ht="21" customHeight="1">
      <c r="A159" s="72">
        <v>854</v>
      </c>
      <c r="B159" s="89"/>
      <c r="C159" s="73"/>
      <c r="D159" s="92" t="s">
        <v>60</v>
      </c>
      <c r="E159" s="74">
        <v>42815104</v>
      </c>
      <c r="F159" s="75">
        <f>F166+F177+F191+F195+F185+F160</f>
        <v>158843</v>
      </c>
      <c r="G159" s="75">
        <f>G166+G177+G191+G195+G185+G160</f>
        <v>927932</v>
      </c>
      <c r="H159" s="75">
        <f t="shared" si="0"/>
        <v>43584193</v>
      </c>
      <c r="I159" s="47"/>
      <c r="J159" s="47"/>
      <c r="L159" s="47"/>
    </row>
    <row r="160" spans="1:12" s="95" customFormat="1" ht="18.75" customHeight="1">
      <c r="A160" s="76"/>
      <c r="B160" s="78">
        <v>85403</v>
      </c>
      <c r="C160" s="78"/>
      <c r="D160" s="78" t="s">
        <v>553</v>
      </c>
      <c r="E160" s="756">
        <v>10802676</v>
      </c>
      <c r="F160" s="675">
        <f>F163+F161</f>
        <v>943</v>
      </c>
      <c r="G160" s="675">
        <f>G163+G161</f>
        <v>943</v>
      </c>
      <c r="H160" s="137">
        <f t="shared" si="0"/>
        <v>10802676</v>
      </c>
      <c r="I160" s="138"/>
      <c r="J160" s="138"/>
      <c r="L160" s="94"/>
    </row>
    <row r="161" spans="1:12" s="95" customFormat="1" ht="18.75" customHeight="1">
      <c r="A161" s="80"/>
      <c r="B161" s="499"/>
      <c r="C161" s="499"/>
      <c r="D161" s="691" t="s">
        <v>79</v>
      </c>
      <c r="E161" s="143">
        <v>1277191</v>
      </c>
      <c r="F161" s="757"/>
      <c r="G161" s="757">
        <f>G162</f>
        <v>943</v>
      </c>
      <c r="H161" s="757">
        <f>E161+G161-F161</f>
        <v>1278134</v>
      </c>
      <c r="I161" s="138"/>
      <c r="J161" s="138"/>
      <c r="L161" s="94"/>
    </row>
    <row r="162" spans="1:12" s="754" customFormat="1" ht="18.75" customHeight="1">
      <c r="A162" s="208"/>
      <c r="B162" s="172"/>
      <c r="C162" s="328">
        <v>4270</v>
      </c>
      <c r="D162" s="330" t="s">
        <v>170</v>
      </c>
      <c r="E162" s="443">
        <v>150000</v>
      </c>
      <c r="F162" s="333"/>
      <c r="G162" s="333">
        <v>943</v>
      </c>
      <c r="H162" s="333">
        <f>E162+G162-F162</f>
        <v>150943</v>
      </c>
      <c r="I162" s="157"/>
      <c r="J162" s="157"/>
      <c r="L162" s="755"/>
    </row>
    <row r="163" spans="1:12" s="130" customFormat="1" ht="21" customHeight="1">
      <c r="A163" s="80"/>
      <c r="B163" s="66"/>
      <c r="C163" s="66"/>
      <c r="D163" s="765" t="s">
        <v>275</v>
      </c>
      <c r="E163" s="143">
        <v>100000</v>
      </c>
      <c r="F163" s="143">
        <f>F164</f>
        <v>943</v>
      </c>
      <c r="G163" s="143"/>
      <c r="H163" s="143">
        <f>E163+G163-F163</f>
        <v>99057</v>
      </c>
      <c r="I163" s="138"/>
      <c r="J163" s="138"/>
      <c r="L163" s="138"/>
    </row>
    <row r="164" spans="1:12" s="158" customFormat="1" ht="21" customHeight="1">
      <c r="A164" s="208"/>
      <c r="B164" s="172"/>
      <c r="C164" s="172"/>
      <c r="D164" s="738" t="s">
        <v>665</v>
      </c>
      <c r="E164" s="487">
        <v>100000</v>
      </c>
      <c r="F164" s="487">
        <v>943</v>
      </c>
      <c r="G164" s="487"/>
      <c r="H164" s="487">
        <f>E164+G164-F164</f>
        <v>99057</v>
      </c>
      <c r="I164" s="157"/>
      <c r="J164" s="157"/>
      <c r="L164" s="157"/>
    </row>
    <row r="165" spans="1:12" s="160" customFormat="1" ht="21" customHeight="1">
      <c r="A165" s="207"/>
      <c r="B165" s="82"/>
      <c r="C165" s="82">
        <v>6050</v>
      </c>
      <c r="D165" s="682" t="s">
        <v>262</v>
      </c>
      <c r="E165" s="154">
        <v>100000</v>
      </c>
      <c r="F165" s="154">
        <f>F164</f>
        <v>943</v>
      </c>
      <c r="G165" s="154"/>
      <c r="H165" s="154">
        <f>E165+G165-F165</f>
        <v>99057</v>
      </c>
      <c r="I165" s="159"/>
      <c r="J165" s="159"/>
      <c r="L165" s="159"/>
    </row>
    <row r="166" spans="1:12" s="95" customFormat="1" ht="27.75" customHeight="1">
      <c r="A166" s="76"/>
      <c r="B166" s="77">
        <v>85406</v>
      </c>
      <c r="C166" s="77"/>
      <c r="D166" s="334" t="s">
        <v>126</v>
      </c>
      <c r="E166" s="137">
        <v>6133342</v>
      </c>
      <c r="F166" s="79">
        <f>F167+F172+F174</f>
        <v>23800</v>
      </c>
      <c r="G166" s="79">
        <f>G167+G172+G174</f>
        <v>23800</v>
      </c>
      <c r="H166" s="79">
        <f t="shared" si="0"/>
        <v>6133342</v>
      </c>
      <c r="I166" s="138"/>
      <c r="J166" s="138"/>
      <c r="L166" s="94"/>
    </row>
    <row r="167" spans="1:12" s="752" customFormat="1" ht="18.75" customHeight="1">
      <c r="A167" s="209"/>
      <c r="B167" s="210"/>
      <c r="C167" s="210"/>
      <c r="D167" s="211" t="s">
        <v>79</v>
      </c>
      <c r="E167" s="751">
        <v>584400</v>
      </c>
      <c r="F167" s="212">
        <f>SUM(F168:F171)</f>
        <v>8000</v>
      </c>
      <c r="G167" s="212">
        <f>SUM(G168:G171)</f>
        <v>19800</v>
      </c>
      <c r="H167" s="212">
        <f>E167+G167-F167</f>
        <v>596200</v>
      </c>
      <c r="I167" s="213"/>
      <c r="J167" s="213"/>
      <c r="L167" s="753"/>
    </row>
    <row r="168" spans="1:12" s="754" customFormat="1" ht="18.75" customHeight="1">
      <c r="A168" s="235"/>
      <c r="B168" s="331"/>
      <c r="C168" s="331">
        <v>4210</v>
      </c>
      <c r="D168" s="332" t="s">
        <v>75</v>
      </c>
      <c r="E168" s="443">
        <v>48190</v>
      </c>
      <c r="F168" s="333"/>
      <c r="G168" s="333">
        <v>11000</v>
      </c>
      <c r="H168" s="333">
        <f>E168+G168-F168</f>
        <v>59190</v>
      </c>
      <c r="I168" s="157"/>
      <c r="J168" s="157"/>
      <c r="L168" s="755"/>
    </row>
    <row r="169" spans="1:12" s="158" customFormat="1" ht="21" customHeight="1">
      <c r="A169" s="208"/>
      <c r="B169" s="172"/>
      <c r="C169" s="328">
        <v>4260</v>
      </c>
      <c r="D169" s="330" t="s">
        <v>167</v>
      </c>
      <c r="E169" s="443">
        <v>101500</v>
      </c>
      <c r="F169" s="443">
        <f>10000-2000</f>
        <v>8000</v>
      </c>
      <c r="G169" s="443"/>
      <c r="H169" s="443">
        <f>E169+G169-F169</f>
        <v>93500</v>
      </c>
      <c r="I169" s="157"/>
      <c r="J169" s="157"/>
      <c r="L169" s="157"/>
    </row>
    <row r="170" spans="1:12" s="158" customFormat="1" ht="21" customHeight="1">
      <c r="A170" s="208"/>
      <c r="B170" s="172"/>
      <c r="C170" s="328">
        <v>4300</v>
      </c>
      <c r="D170" s="330" t="s">
        <v>76</v>
      </c>
      <c r="E170" s="443">
        <v>120070</v>
      </c>
      <c r="F170" s="443"/>
      <c r="G170" s="443">
        <v>8000</v>
      </c>
      <c r="H170" s="443">
        <f>E170+G170-F170</f>
        <v>128070</v>
      </c>
      <c r="I170" s="157"/>
      <c r="J170" s="157"/>
      <c r="L170" s="157"/>
    </row>
    <row r="171" spans="1:12" s="158" customFormat="1" ht="21" customHeight="1">
      <c r="A171" s="208"/>
      <c r="B171" s="172"/>
      <c r="C171" s="328">
        <v>4430</v>
      </c>
      <c r="D171" s="330" t="s">
        <v>169</v>
      </c>
      <c r="E171" s="443">
        <v>3500</v>
      </c>
      <c r="F171" s="443"/>
      <c r="G171" s="443">
        <v>800</v>
      </c>
      <c r="H171" s="443">
        <f>E171+G171-F171</f>
        <v>4300</v>
      </c>
      <c r="I171" s="157"/>
      <c r="J171" s="157"/>
      <c r="L171" s="157"/>
    </row>
    <row r="172" spans="1:12" s="95" customFormat="1" ht="18.75" customHeight="1">
      <c r="A172" s="80"/>
      <c r="B172" s="66"/>
      <c r="C172" s="499"/>
      <c r="D172" s="691" t="s">
        <v>105</v>
      </c>
      <c r="E172" s="143">
        <v>851642</v>
      </c>
      <c r="F172" s="757">
        <f>F173</f>
        <v>15800</v>
      </c>
      <c r="G172" s="757"/>
      <c r="H172" s="757">
        <f t="shared" si="0"/>
        <v>835842</v>
      </c>
      <c r="I172" s="138"/>
      <c r="J172" s="138"/>
      <c r="L172" s="94"/>
    </row>
    <row r="173" spans="1:12" s="758" customFormat="1" ht="18.75" customHeight="1">
      <c r="A173" s="207"/>
      <c r="B173" s="81"/>
      <c r="C173" s="82">
        <v>4110</v>
      </c>
      <c r="D173" s="688" t="s">
        <v>163</v>
      </c>
      <c r="E173" s="154">
        <v>751442</v>
      </c>
      <c r="F173" s="730">
        <v>15800</v>
      </c>
      <c r="G173" s="730"/>
      <c r="H173" s="730">
        <f t="shared" si="0"/>
        <v>735642</v>
      </c>
      <c r="I173" s="159"/>
      <c r="J173" s="159"/>
      <c r="L173" s="759"/>
    </row>
    <row r="174" spans="1:12" s="130" customFormat="1" ht="21" customHeight="1">
      <c r="A174" s="80"/>
      <c r="B174" s="66"/>
      <c r="C174" s="66"/>
      <c r="D174" s="765" t="s">
        <v>275</v>
      </c>
      <c r="E174" s="143"/>
      <c r="F174" s="143"/>
      <c r="G174" s="143">
        <f>G176</f>
        <v>4000</v>
      </c>
      <c r="H174" s="143">
        <f t="shared" si="0"/>
        <v>4000</v>
      </c>
      <c r="I174" s="138"/>
      <c r="J174" s="138"/>
      <c r="L174" s="138"/>
    </row>
    <row r="175" spans="1:12" s="158" customFormat="1" ht="21" customHeight="1">
      <c r="A175" s="208"/>
      <c r="B175" s="172"/>
      <c r="C175" s="172"/>
      <c r="D175" s="738" t="s">
        <v>517</v>
      </c>
      <c r="E175" s="487"/>
      <c r="F175" s="487"/>
      <c r="G175" s="487">
        <v>4000</v>
      </c>
      <c r="H175" s="487">
        <f t="shared" si="0"/>
        <v>4000</v>
      </c>
      <c r="I175" s="157"/>
      <c r="J175" s="157"/>
      <c r="L175" s="157"/>
    </row>
    <row r="176" spans="1:12" s="160" customFormat="1" ht="21" customHeight="1">
      <c r="A176" s="207"/>
      <c r="B176" s="82"/>
      <c r="C176" s="82">
        <v>6060</v>
      </c>
      <c r="D176" s="682" t="s">
        <v>114</v>
      </c>
      <c r="E176" s="154"/>
      <c r="F176" s="154"/>
      <c r="G176" s="154">
        <f>G175</f>
        <v>4000</v>
      </c>
      <c r="H176" s="154">
        <f t="shared" si="0"/>
        <v>4000</v>
      </c>
      <c r="I176" s="159"/>
      <c r="J176" s="159"/>
      <c r="L176" s="159"/>
    </row>
    <row r="177" spans="1:12" s="95" customFormat="1" ht="18.75" customHeight="1">
      <c r="A177" s="76"/>
      <c r="B177" s="78">
        <v>85410</v>
      </c>
      <c r="C177" s="78"/>
      <c r="D177" s="78" t="s">
        <v>438</v>
      </c>
      <c r="E177" s="756">
        <v>7351200</v>
      </c>
      <c r="F177" s="675">
        <f>F178+F182</f>
        <v>117000</v>
      </c>
      <c r="G177" s="675">
        <f>G178+G182</f>
        <v>117000</v>
      </c>
      <c r="H177" s="675">
        <f t="shared" si="0"/>
        <v>7351200</v>
      </c>
      <c r="I177" s="138"/>
      <c r="J177" s="138"/>
      <c r="L177" s="94"/>
    </row>
    <row r="178" spans="1:12" s="95" customFormat="1" ht="18.75" customHeight="1">
      <c r="A178" s="80"/>
      <c r="B178" s="499"/>
      <c r="C178" s="499"/>
      <c r="D178" s="691" t="s">
        <v>79</v>
      </c>
      <c r="E178" s="143">
        <v>1600500</v>
      </c>
      <c r="F178" s="757">
        <f>SUM(F179:F181)</f>
        <v>117000</v>
      </c>
      <c r="G178" s="757">
        <f>SUM(G179:G181)</f>
        <v>7000</v>
      </c>
      <c r="H178" s="757">
        <f t="shared" si="0"/>
        <v>1490500</v>
      </c>
      <c r="I178" s="138"/>
      <c r="J178" s="138"/>
      <c r="L178" s="94"/>
    </row>
    <row r="179" spans="1:12" s="754" customFormat="1" ht="18.75" customHeight="1">
      <c r="A179" s="208"/>
      <c r="B179" s="172"/>
      <c r="C179" s="331">
        <v>4210</v>
      </c>
      <c r="D179" s="332" t="s">
        <v>75</v>
      </c>
      <c r="E179" s="443">
        <v>239480</v>
      </c>
      <c r="F179" s="333"/>
      <c r="G179" s="333">
        <v>7000</v>
      </c>
      <c r="H179" s="333">
        <f t="shared" si="0"/>
        <v>246480</v>
      </c>
      <c r="I179" s="157"/>
      <c r="J179" s="157"/>
      <c r="L179" s="755"/>
    </row>
    <row r="180" spans="1:12" s="754" customFormat="1" ht="18.75" customHeight="1">
      <c r="A180" s="208"/>
      <c r="B180" s="172"/>
      <c r="C180" s="331">
        <v>4270</v>
      </c>
      <c r="D180" s="332" t="s">
        <v>170</v>
      </c>
      <c r="E180" s="443">
        <v>200000</v>
      </c>
      <c r="F180" s="333">
        <v>110000</v>
      </c>
      <c r="G180" s="333"/>
      <c r="H180" s="333">
        <f>G180+E180-F180</f>
        <v>90000</v>
      </c>
      <c r="I180" s="157"/>
      <c r="J180" s="157"/>
      <c r="L180" s="755"/>
    </row>
    <row r="181" spans="1:12" s="158" customFormat="1" ht="18.75" customHeight="1">
      <c r="A181" s="208"/>
      <c r="B181" s="172"/>
      <c r="C181" s="328">
        <v>4260</v>
      </c>
      <c r="D181" s="330" t="s">
        <v>167</v>
      </c>
      <c r="E181" s="443">
        <v>756750</v>
      </c>
      <c r="F181" s="443">
        <f>17000-10000</f>
        <v>7000</v>
      </c>
      <c r="G181" s="443"/>
      <c r="H181" s="443">
        <f t="shared" si="0"/>
        <v>749750</v>
      </c>
      <c r="I181" s="157"/>
      <c r="J181" s="157"/>
      <c r="L181" s="157"/>
    </row>
    <row r="182" spans="1:12" s="158" customFormat="1" ht="18.75" customHeight="1">
      <c r="A182" s="80"/>
      <c r="B182" s="66"/>
      <c r="C182" s="66"/>
      <c r="D182" s="765" t="s">
        <v>633</v>
      </c>
      <c r="E182" s="143"/>
      <c r="F182" s="143"/>
      <c r="G182" s="143">
        <f>G184</f>
        <v>110000</v>
      </c>
      <c r="H182" s="143">
        <f>E182+G182-F182</f>
        <v>110000</v>
      </c>
      <c r="I182" s="157"/>
      <c r="J182" s="157"/>
      <c r="L182" s="157"/>
    </row>
    <row r="183" spans="1:12" s="158" customFormat="1" ht="18.75" customHeight="1">
      <c r="A183" s="208"/>
      <c r="B183" s="172"/>
      <c r="C183" s="172"/>
      <c r="D183" s="738" t="s">
        <v>666</v>
      </c>
      <c r="E183" s="487"/>
      <c r="F183" s="487"/>
      <c r="G183" s="487">
        <v>110000</v>
      </c>
      <c r="H183" s="487">
        <f>E183+G183-F183</f>
        <v>110000</v>
      </c>
      <c r="I183" s="157"/>
      <c r="J183" s="157"/>
      <c r="L183" s="157"/>
    </row>
    <row r="184" spans="1:12" s="158" customFormat="1" ht="18.75" customHeight="1">
      <c r="A184" s="207"/>
      <c r="B184" s="82"/>
      <c r="C184" s="82">
        <v>6050</v>
      </c>
      <c r="D184" s="682" t="s">
        <v>262</v>
      </c>
      <c r="E184" s="154"/>
      <c r="F184" s="154"/>
      <c r="G184" s="154">
        <v>110000</v>
      </c>
      <c r="H184" s="154">
        <f>E184+G184-F184</f>
        <v>110000</v>
      </c>
      <c r="I184" s="157"/>
      <c r="J184" s="157"/>
      <c r="L184" s="157"/>
    </row>
    <row r="185" spans="1:12" s="834" customFormat="1" ht="27" customHeight="1">
      <c r="A185" s="830"/>
      <c r="B185" s="454">
        <v>85412</v>
      </c>
      <c r="C185" s="454"/>
      <c r="D185" s="454" t="s">
        <v>17</v>
      </c>
      <c r="E185" s="831">
        <v>150000</v>
      </c>
      <c r="F185" s="832">
        <f>F186</f>
        <v>1200</v>
      </c>
      <c r="G185" s="832">
        <f>G186</f>
        <v>1200</v>
      </c>
      <c r="H185" s="832">
        <f t="shared" si="0"/>
        <v>150000</v>
      </c>
      <c r="I185" s="833"/>
      <c r="J185" s="833"/>
      <c r="L185" s="835"/>
    </row>
    <row r="186" spans="1:12" s="834" customFormat="1" ht="24" customHeight="1">
      <c r="A186" s="836"/>
      <c r="B186" s="837"/>
      <c r="C186" s="837"/>
      <c r="D186" s="837" t="s">
        <v>592</v>
      </c>
      <c r="E186" s="841">
        <v>150000</v>
      </c>
      <c r="F186" s="842">
        <f>F187+F189</f>
        <v>1200</v>
      </c>
      <c r="G186" s="842">
        <f>G187+G189</f>
        <v>1200</v>
      </c>
      <c r="H186" s="842">
        <f t="shared" si="0"/>
        <v>150000</v>
      </c>
      <c r="I186" s="833"/>
      <c r="J186" s="833"/>
      <c r="L186" s="835"/>
    </row>
    <row r="187" spans="1:12" s="839" customFormat="1" ht="18.75" customHeight="1">
      <c r="A187" s="744"/>
      <c r="B187" s="743"/>
      <c r="C187" s="743"/>
      <c r="D187" s="843" t="s">
        <v>18</v>
      </c>
      <c r="E187" s="844">
        <v>15000</v>
      </c>
      <c r="F187" s="845">
        <f>F188</f>
        <v>1200</v>
      </c>
      <c r="G187" s="845"/>
      <c r="H187" s="845">
        <f t="shared" si="0"/>
        <v>13800</v>
      </c>
      <c r="I187" s="838"/>
      <c r="J187" s="838"/>
      <c r="L187" s="840"/>
    </row>
    <row r="188" spans="1:12" s="758" customFormat="1" ht="18.75" customHeight="1">
      <c r="A188" s="207"/>
      <c r="B188" s="216"/>
      <c r="C188" s="82">
        <v>4300</v>
      </c>
      <c r="D188" s="682" t="s">
        <v>76</v>
      </c>
      <c r="E188" s="146">
        <v>15000</v>
      </c>
      <c r="F188" s="764">
        <v>1200</v>
      </c>
      <c r="G188" s="764"/>
      <c r="H188" s="764">
        <f t="shared" si="0"/>
        <v>13800</v>
      </c>
      <c r="I188" s="159"/>
      <c r="J188" s="159"/>
      <c r="L188" s="759"/>
    </row>
    <row r="189" spans="1:12" s="839" customFormat="1" ht="18.75" customHeight="1">
      <c r="A189" s="744"/>
      <c r="B189" s="743"/>
      <c r="C189" s="743"/>
      <c r="D189" s="1174" t="s">
        <v>20</v>
      </c>
      <c r="E189" s="844">
        <v>100000</v>
      </c>
      <c r="F189" s="845"/>
      <c r="G189" s="845">
        <f>G190</f>
        <v>1200</v>
      </c>
      <c r="H189" s="845">
        <f t="shared" si="0"/>
        <v>101200</v>
      </c>
      <c r="I189" s="838"/>
      <c r="J189" s="838"/>
      <c r="L189" s="840"/>
    </row>
    <row r="190" spans="1:12" s="758" customFormat="1" ht="18.75" customHeight="1">
      <c r="A190" s="207"/>
      <c r="B190" s="216"/>
      <c r="C190" s="82">
        <v>4300</v>
      </c>
      <c r="D190" s="682" t="s">
        <v>76</v>
      </c>
      <c r="E190" s="146">
        <v>30000</v>
      </c>
      <c r="F190" s="764"/>
      <c r="G190" s="764">
        <v>1200</v>
      </c>
      <c r="H190" s="764">
        <f t="shared" si="0"/>
        <v>31200</v>
      </c>
      <c r="I190" s="159"/>
      <c r="J190" s="159"/>
      <c r="L190" s="759"/>
    </row>
    <row r="191" spans="1:12" s="130" customFormat="1" ht="18.75" customHeight="1">
      <c r="A191" s="76"/>
      <c r="B191" s="77">
        <v>85415</v>
      </c>
      <c r="C191" s="77"/>
      <c r="D191" s="77" t="s">
        <v>407</v>
      </c>
      <c r="E191" s="137">
        <v>848428</v>
      </c>
      <c r="F191" s="137"/>
      <c r="G191" s="137">
        <f>G192</f>
        <v>769089</v>
      </c>
      <c r="H191" s="137">
        <f t="shared" si="0"/>
        <v>1617517</v>
      </c>
      <c r="I191" s="138"/>
      <c r="J191" s="138"/>
      <c r="L191" s="138"/>
    </row>
    <row r="192" spans="1:12" s="130" customFormat="1" ht="27" customHeight="1">
      <c r="A192" s="80"/>
      <c r="B192" s="499"/>
      <c r="C192" s="499"/>
      <c r="D192" s="690" t="s">
        <v>302</v>
      </c>
      <c r="E192" s="144">
        <v>294428</v>
      </c>
      <c r="F192" s="144"/>
      <c r="G192" s="144">
        <f>SUM(G193:G194)</f>
        <v>769089</v>
      </c>
      <c r="H192" s="144">
        <f t="shared" si="0"/>
        <v>1063517</v>
      </c>
      <c r="I192" s="138"/>
      <c r="J192" s="138"/>
      <c r="L192" s="138"/>
    </row>
    <row r="193" spans="1:12" s="160" customFormat="1" ht="18.75" customHeight="1">
      <c r="A193" s="207"/>
      <c r="B193" s="81"/>
      <c r="C193" s="82">
        <v>3240</v>
      </c>
      <c r="D193" s="688" t="s">
        <v>303</v>
      </c>
      <c r="E193" s="146">
        <v>278580</v>
      </c>
      <c r="F193" s="146"/>
      <c r="G193" s="146">
        <v>765673</v>
      </c>
      <c r="H193" s="146">
        <f t="shared" si="0"/>
        <v>1044253</v>
      </c>
      <c r="I193" s="159"/>
      <c r="J193" s="159"/>
      <c r="L193" s="159"/>
    </row>
    <row r="194" spans="1:12" s="160" customFormat="1" ht="18.75" customHeight="1">
      <c r="A194" s="207"/>
      <c r="B194" s="81"/>
      <c r="C194" s="82">
        <v>3260</v>
      </c>
      <c r="D194" s="688" t="s">
        <v>304</v>
      </c>
      <c r="E194" s="154">
        <v>15848</v>
      </c>
      <c r="F194" s="154"/>
      <c r="G194" s="154">
        <v>3416</v>
      </c>
      <c r="H194" s="154">
        <f t="shared" si="0"/>
        <v>19264</v>
      </c>
      <c r="I194" s="159"/>
      <c r="J194" s="159"/>
      <c r="L194" s="159"/>
    </row>
    <row r="195" spans="1:12" s="95" customFormat="1" ht="18.75" customHeight="1">
      <c r="A195" s="76"/>
      <c r="B195" s="77">
        <v>85495</v>
      </c>
      <c r="C195" s="77"/>
      <c r="D195" s="77" t="s">
        <v>57</v>
      </c>
      <c r="E195" s="137">
        <v>6566458</v>
      </c>
      <c r="F195" s="79">
        <f>F196</f>
        <v>15900</v>
      </c>
      <c r="G195" s="79">
        <f>G196</f>
        <v>15900</v>
      </c>
      <c r="H195" s="79">
        <f aca="true" t="shared" si="3" ref="H195:H202">E195+G195-F195</f>
        <v>6566458</v>
      </c>
      <c r="I195" s="138"/>
      <c r="J195" s="138"/>
      <c r="L195" s="94"/>
    </row>
    <row r="196" spans="1:12" s="95" customFormat="1" ht="18.75" customHeight="1">
      <c r="A196" s="80"/>
      <c r="B196" s="499"/>
      <c r="C196" s="499"/>
      <c r="D196" s="499" t="s">
        <v>570</v>
      </c>
      <c r="E196" s="144">
        <v>6352800</v>
      </c>
      <c r="F196" s="762">
        <f>F197+F201</f>
        <v>15900</v>
      </c>
      <c r="G196" s="762">
        <f>G197+G201</f>
        <v>15900</v>
      </c>
      <c r="H196" s="762">
        <f t="shared" si="3"/>
        <v>6352800</v>
      </c>
      <c r="I196" s="138"/>
      <c r="J196" s="138"/>
      <c r="L196" s="94"/>
    </row>
    <row r="197" spans="1:12" s="95" customFormat="1" ht="18.75" customHeight="1">
      <c r="A197" s="80"/>
      <c r="B197" s="66"/>
      <c r="C197" s="66"/>
      <c r="D197" s="771" t="s">
        <v>79</v>
      </c>
      <c r="E197" s="772">
        <v>1408400</v>
      </c>
      <c r="F197" s="773">
        <f>SUM(F198:F200)</f>
        <v>7900</v>
      </c>
      <c r="G197" s="773">
        <f>SUM(G198:G200)</f>
        <v>15900</v>
      </c>
      <c r="H197" s="773">
        <f t="shared" si="3"/>
        <v>1416400</v>
      </c>
      <c r="I197" s="138"/>
      <c r="J197" s="138"/>
      <c r="L197" s="94"/>
    </row>
    <row r="198" spans="1:12" s="754" customFormat="1" ht="18.75" customHeight="1">
      <c r="A198" s="235"/>
      <c r="B198" s="331"/>
      <c r="C198" s="331">
        <v>4210</v>
      </c>
      <c r="D198" s="332" t="s">
        <v>75</v>
      </c>
      <c r="E198" s="443">
        <v>158722</v>
      </c>
      <c r="F198" s="333"/>
      <c r="G198" s="333">
        <v>5900</v>
      </c>
      <c r="H198" s="333">
        <f t="shared" si="3"/>
        <v>164622</v>
      </c>
      <c r="I198" s="157"/>
      <c r="J198" s="157"/>
      <c r="L198" s="755"/>
    </row>
    <row r="199" spans="1:12" s="95" customFormat="1" ht="18.75" customHeight="1">
      <c r="A199" s="80"/>
      <c r="B199" s="66"/>
      <c r="C199" s="82">
        <v>4220</v>
      </c>
      <c r="D199" s="688" t="s">
        <v>182</v>
      </c>
      <c r="E199" s="146">
        <v>576300</v>
      </c>
      <c r="F199" s="764">
        <v>7900</v>
      </c>
      <c r="G199" s="764"/>
      <c r="H199" s="764">
        <f t="shared" si="3"/>
        <v>568400</v>
      </c>
      <c r="I199" s="138"/>
      <c r="J199" s="138"/>
      <c r="L199" s="94"/>
    </row>
    <row r="200" spans="1:12" s="758" customFormat="1" ht="18.75" customHeight="1">
      <c r="A200" s="207"/>
      <c r="B200" s="81"/>
      <c r="C200" s="81">
        <v>4260</v>
      </c>
      <c r="D200" s="760" t="s">
        <v>167</v>
      </c>
      <c r="E200" s="742">
        <v>338950</v>
      </c>
      <c r="F200" s="761"/>
      <c r="G200" s="761">
        <v>10000</v>
      </c>
      <c r="H200" s="761">
        <f t="shared" si="3"/>
        <v>348950</v>
      </c>
      <c r="I200" s="159"/>
      <c r="J200" s="159"/>
      <c r="L200" s="759"/>
    </row>
    <row r="201" spans="1:12" s="95" customFormat="1" ht="18.75" customHeight="1">
      <c r="A201" s="80"/>
      <c r="B201" s="66"/>
      <c r="C201" s="499"/>
      <c r="D201" s="691" t="s">
        <v>105</v>
      </c>
      <c r="E201" s="143">
        <v>804300</v>
      </c>
      <c r="F201" s="757">
        <f>F202</f>
        <v>8000</v>
      </c>
      <c r="G201" s="757"/>
      <c r="H201" s="757">
        <f t="shared" si="3"/>
        <v>796300</v>
      </c>
      <c r="I201" s="138"/>
      <c r="J201" s="138"/>
      <c r="L201" s="94"/>
    </row>
    <row r="202" spans="1:12" s="758" customFormat="1" ht="18.75" customHeight="1">
      <c r="A202" s="207"/>
      <c r="B202" s="82"/>
      <c r="C202" s="82">
        <v>4110</v>
      </c>
      <c r="D202" s="688" t="s">
        <v>163</v>
      </c>
      <c r="E202" s="154">
        <v>708870</v>
      </c>
      <c r="F202" s="730">
        <v>8000</v>
      </c>
      <c r="G202" s="730"/>
      <c r="H202" s="730">
        <f t="shared" si="3"/>
        <v>700870</v>
      </c>
      <c r="I202" s="159"/>
      <c r="J202" s="159"/>
      <c r="L202" s="759"/>
    </row>
    <row r="203" spans="1:12" ht="21" customHeight="1">
      <c r="A203" s="72">
        <v>921</v>
      </c>
      <c r="B203" s="89"/>
      <c r="C203" s="73"/>
      <c r="D203" s="92" t="s">
        <v>531</v>
      </c>
      <c r="E203" s="74">
        <v>14980586</v>
      </c>
      <c r="F203" s="75">
        <f>F204</f>
        <v>1200</v>
      </c>
      <c r="G203" s="75">
        <f>G204</f>
        <v>1200</v>
      </c>
      <c r="H203" s="75">
        <f t="shared" si="0"/>
        <v>14980586</v>
      </c>
      <c r="I203" s="47"/>
      <c r="J203" s="47"/>
      <c r="L203" s="47"/>
    </row>
    <row r="204" spans="1:12" s="130" customFormat="1" ht="21" customHeight="1">
      <c r="A204" s="76"/>
      <c r="B204" s="77">
        <v>92105</v>
      </c>
      <c r="C204" s="77"/>
      <c r="D204" s="77" t="s">
        <v>536</v>
      </c>
      <c r="E204" s="137">
        <v>821586</v>
      </c>
      <c r="F204" s="137">
        <f>F205</f>
        <v>1200</v>
      </c>
      <c r="G204" s="137">
        <f>G205</f>
        <v>1200</v>
      </c>
      <c r="H204" s="137">
        <f t="shared" si="0"/>
        <v>821586</v>
      </c>
      <c r="I204" s="138"/>
      <c r="J204" s="138"/>
      <c r="L204" s="138"/>
    </row>
    <row r="205" spans="1:12" s="130" customFormat="1" ht="21" customHeight="1">
      <c r="A205" s="209"/>
      <c r="B205" s="210"/>
      <c r="C205" s="210"/>
      <c r="D205" s="211" t="s">
        <v>667</v>
      </c>
      <c r="E205" s="144">
        <v>25586</v>
      </c>
      <c r="F205" s="144">
        <f>SUM(F206:F207)</f>
        <v>1200</v>
      </c>
      <c r="G205" s="144">
        <f>SUM(G206:G207)</f>
        <v>1200</v>
      </c>
      <c r="H205" s="144">
        <f t="shared" si="0"/>
        <v>25586</v>
      </c>
      <c r="I205" s="138"/>
      <c r="J205" s="138"/>
      <c r="L205" s="138"/>
    </row>
    <row r="206" spans="1:12" s="158" customFormat="1" ht="21" customHeight="1">
      <c r="A206" s="208"/>
      <c r="B206" s="172"/>
      <c r="C206" s="172">
        <v>4210</v>
      </c>
      <c r="D206" s="222" t="s">
        <v>75</v>
      </c>
      <c r="E206" s="156">
        <v>1170</v>
      </c>
      <c r="F206" s="156"/>
      <c r="G206" s="156">
        <v>1200</v>
      </c>
      <c r="H206" s="156">
        <f t="shared" si="0"/>
        <v>2370</v>
      </c>
      <c r="I206" s="157"/>
      <c r="J206" s="157"/>
      <c r="L206" s="157"/>
    </row>
    <row r="207" spans="1:12" s="158" customFormat="1" ht="21" customHeight="1">
      <c r="A207" s="208"/>
      <c r="B207" s="172"/>
      <c r="C207" s="164">
        <v>4300</v>
      </c>
      <c r="D207" s="224" t="s">
        <v>76</v>
      </c>
      <c r="E207" s="443">
        <v>12063</v>
      </c>
      <c r="F207" s="443">
        <v>1200</v>
      </c>
      <c r="G207" s="443"/>
      <c r="H207" s="443">
        <f t="shared" si="0"/>
        <v>10863</v>
      </c>
      <c r="I207" s="157"/>
      <c r="J207" s="157"/>
      <c r="L207" s="157"/>
    </row>
    <row r="208" spans="1:12" ht="21" customHeight="1">
      <c r="A208" s="72">
        <v>926</v>
      </c>
      <c r="B208" s="89"/>
      <c r="C208" s="73"/>
      <c r="D208" s="92" t="s">
        <v>532</v>
      </c>
      <c r="E208" s="74">
        <v>13509000</v>
      </c>
      <c r="F208" s="75">
        <f>F209+F217</f>
        <v>260170</v>
      </c>
      <c r="G208" s="75">
        <f>G209+G217</f>
        <v>260170</v>
      </c>
      <c r="H208" s="75">
        <f t="shared" si="0"/>
        <v>13509000</v>
      </c>
      <c r="I208" s="47"/>
      <c r="J208" s="47"/>
      <c r="L208" s="47"/>
    </row>
    <row r="209" spans="1:12" s="130" customFormat="1" ht="21" customHeight="1">
      <c r="A209" s="76"/>
      <c r="B209" s="77">
        <v>92604</v>
      </c>
      <c r="C209" s="77"/>
      <c r="D209" s="77" t="s">
        <v>534</v>
      </c>
      <c r="E209" s="137">
        <v>9313000</v>
      </c>
      <c r="F209" s="137">
        <f>F210</f>
        <v>250000</v>
      </c>
      <c r="G209" s="137">
        <f>G210</f>
        <v>250000</v>
      </c>
      <c r="H209" s="137">
        <f t="shared" si="0"/>
        <v>9313000</v>
      </c>
      <c r="I209" s="138"/>
      <c r="J209" s="138"/>
      <c r="L209" s="138"/>
    </row>
    <row r="210" spans="1:12" s="237" customFormat="1" ht="21" customHeight="1">
      <c r="A210" s="209"/>
      <c r="B210" s="210"/>
      <c r="C210" s="220"/>
      <c r="D210" s="489" t="s">
        <v>274</v>
      </c>
      <c r="E210" s="441">
        <v>9313000</v>
      </c>
      <c r="F210" s="441">
        <f>F211</f>
        <v>250000</v>
      </c>
      <c r="G210" s="441">
        <f>G211</f>
        <v>250000</v>
      </c>
      <c r="H210" s="441">
        <f t="shared" si="0"/>
        <v>9313000</v>
      </c>
      <c r="I210" s="213"/>
      <c r="J210" s="213"/>
      <c r="L210" s="213"/>
    </row>
    <row r="211" spans="1:12" s="158" customFormat="1" ht="21" customHeight="1">
      <c r="A211" s="208"/>
      <c r="B211" s="172"/>
      <c r="C211" s="172"/>
      <c r="D211" s="222" t="s">
        <v>275</v>
      </c>
      <c r="E211" s="488">
        <v>7513000</v>
      </c>
      <c r="F211" s="488">
        <f>F216</f>
        <v>250000</v>
      </c>
      <c r="G211" s="488">
        <f>G216</f>
        <v>250000</v>
      </c>
      <c r="H211" s="488">
        <f t="shared" si="0"/>
        <v>7513000</v>
      </c>
      <c r="I211" s="157"/>
      <c r="J211" s="157"/>
      <c r="L211" s="157"/>
    </row>
    <row r="212" spans="1:12" s="158" customFormat="1" ht="27" customHeight="1">
      <c r="A212" s="208"/>
      <c r="B212" s="172"/>
      <c r="C212" s="155"/>
      <c r="D212" s="491" t="s">
        <v>269</v>
      </c>
      <c r="E212" s="492">
        <v>3000000</v>
      </c>
      <c r="F212" s="492"/>
      <c r="G212" s="492">
        <v>100000</v>
      </c>
      <c r="H212" s="492">
        <f t="shared" si="0"/>
        <v>3100000</v>
      </c>
      <c r="I212" s="157"/>
      <c r="J212" s="157"/>
      <c r="L212" s="157"/>
    </row>
    <row r="213" spans="1:12" s="158" customFormat="1" ht="21" customHeight="1">
      <c r="A213" s="208"/>
      <c r="B213" s="172"/>
      <c r="C213" s="155"/>
      <c r="D213" s="491" t="s">
        <v>270</v>
      </c>
      <c r="E213" s="492">
        <v>1000000</v>
      </c>
      <c r="F213" s="492">
        <v>100000</v>
      </c>
      <c r="G213" s="492"/>
      <c r="H213" s="492">
        <f t="shared" si="0"/>
        <v>900000</v>
      </c>
      <c r="I213" s="157"/>
      <c r="J213" s="157"/>
      <c r="L213" s="157"/>
    </row>
    <row r="214" spans="1:12" s="158" customFormat="1" ht="27" customHeight="1">
      <c r="A214" s="208"/>
      <c r="B214" s="172"/>
      <c r="C214" s="155"/>
      <c r="D214" s="491" t="s">
        <v>271</v>
      </c>
      <c r="E214" s="492">
        <v>300000</v>
      </c>
      <c r="F214" s="492">
        <v>150000</v>
      </c>
      <c r="G214" s="492"/>
      <c r="H214" s="492">
        <f t="shared" si="0"/>
        <v>150000</v>
      </c>
      <c r="I214" s="157"/>
      <c r="J214" s="157"/>
      <c r="L214" s="157"/>
    </row>
    <row r="215" spans="1:12" s="158" customFormat="1" ht="27" customHeight="1">
      <c r="A215" s="208"/>
      <c r="B215" s="172"/>
      <c r="C215" s="155"/>
      <c r="D215" s="491" t="s">
        <v>273</v>
      </c>
      <c r="E215" s="492">
        <v>750000</v>
      </c>
      <c r="F215" s="492"/>
      <c r="G215" s="492">
        <v>150000</v>
      </c>
      <c r="H215" s="492">
        <f t="shared" si="0"/>
        <v>900000</v>
      </c>
      <c r="I215" s="157"/>
      <c r="J215" s="157"/>
      <c r="L215" s="157"/>
    </row>
    <row r="216" spans="1:12" s="158" customFormat="1" ht="30" customHeight="1">
      <c r="A216" s="208"/>
      <c r="B216" s="331"/>
      <c r="C216" s="236">
        <v>6210</v>
      </c>
      <c r="D216" s="511" t="s">
        <v>272</v>
      </c>
      <c r="E216" s="443">
        <v>7513000</v>
      </c>
      <c r="F216" s="443">
        <f>SUM(F212:F215)</f>
        <v>250000</v>
      </c>
      <c r="G216" s="443">
        <f>SUM(G212:G215)</f>
        <v>250000</v>
      </c>
      <c r="H216" s="443">
        <f t="shared" si="0"/>
        <v>7513000</v>
      </c>
      <c r="I216" s="157"/>
      <c r="J216" s="157"/>
      <c r="L216" s="157"/>
    </row>
    <row r="217" spans="1:12" s="130" customFormat="1" ht="18.75" customHeight="1">
      <c r="A217" s="76"/>
      <c r="B217" s="78">
        <v>92605</v>
      </c>
      <c r="C217" s="78"/>
      <c r="D217" s="78" t="s">
        <v>551</v>
      </c>
      <c r="E217" s="756">
        <v>3840000</v>
      </c>
      <c r="F217" s="756">
        <f>F218+F221</f>
        <v>10170</v>
      </c>
      <c r="G217" s="756">
        <f>G218+G221</f>
        <v>10170</v>
      </c>
      <c r="H217" s="756">
        <f t="shared" si="0"/>
        <v>3840000</v>
      </c>
      <c r="I217" s="138"/>
      <c r="J217" s="138"/>
      <c r="L217" s="138"/>
    </row>
    <row r="218" spans="1:12" s="130" customFormat="1" ht="18.75" customHeight="1">
      <c r="A218" s="80"/>
      <c r="B218" s="499"/>
      <c r="C218" s="774"/>
      <c r="D218" s="775" t="s">
        <v>21</v>
      </c>
      <c r="E218" s="144">
        <v>1000000</v>
      </c>
      <c r="F218" s="144">
        <f>SUM(F219:F220)</f>
        <v>10000</v>
      </c>
      <c r="G218" s="144">
        <f>SUM(G219:G220)</f>
        <v>10000</v>
      </c>
      <c r="H218" s="144">
        <f t="shared" si="0"/>
        <v>1000000</v>
      </c>
      <c r="I218" s="138"/>
      <c r="J218" s="138"/>
      <c r="L218" s="138"/>
    </row>
    <row r="219" spans="1:12" s="160" customFormat="1" ht="18.75" customHeight="1">
      <c r="A219" s="207"/>
      <c r="B219" s="81"/>
      <c r="C219" s="776">
        <v>4170</v>
      </c>
      <c r="D219" s="777" t="s">
        <v>87</v>
      </c>
      <c r="E219" s="146">
        <v>10000</v>
      </c>
      <c r="F219" s="146">
        <v>10000</v>
      </c>
      <c r="G219" s="146"/>
      <c r="H219" s="146">
        <f t="shared" si="0"/>
        <v>0</v>
      </c>
      <c r="I219" s="159"/>
      <c r="J219" s="159"/>
      <c r="L219" s="159"/>
    </row>
    <row r="220" spans="1:12" s="160" customFormat="1" ht="18.75" customHeight="1">
      <c r="A220" s="207"/>
      <c r="B220" s="81"/>
      <c r="C220" s="1211">
        <v>4300</v>
      </c>
      <c r="D220" s="1211" t="s">
        <v>76</v>
      </c>
      <c r="E220" s="780">
        <v>20000</v>
      </c>
      <c r="F220" s="780"/>
      <c r="G220" s="780">
        <v>10000</v>
      </c>
      <c r="H220" s="780">
        <f t="shared" si="0"/>
        <v>30000</v>
      </c>
      <c r="I220" s="159"/>
      <c r="J220" s="159"/>
      <c r="L220" s="159"/>
    </row>
    <row r="221" spans="1:12" s="130" customFormat="1" ht="18.75" customHeight="1">
      <c r="A221" s="80"/>
      <c r="B221" s="66"/>
      <c r="C221" s="774"/>
      <c r="D221" s="981" t="s">
        <v>128</v>
      </c>
      <c r="E221" s="276">
        <v>800000</v>
      </c>
      <c r="F221" s="276">
        <f>SUM(F222:F224)</f>
        <v>170</v>
      </c>
      <c r="G221" s="276">
        <f>SUM(G222:G224)</f>
        <v>170</v>
      </c>
      <c r="H221" s="276">
        <f t="shared" si="0"/>
        <v>800000</v>
      </c>
      <c r="I221" s="138"/>
      <c r="J221" s="138"/>
      <c r="L221" s="138"/>
    </row>
    <row r="222" spans="1:12" s="160" customFormat="1" ht="18.75" customHeight="1">
      <c r="A222" s="207"/>
      <c r="B222" s="81"/>
      <c r="C222" s="776">
        <v>4110</v>
      </c>
      <c r="D222" s="777" t="s">
        <v>163</v>
      </c>
      <c r="E222" s="146">
        <v>108000</v>
      </c>
      <c r="F222" s="146"/>
      <c r="G222" s="146">
        <v>148</v>
      </c>
      <c r="H222" s="146">
        <f t="shared" si="0"/>
        <v>108148</v>
      </c>
      <c r="I222" s="159"/>
      <c r="J222" s="159"/>
      <c r="L222" s="159"/>
    </row>
    <row r="223" spans="1:12" s="160" customFormat="1" ht="18.75" customHeight="1">
      <c r="A223" s="207"/>
      <c r="B223" s="81"/>
      <c r="C223" s="776">
        <v>4120</v>
      </c>
      <c r="D223" s="776" t="s">
        <v>164</v>
      </c>
      <c r="E223" s="154">
        <v>18000</v>
      </c>
      <c r="F223" s="154"/>
      <c r="G223" s="154">
        <v>22</v>
      </c>
      <c r="H223" s="154">
        <f t="shared" si="0"/>
        <v>18022</v>
      </c>
      <c r="I223" s="159"/>
      <c r="J223" s="159"/>
      <c r="L223" s="159"/>
    </row>
    <row r="224" spans="1:12" s="160" customFormat="1" ht="18.75" customHeight="1">
      <c r="A224" s="207"/>
      <c r="B224" s="81"/>
      <c r="C224" s="1203">
        <v>4170</v>
      </c>
      <c r="D224" s="1203" t="s">
        <v>87</v>
      </c>
      <c r="E224" s="742">
        <v>624000</v>
      </c>
      <c r="F224" s="742">
        <v>170</v>
      </c>
      <c r="G224" s="742"/>
      <c r="H224" s="742">
        <f t="shared" si="0"/>
        <v>623830</v>
      </c>
      <c r="I224" s="159"/>
      <c r="J224" s="159"/>
      <c r="L224" s="159"/>
    </row>
    <row r="225" spans="1:12" s="160" customFormat="1" ht="18.75" customHeight="1">
      <c r="A225" s="889"/>
      <c r="B225" s="890"/>
      <c r="C225" s="1204"/>
      <c r="D225" s="1204"/>
      <c r="E225" s="903"/>
      <c r="F225" s="903"/>
      <c r="G225" s="903"/>
      <c r="H225" s="903"/>
      <c r="I225" s="159"/>
      <c r="J225" s="159"/>
      <c r="L225" s="159"/>
    </row>
    <row r="226" spans="1:12" s="160" customFormat="1" ht="18.75" customHeight="1">
      <c r="A226" s="1208"/>
      <c r="B226" s="1206"/>
      <c r="C226" s="1212"/>
      <c r="D226" s="1212"/>
      <c r="E226" s="1210"/>
      <c r="F226" s="1210"/>
      <c r="G226" s="1210"/>
      <c r="H226" s="1210"/>
      <c r="I226" s="159"/>
      <c r="J226" s="159"/>
      <c r="L226" s="159"/>
    </row>
    <row r="227" spans="1:12" ht="27.75" customHeight="1" thickBot="1">
      <c r="A227" s="66"/>
      <c r="B227" s="66"/>
      <c r="C227" s="66"/>
      <c r="D227" s="457" t="s">
        <v>7</v>
      </c>
      <c r="E227" s="458">
        <v>4076025</v>
      </c>
      <c r="F227" s="458">
        <f aca="true" t="shared" si="4" ref="F227:G229">F228</f>
        <v>16269</v>
      </c>
      <c r="G227" s="458">
        <f t="shared" si="4"/>
        <v>16269</v>
      </c>
      <c r="H227" s="458">
        <f t="shared" si="0"/>
        <v>4076025</v>
      </c>
      <c r="I227" s="47"/>
      <c r="J227" s="47"/>
      <c r="L227" s="47"/>
    </row>
    <row r="228" spans="1:12" s="197" customFormat="1" ht="21" customHeight="1" thickTop="1">
      <c r="A228" s="72">
        <v>854</v>
      </c>
      <c r="B228" s="89"/>
      <c r="C228" s="89"/>
      <c r="D228" s="323" t="s">
        <v>60</v>
      </c>
      <c r="E228" s="325">
        <v>1239025</v>
      </c>
      <c r="F228" s="325">
        <f t="shared" si="4"/>
        <v>16269</v>
      </c>
      <c r="G228" s="325">
        <f t="shared" si="4"/>
        <v>16269</v>
      </c>
      <c r="H228" s="325">
        <f t="shared" si="0"/>
        <v>1239025</v>
      </c>
      <c r="I228" s="198"/>
      <c r="J228" s="198"/>
      <c r="L228" s="198"/>
    </row>
    <row r="229" spans="1:12" s="197" customFormat="1" ht="21" customHeight="1">
      <c r="A229" s="141"/>
      <c r="B229" s="136">
        <v>85415</v>
      </c>
      <c r="C229" s="164"/>
      <c r="D229" s="324" t="s">
        <v>407</v>
      </c>
      <c r="E229" s="326">
        <v>1239025</v>
      </c>
      <c r="F229" s="326">
        <f t="shared" si="4"/>
        <v>16269</v>
      </c>
      <c r="G229" s="326">
        <f t="shared" si="4"/>
        <v>16269</v>
      </c>
      <c r="H229" s="326">
        <f t="shared" si="0"/>
        <v>1239025</v>
      </c>
      <c r="I229" s="198"/>
      <c r="J229" s="198"/>
      <c r="L229" s="198"/>
    </row>
    <row r="230" spans="1:12" s="197" customFormat="1" ht="29.25" customHeight="1">
      <c r="A230" s="172"/>
      <c r="B230" s="172"/>
      <c r="C230" s="674"/>
      <c r="D230" s="673" t="s">
        <v>11</v>
      </c>
      <c r="E230" s="459">
        <v>1239025</v>
      </c>
      <c r="F230" s="459">
        <f>SUM(F231:F238)</f>
        <v>16269</v>
      </c>
      <c r="G230" s="459">
        <f>SUM(G231:G238)</f>
        <v>16269</v>
      </c>
      <c r="H230" s="459">
        <f t="shared" si="0"/>
        <v>1239025</v>
      </c>
      <c r="I230" s="198"/>
      <c r="J230" s="198"/>
      <c r="L230" s="198"/>
    </row>
    <row r="231" spans="1:12" s="158" customFormat="1" ht="21" customHeight="1">
      <c r="A231" s="155"/>
      <c r="B231" s="155"/>
      <c r="C231" s="331">
        <v>3248</v>
      </c>
      <c r="D231" s="330" t="s">
        <v>303</v>
      </c>
      <c r="E231" s="163">
        <v>749772</v>
      </c>
      <c r="F231" s="163"/>
      <c r="G231" s="163">
        <v>11037</v>
      </c>
      <c r="H231" s="163">
        <f t="shared" si="0"/>
        <v>760809</v>
      </c>
      <c r="I231" s="157"/>
      <c r="J231" s="157"/>
      <c r="L231" s="157"/>
    </row>
    <row r="232" spans="1:12" s="479" customFormat="1" ht="20.25" customHeight="1">
      <c r="A232" s="455"/>
      <c r="B232" s="455"/>
      <c r="C232" s="331">
        <v>3249</v>
      </c>
      <c r="D232" s="330" t="s">
        <v>303</v>
      </c>
      <c r="E232" s="163">
        <v>352028</v>
      </c>
      <c r="F232" s="163"/>
      <c r="G232" s="163">
        <v>5178</v>
      </c>
      <c r="H232" s="163">
        <f t="shared" si="0"/>
        <v>357206</v>
      </c>
      <c r="I232" s="478"/>
      <c r="J232" s="478"/>
      <c r="L232" s="478"/>
    </row>
    <row r="233" spans="1:12" s="479" customFormat="1" ht="20.25" customHeight="1">
      <c r="A233" s="455"/>
      <c r="B233" s="455"/>
      <c r="C233" s="331">
        <v>4018</v>
      </c>
      <c r="D233" s="490" t="s">
        <v>8</v>
      </c>
      <c r="E233" s="439">
        <v>21232</v>
      </c>
      <c r="F233" s="439">
        <v>10344</v>
      </c>
      <c r="G233" s="439"/>
      <c r="H233" s="439">
        <f t="shared" si="0"/>
        <v>10888</v>
      </c>
      <c r="I233" s="478"/>
      <c r="J233" s="478"/>
      <c r="L233" s="478"/>
    </row>
    <row r="234" spans="1:12" s="479" customFormat="1" ht="20.25" customHeight="1">
      <c r="A234" s="455"/>
      <c r="B234" s="455"/>
      <c r="C234" s="331">
        <v>4019</v>
      </c>
      <c r="D234" s="490" t="s">
        <v>8</v>
      </c>
      <c r="E234" s="439">
        <v>9968</v>
      </c>
      <c r="F234" s="439">
        <v>4856</v>
      </c>
      <c r="G234" s="439"/>
      <c r="H234" s="439">
        <f t="shared" si="0"/>
        <v>5112</v>
      </c>
      <c r="I234" s="478"/>
      <c r="J234" s="478"/>
      <c r="L234" s="478"/>
    </row>
    <row r="235" spans="1:12" s="479" customFormat="1" ht="20.25" customHeight="1">
      <c r="A235" s="455"/>
      <c r="B235" s="455"/>
      <c r="C235" s="331">
        <v>4178</v>
      </c>
      <c r="D235" s="490" t="s">
        <v>87</v>
      </c>
      <c r="E235" s="439">
        <v>8220</v>
      </c>
      <c r="F235" s="439">
        <v>54</v>
      </c>
      <c r="G235" s="439"/>
      <c r="H235" s="439">
        <f>E235+G235-F235</f>
        <v>8166</v>
      </c>
      <c r="I235" s="478"/>
      <c r="J235" s="478"/>
      <c r="L235" s="478"/>
    </row>
    <row r="236" spans="1:12" s="479" customFormat="1" ht="20.25" customHeight="1">
      <c r="A236" s="455"/>
      <c r="B236" s="455"/>
      <c r="C236" s="331">
        <v>4179</v>
      </c>
      <c r="D236" s="490" t="s">
        <v>87</v>
      </c>
      <c r="E236" s="439">
        <v>3780</v>
      </c>
      <c r="F236" s="439"/>
      <c r="G236" s="439">
        <v>54</v>
      </c>
      <c r="H236" s="439">
        <f>E236+G236-F236</f>
        <v>3834</v>
      </c>
      <c r="I236" s="478"/>
      <c r="J236" s="478"/>
      <c r="L236" s="478"/>
    </row>
    <row r="237" spans="1:12" s="479" customFormat="1" ht="20.25" customHeight="1">
      <c r="A237" s="455"/>
      <c r="B237" s="455"/>
      <c r="C237" s="331">
        <v>4308</v>
      </c>
      <c r="D237" s="330" t="s">
        <v>76</v>
      </c>
      <c r="E237" s="163">
        <v>18525</v>
      </c>
      <c r="F237" s="163">
        <v>639</v>
      </c>
      <c r="G237" s="163"/>
      <c r="H237" s="163">
        <f t="shared" si="0"/>
        <v>17886</v>
      </c>
      <c r="I237" s="478"/>
      <c r="J237" s="478"/>
      <c r="L237" s="478"/>
    </row>
    <row r="238" spans="1:12" s="479" customFormat="1" ht="20.25" customHeight="1">
      <c r="A238" s="455"/>
      <c r="B238" s="455"/>
      <c r="C238" s="331">
        <v>4309</v>
      </c>
      <c r="D238" s="330" t="s">
        <v>76</v>
      </c>
      <c r="E238" s="163">
        <v>8775</v>
      </c>
      <c r="F238" s="163">
        <v>376</v>
      </c>
      <c r="G238" s="163"/>
      <c r="H238" s="163">
        <f t="shared" si="0"/>
        <v>8399</v>
      </c>
      <c r="I238" s="478"/>
      <c r="J238" s="478"/>
      <c r="L238" s="478"/>
    </row>
    <row r="239" spans="1:12" ht="20.25" customHeight="1" thickBot="1">
      <c r="A239" s="66"/>
      <c r="B239" s="66"/>
      <c r="C239" s="66"/>
      <c r="D239" s="495" t="s">
        <v>89</v>
      </c>
      <c r="E239" s="496">
        <f>E240+E245</f>
        <v>98677460</v>
      </c>
      <c r="F239" s="496"/>
      <c r="G239" s="496">
        <f>G240+G245</f>
        <v>15837</v>
      </c>
      <c r="H239" s="496">
        <f t="shared" si="0"/>
        <v>98693297</v>
      </c>
      <c r="I239" s="47"/>
      <c r="J239" s="47"/>
      <c r="L239" s="47"/>
    </row>
    <row r="240" spans="1:12" s="197" customFormat="1" ht="21" customHeight="1" thickBot="1">
      <c r="A240" s="172"/>
      <c r="B240" s="172"/>
      <c r="C240" s="172"/>
      <c r="D240" s="493" t="s">
        <v>90</v>
      </c>
      <c r="E240" s="494">
        <v>77183996</v>
      </c>
      <c r="F240" s="494"/>
      <c r="G240" s="494">
        <f>G241</f>
        <v>4500</v>
      </c>
      <c r="H240" s="494">
        <f t="shared" si="0"/>
        <v>77188496</v>
      </c>
      <c r="I240" s="198"/>
      <c r="J240" s="198"/>
      <c r="L240" s="198"/>
    </row>
    <row r="241" spans="1:12" s="197" customFormat="1" ht="21" customHeight="1" thickTop="1">
      <c r="A241" s="72">
        <v>854</v>
      </c>
      <c r="B241" s="89"/>
      <c r="C241" s="89"/>
      <c r="D241" s="323" t="s">
        <v>60</v>
      </c>
      <c r="E241" s="325"/>
      <c r="F241" s="325"/>
      <c r="G241" s="325">
        <f>G242</f>
        <v>4500</v>
      </c>
      <c r="H241" s="325">
        <f t="shared" si="0"/>
        <v>4500</v>
      </c>
      <c r="I241" s="198"/>
      <c r="J241" s="198"/>
      <c r="L241" s="198"/>
    </row>
    <row r="242" spans="1:12" s="197" customFormat="1" ht="21" customHeight="1">
      <c r="A242" s="141"/>
      <c r="B242" s="136">
        <v>85401</v>
      </c>
      <c r="C242" s="164"/>
      <c r="D242" s="324" t="s">
        <v>552</v>
      </c>
      <c r="E242" s="326"/>
      <c r="F242" s="326"/>
      <c r="G242" s="326">
        <f>G243</f>
        <v>4500</v>
      </c>
      <c r="H242" s="326">
        <f t="shared" si="0"/>
        <v>4500</v>
      </c>
      <c r="I242" s="198"/>
      <c r="J242" s="198"/>
      <c r="L242" s="198"/>
    </row>
    <row r="243" spans="1:12" s="197" customFormat="1" ht="21" customHeight="1">
      <c r="A243" s="172"/>
      <c r="B243" s="172"/>
      <c r="C243" s="674"/>
      <c r="D243" s="673" t="s">
        <v>405</v>
      </c>
      <c r="E243" s="670"/>
      <c r="F243" s="670"/>
      <c r="G243" s="670">
        <f>G244</f>
        <v>4500</v>
      </c>
      <c r="H243" s="670">
        <f t="shared" si="0"/>
        <v>4500</v>
      </c>
      <c r="I243" s="198"/>
      <c r="J243" s="198"/>
      <c r="L243" s="198"/>
    </row>
    <row r="244" spans="1:12" s="158" customFormat="1" ht="21" customHeight="1">
      <c r="A244" s="155"/>
      <c r="B244" s="155"/>
      <c r="C244" s="331">
        <v>4240</v>
      </c>
      <c r="D244" s="236" t="s">
        <v>414</v>
      </c>
      <c r="E244" s="442"/>
      <c r="F244" s="442"/>
      <c r="G244" s="442">
        <v>4500</v>
      </c>
      <c r="H244" s="442">
        <f t="shared" si="0"/>
        <v>4500</v>
      </c>
      <c r="I244" s="157"/>
      <c r="J244" s="157"/>
      <c r="L244" s="157"/>
    </row>
    <row r="245" spans="1:12" s="197" customFormat="1" ht="29.25" customHeight="1" thickBot="1">
      <c r="A245" s="331"/>
      <c r="B245" s="331"/>
      <c r="C245" s="331"/>
      <c r="D245" s="963" t="s">
        <v>91</v>
      </c>
      <c r="E245" s="895">
        <v>21493464</v>
      </c>
      <c r="F245" s="895"/>
      <c r="G245" s="895">
        <f>G246</f>
        <v>11337</v>
      </c>
      <c r="H245" s="895">
        <f t="shared" si="0"/>
        <v>21504801</v>
      </c>
      <c r="I245" s="198"/>
      <c r="J245" s="198"/>
      <c r="L245" s="198"/>
    </row>
    <row r="246" spans="1:12" s="197" customFormat="1" ht="18.75" customHeight="1" thickTop="1">
      <c r="A246" s="72">
        <v>710</v>
      </c>
      <c r="B246" s="89"/>
      <c r="C246" s="89"/>
      <c r="D246" s="952" t="s">
        <v>526</v>
      </c>
      <c r="E246" s="325">
        <v>551168</v>
      </c>
      <c r="F246" s="325"/>
      <c r="G246" s="325">
        <f>G247</f>
        <v>11337</v>
      </c>
      <c r="H246" s="325">
        <f>E246+G246-F246</f>
        <v>562505</v>
      </c>
      <c r="I246" s="198"/>
      <c r="J246" s="198"/>
      <c r="L246" s="198"/>
    </row>
    <row r="247" spans="1:12" s="197" customFormat="1" ht="18.75" customHeight="1">
      <c r="A247" s="141"/>
      <c r="B247" s="136">
        <v>71095</v>
      </c>
      <c r="C247" s="164"/>
      <c r="D247" s="239" t="s">
        <v>57</v>
      </c>
      <c r="E247" s="326"/>
      <c r="F247" s="326"/>
      <c r="G247" s="326">
        <f>G248</f>
        <v>11337</v>
      </c>
      <c r="H247" s="326">
        <f>E247+G247-F247</f>
        <v>11337</v>
      </c>
      <c r="I247" s="198"/>
      <c r="J247" s="198"/>
      <c r="L247" s="198"/>
    </row>
    <row r="248" spans="1:12" s="197" customFormat="1" ht="18.75" customHeight="1">
      <c r="A248" s="172"/>
      <c r="B248" s="172"/>
      <c r="C248" s="674"/>
      <c r="D248" s="960" t="s">
        <v>632</v>
      </c>
      <c r="E248" s="670"/>
      <c r="F248" s="670"/>
      <c r="G248" s="670">
        <f>G249</f>
        <v>11337</v>
      </c>
      <c r="H248" s="670">
        <f>E248+G248-F248</f>
        <v>11337</v>
      </c>
      <c r="I248" s="198"/>
      <c r="J248" s="198"/>
      <c r="L248" s="198"/>
    </row>
    <row r="249" spans="1:12" s="158" customFormat="1" ht="18.75" customHeight="1">
      <c r="A249" s="328"/>
      <c r="B249" s="328"/>
      <c r="C249" s="331">
        <v>4300</v>
      </c>
      <c r="D249" s="330" t="s">
        <v>76</v>
      </c>
      <c r="E249" s="442"/>
      <c r="F249" s="442"/>
      <c r="G249" s="442">
        <v>11337</v>
      </c>
      <c r="H249" s="442">
        <f>E249+G249-F249</f>
        <v>11337</v>
      </c>
      <c r="I249" s="157"/>
      <c r="J249" s="157"/>
      <c r="L249" s="157"/>
    </row>
    <row r="250" ht="21" customHeight="1"/>
    <row r="251" spans="2:12" ht="21" customHeight="1">
      <c r="B251" s="22" t="s">
        <v>691</v>
      </c>
      <c r="D251" s="527"/>
      <c r="E251" s="528"/>
      <c r="F251" s="22" t="s">
        <v>692</v>
      </c>
      <c r="I251" s="47"/>
      <c r="J251" s="47"/>
      <c r="L251" s="47"/>
    </row>
    <row r="252" spans="1:12" s="95" customFormat="1" ht="25.5" customHeight="1">
      <c r="A252" s="22"/>
      <c r="B252" s="22" t="s">
        <v>693</v>
      </c>
      <c r="C252" s="22"/>
      <c r="D252" s="527"/>
      <c r="E252" s="528"/>
      <c r="F252" s="22" t="s">
        <v>694</v>
      </c>
      <c r="G252" s="22"/>
      <c r="H252" s="22"/>
      <c r="I252" s="94"/>
      <c r="J252" s="94"/>
      <c r="L252" s="94"/>
    </row>
    <row r="253" spans="1:12" s="45" customFormat="1" ht="18.75" customHeight="1">
      <c r="A253" s="22"/>
      <c r="B253" s="22"/>
      <c r="C253" s="22"/>
      <c r="D253" s="527"/>
      <c r="E253" s="528"/>
      <c r="F253" s="22" t="s">
        <v>695</v>
      </c>
      <c r="G253" s="22"/>
      <c r="H253" s="22"/>
      <c r="I253" s="126"/>
      <c r="J253" s="126"/>
      <c r="L253" s="126"/>
    </row>
    <row r="254" ht="21" customHeight="1"/>
    <row r="255" ht="30" customHeight="1"/>
    <row r="256" ht="49.5" customHeight="1"/>
    <row r="257" ht="27.75" customHeight="1"/>
    <row r="258" ht="18" customHeight="1"/>
    <row r="259" spans="1:12" s="95" customFormat="1" ht="18.75" customHeight="1">
      <c r="A259" s="22"/>
      <c r="B259" s="22"/>
      <c r="C259" s="22"/>
      <c r="D259" s="22"/>
      <c r="E259" s="22"/>
      <c r="F259" s="22"/>
      <c r="G259" s="22"/>
      <c r="H259" s="22"/>
      <c r="I259" s="94"/>
      <c r="J259" s="94"/>
      <c r="L259" s="94"/>
    </row>
    <row r="260" spans="1:12" s="45" customFormat="1" ht="18.75" customHeight="1">
      <c r="A260" s="22"/>
      <c r="B260" s="22"/>
      <c r="C260" s="22"/>
      <c r="D260" s="22"/>
      <c r="E260" s="22"/>
      <c r="F260" s="22"/>
      <c r="G260" s="22"/>
      <c r="H260" s="22"/>
      <c r="I260" s="126"/>
      <c r="J260" s="126"/>
      <c r="L260" s="126"/>
    </row>
    <row r="261" spans="1:12" s="45" customFormat="1" ht="18.75" customHeight="1">
      <c r="A261" s="22"/>
      <c r="B261" s="22"/>
      <c r="C261" s="22"/>
      <c r="D261" s="22"/>
      <c r="E261" s="22"/>
      <c r="F261" s="22"/>
      <c r="G261" s="22"/>
      <c r="H261" s="22"/>
      <c r="I261" s="126"/>
      <c r="J261" s="126"/>
      <c r="L261" s="126"/>
    </row>
    <row r="262" spans="9:12" ht="21" customHeight="1">
      <c r="I262" s="47"/>
      <c r="J262" s="47"/>
      <c r="L262" s="47"/>
    </row>
    <row r="263" spans="9:12" ht="21" customHeight="1">
      <c r="I263" s="47"/>
      <c r="J263" s="47"/>
      <c r="L263" s="47"/>
    </row>
    <row r="264" ht="18.75" customHeight="1"/>
    <row r="265" ht="18.75" customHeight="1"/>
    <row r="266" spans="9:12" ht="21" customHeight="1">
      <c r="I266" s="47"/>
      <c r="J266" s="47"/>
      <c r="L266" s="47"/>
    </row>
    <row r="267" ht="18.75" customHeight="1"/>
    <row r="268" ht="19.5" customHeight="1"/>
    <row r="269" ht="19.5" customHeight="1"/>
    <row r="270" ht="19.5" customHeight="1"/>
    <row r="271" ht="18.75" customHeight="1"/>
    <row r="272" ht="18.75" customHeight="1"/>
    <row r="273" ht="28.5" customHeight="1"/>
    <row r="274" spans="1:9" s="33" customFormat="1" ht="18.75" customHeight="1">
      <c r="A274" s="22"/>
      <c r="B274" s="22"/>
      <c r="C274" s="22"/>
      <c r="D274" s="22"/>
      <c r="E274" s="22"/>
      <c r="F274" s="22"/>
      <c r="G274" s="22"/>
      <c r="H274" s="22"/>
      <c r="I274" s="127"/>
    </row>
    <row r="275" spans="1:9" s="33" customFormat="1" ht="18.75" customHeight="1">
      <c r="A275" s="22"/>
      <c r="B275" s="22"/>
      <c r="C275" s="22"/>
      <c r="D275" s="22"/>
      <c r="E275" s="22"/>
      <c r="F275" s="22"/>
      <c r="G275" s="22"/>
      <c r="H275" s="22"/>
      <c r="I275" s="127"/>
    </row>
    <row r="276" spans="1:9" s="33" customFormat="1" ht="18.75" customHeight="1">
      <c r="A276" s="22"/>
      <c r="B276" s="22"/>
      <c r="C276" s="22"/>
      <c r="D276" s="22"/>
      <c r="E276" s="22"/>
      <c r="F276" s="22"/>
      <c r="G276" s="22"/>
      <c r="H276" s="22"/>
      <c r="I276" s="127"/>
    </row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spans="1:9" s="33" customFormat="1" ht="19.5" customHeight="1">
      <c r="A285" s="22"/>
      <c r="B285" s="22"/>
      <c r="C285" s="22"/>
      <c r="D285" s="22"/>
      <c r="E285" s="22"/>
      <c r="F285" s="22"/>
      <c r="G285" s="22"/>
      <c r="H285" s="22"/>
      <c r="I285" s="128"/>
    </row>
    <row r="286" spans="1:9" s="33" customFormat="1" ht="18.75" customHeight="1">
      <c r="A286" s="22"/>
      <c r="B286" s="22"/>
      <c r="C286" s="22"/>
      <c r="D286" s="22"/>
      <c r="E286" s="22"/>
      <c r="F286" s="22"/>
      <c r="G286" s="22"/>
      <c r="H286" s="22"/>
      <c r="I286" s="127"/>
    </row>
    <row r="287" spans="1:9" s="33" customFormat="1" ht="18.75" customHeight="1">
      <c r="A287" s="22"/>
      <c r="B287" s="22"/>
      <c r="C287" s="22"/>
      <c r="D287" s="22"/>
      <c r="E287" s="22"/>
      <c r="F287" s="22"/>
      <c r="G287" s="22"/>
      <c r="H287" s="22"/>
      <c r="I287" s="127"/>
    </row>
    <row r="288" spans="1:9" s="33" customFormat="1" ht="18.75" customHeight="1">
      <c r="A288" s="22"/>
      <c r="B288" s="22"/>
      <c r="C288" s="22"/>
      <c r="D288" s="22"/>
      <c r="E288" s="22"/>
      <c r="F288" s="22"/>
      <c r="G288" s="22"/>
      <c r="H288" s="22"/>
      <c r="I288" s="127"/>
    </row>
    <row r="289" ht="19.5" customHeight="1"/>
    <row r="290" ht="18.75" customHeight="1"/>
    <row r="291" spans="1:9" s="33" customFormat="1" ht="18.75" customHeight="1">
      <c r="A291" s="22"/>
      <c r="B291" s="22"/>
      <c r="C291" s="22"/>
      <c r="D291" s="22"/>
      <c r="E291" s="22"/>
      <c r="F291" s="22"/>
      <c r="G291" s="22"/>
      <c r="H291" s="22"/>
      <c r="I291" s="127"/>
    </row>
    <row r="292" ht="18.75" customHeight="1"/>
    <row r="293" spans="1:9" s="33" customFormat="1" ht="18.75" customHeight="1">
      <c r="A293" s="22"/>
      <c r="B293" s="22"/>
      <c r="C293" s="22"/>
      <c r="D293" s="22"/>
      <c r="E293" s="22"/>
      <c r="F293" s="22"/>
      <c r="G293" s="22"/>
      <c r="H293" s="22"/>
      <c r="I293" s="127"/>
    </row>
    <row r="294" spans="1:9" s="33" customFormat="1" ht="27" customHeight="1">
      <c r="A294" s="22"/>
      <c r="B294" s="22"/>
      <c r="C294" s="22"/>
      <c r="D294" s="22"/>
      <c r="E294" s="22"/>
      <c r="F294" s="22"/>
      <c r="G294" s="22"/>
      <c r="H294" s="22"/>
      <c r="I294" s="127"/>
    </row>
    <row r="295" spans="1:9" s="33" customFormat="1" ht="18.75" customHeight="1">
      <c r="A295" s="22"/>
      <c r="B295" s="22"/>
      <c r="C295" s="22"/>
      <c r="D295" s="22"/>
      <c r="E295" s="22"/>
      <c r="F295" s="22"/>
      <c r="G295" s="22"/>
      <c r="H295" s="22"/>
      <c r="I295" s="127"/>
    </row>
    <row r="296" spans="1:9" s="33" customFormat="1" ht="19.5" customHeight="1">
      <c r="A296" s="22"/>
      <c r="B296" s="22"/>
      <c r="C296" s="22"/>
      <c r="D296" s="22"/>
      <c r="E296" s="22"/>
      <c r="F296" s="22"/>
      <c r="G296" s="22"/>
      <c r="H296" s="22"/>
      <c r="I296" s="127"/>
    </row>
    <row r="297" ht="19.5" customHeight="1"/>
    <row r="298" ht="19.5" customHeight="1"/>
    <row r="299" ht="19.5" customHeight="1"/>
    <row r="300" ht="19.5" customHeight="1"/>
    <row r="301" ht="19.5" customHeight="1"/>
    <row r="302" spans="1:9" s="33" customFormat="1" ht="18.75" customHeight="1">
      <c r="A302" s="22"/>
      <c r="B302" s="22"/>
      <c r="C302" s="22"/>
      <c r="D302" s="22"/>
      <c r="E302" s="22"/>
      <c r="F302" s="22"/>
      <c r="G302" s="22"/>
      <c r="H302" s="22"/>
      <c r="I302" s="127"/>
    </row>
    <row r="303" spans="1:9" s="33" customFormat="1" ht="19.5" customHeight="1">
      <c r="A303" s="22"/>
      <c r="B303" s="22"/>
      <c r="C303" s="22"/>
      <c r="D303" s="22"/>
      <c r="E303" s="22"/>
      <c r="F303" s="22"/>
      <c r="G303" s="22"/>
      <c r="H303" s="22"/>
      <c r="I303" s="127"/>
    </row>
    <row r="304" ht="19.5" customHeight="1"/>
    <row r="305" ht="18.75" customHeight="1"/>
    <row r="306" ht="18" customHeight="1"/>
    <row r="307" ht="28.5" customHeight="1"/>
    <row r="308" ht="20.25" customHeight="1"/>
    <row r="309" ht="18" customHeight="1"/>
    <row r="310" ht="19.5" customHeight="1"/>
    <row r="311" ht="20.25" customHeight="1"/>
    <row r="312" ht="20.25" customHeight="1"/>
    <row r="313" ht="20.25" customHeight="1"/>
    <row r="314" spans="1:8" s="33" customFormat="1" ht="27" customHeight="1">
      <c r="A314" s="22"/>
      <c r="B314" s="22"/>
      <c r="C314" s="22"/>
      <c r="D314" s="22"/>
      <c r="E314" s="22"/>
      <c r="F314" s="22"/>
      <c r="G314" s="22"/>
      <c r="H314" s="22"/>
    </row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27.75" customHeight="1"/>
    <row r="335" ht="20.25" customHeight="1"/>
    <row r="336" ht="20.25" customHeight="1"/>
    <row r="337" ht="19.5" customHeight="1"/>
    <row r="338" ht="25.5" customHeight="1"/>
    <row r="339" ht="26.25" customHeight="1"/>
    <row r="340" ht="19.5" customHeight="1"/>
    <row r="341" ht="18.75" customHeight="1"/>
    <row r="342" ht="18" customHeight="1"/>
    <row r="343" ht="19.5" customHeight="1"/>
    <row r="344" ht="19.5" customHeight="1"/>
    <row r="345" ht="20.25" customHeight="1"/>
    <row r="346" ht="19.5" customHeight="1"/>
    <row r="347" ht="19.5" customHeight="1"/>
    <row r="348" ht="20.25" customHeight="1"/>
    <row r="349" ht="18" customHeight="1"/>
    <row r="350" ht="19.5" customHeight="1"/>
    <row r="351" ht="19.5" customHeight="1"/>
  </sheetData>
  <printOptions horizontalCentered="1"/>
  <pageMargins left="0.3937007874015748" right="0.3937007874015748" top="0.61" bottom="0.47" header="0.5118110236220472" footer="0.31496062992125984"/>
  <pageSetup firstPageNumber="19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K424"/>
  <sheetViews>
    <sheetView zoomScaleSheetLayoutView="75" workbookViewId="0" topLeftCell="A9">
      <pane ySplit="1695" topLeftCell="BM234" activePane="bottomLeft" state="split"/>
      <selection pane="topLeft" activeCell="C7" sqref="C7:C8"/>
      <selection pane="bottomLeft" activeCell="C239" sqref="C239"/>
    </sheetView>
  </sheetViews>
  <sheetFormatPr defaultColWidth="9.00390625" defaultRowHeight="12.75"/>
  <cols>
    <col min="1" max="1" width="7.875" style="107" customWidth="1"/>
    <col min="2" max="2" width="8.00390625" style="0" customWidth="1"/>
    <col min="3" max="3" width="8.125" style="0" customWidth="1"/>
    <col min="4" max="4" width="76.625" style="0" customWidth="1"/>
    <col min="5" max="7" width="15.75390625" style="0" customWidth="1"/>
    <col min="8" max="8" width="11.125" style="0" customWidth="1"/>
    <col min="9" max="9" width="12.125" style="0" customWidth="1"/>
    <col min="10" max="10" width="13.00390625" style="0" customWidth="1"/>
  </cols>
  <sheetData>
    <row r="1" spans="1:6" ht="18.75" customHeight="1">
      <c r="A1" s="49"/>
      <c r="F1" s="50" t="s">
        <v>567</v>
      </c>
    </row>
    <row r="2" spans="1:6" ht="18.75" customHeight="1">
      <c r="A2" s="51"/>
      <c r="F2" s="22" t="s">
        <v>624</v>
      </c>
    </row>
    <row r="3" spans="1:6" ht="19.5" customHeight="1">
      <c r="A3" s="51"/>
      <c r="C3" s="1"/>
      <c r="D3" s="4" t="s">
        <v>63</v>
      </c>
      <c r="F3" s="22" t="s">
        <v>27</v>
      </c>
    </row>
    <row r="4" spans="1:6" ht="19.5" customHeight="1">
      <c r="A4" s="49"/>
      <c r="C4" s="1"/>
      <c r="D4" s="4" t="s">
        <v>64</v>
      </c>
      <c r="E4" s="52"/>
      <c r="F4" s="22" t="s">
        <v>625</v>
      </c>
    </row>
    <row r="5" ht="11.25" customHeight="1">
      <c r="A5" s="49"/>
    </row>
    <row r="6" spans="1:7" ht="15" customHeight="1" thickBot="1">
      <c r="A6" s="53"/>
      <c r="G6" s="54" t="s">
        <v>28</v>
      </c>
    </row>
    <row r="7" spans="1:9" ht="21" customHeight="1" thickTop="1">
      <c r="A7" s="1252" t="s">
        <v>32</v>
      </c>
      <c r="B7" s="1254" t="s">
        <v>65</v>
      </c>
      <c r="C7" s="1254" t="s">
        <v>66</v>
      </c>
      <c r="D7" s="1250" t="s">
        <v>67</v>
      </c>
      <c r="E7" s="886" t="s">
        <v>68</v>
      </c>
      <c r="F7" s="1248" t="s">
        <v>69</v>
      </c>
      <c r="G7" s="1249"/>
      <c r="I7" s="52"/>
    </row>
    <row r="8" spans="1:7" ht="21" customHeight="1" thickBot="1">
      <c r="A8" s="1253"/>
      <c r="B8" s="1255"/>
      <c r="C8" s="1255"/>
      <c r="D8" s="1251"/>
      <c r="E8" s="56" t="s">
        <v>71</v>
      </c>
      <c r="F8" s="55" t="s">
        <v>70</v>
      </c>
      <c r="G8" s="56" t="s">
        <v>71</v>
      </c>
    </row>
    <row r="9" spans="1:7" ht="15.75" customHeight="1" thickBot="1" thickTop="1">
      <c r="A9" s="57">
        <v>1</v>
      </c>
      <c r="B9" s="58">
        <v>2</v>
      </c>
      <c r="C9" s="58">
        <v>3</v>
      </c>
      <c r="D9" s="58">
        <v>4</v>
      </c>
      <c r="E9" s="59">
        <v>5</v>
      </c>
      <c r="F9" s="59">
        <v>6</v>
      </c>
      <c r="G9" s="59">
        <v>7</v>
      </c>
    </row>
    <row r="10" spans="1:11" ht="19.5" customHeight="1" thickBot="1" thickTop="1">
      <c r="A10" s="60"/>
      <c r="B10" s="60"/>
      <c r="C10" s="60"/>
      <c r="D10" s="61" t="s">
        <v>72</v>
      </c>
      <c r="E10" s="62">
        <f>E11+E283+E290+E317</f>
        <v>784926</v>
      </c>
      <c r="F10" s="62">
        <f>F11+F283+F290+F317+F302+F311</f>
        <v>2013544</v>
      </c>
      <c r="G10" s="62">
        <f>G11+G283+G290+G317+G302+G311</f>
        <v>2798470</v>
      </c>
      <c r="H10" s="52">
        <f>E10-'doch Pr'!F8</f>
        <v>0</v>
      </c>
      <c r="I10" s="52">
        <f>G10-F10-'Wyd Pr'!G8+'Wyd Pr'!F8</f>
        <v>0</v>
      </c>
      <c r="J10" s="52"/>
      <c r="K10" s="52"/>
    </row>
    <row r="11" spans="1:10" ht="22.5" customHeight="1">
      <c r="A11" s="63"/>
      <c r="B11" s="63"/>
      <c r="C11" s="63"/>
      <c r="D11" s="64" t="s">
        <v>50</v>
      </c>
      <c r="E11" s="65">
        <f>E12+E20+E276</f>
        <v>784926</v>
      </c>
      <c r="F11" s="65">
        <f>F12+F20+F276+F150+F265+F45+F78</f>
        <v>2003844</v>
      </c>
      <c r="G11" s="65">
        <f>G12+G20+G276+G150+G265+G45+G78</f>
        <v>1633963</v>
      </c>
      <c r="H11" s="52"/>
      <c r="J11" s="52"/>
    </row>
    <row r="12" spans="1:8" ht="21" customHeight="1">
      <c r="A12" s="108"/>
      <c r="B12" s="108"/>
      <c r="C12" s="109"/>
      <c r="D12" s="110" t="s">
        <v>73</v>
      </c>
      <c r="E12" s="111"/>
      <c r="F12" s="112">
        <f aca="true" t="shared" si="0" ref="F12:G14">F13</f>
        <v>8000</v>
      </c>
      <c r="G12" s="112">
        <f t="shared" si="0"/>
        <v>8000</v>
      </c>
      <c r="H12" s="52"/>
    </row>
    <row r="13" spans="1:8" ht="19.5" customHeight="1" thickBot="1">
      <c r="A13" s="113"/>
      <c r="B13" s="113"/>
      <c r="C13" s="113"/>
      <c r="D13" s="114" t="s">
        <v>74</v>
      </c>
      <c r="E13" s="115"/>
      <c r="F13" s="115">
        <f t="shared" si="0"/>
        <v>8000</v>
      </c>
      <c r="G13" s="115">
        <f t="shared" si="0"/>
        <v>8000</v>
      </c>
      <c r="H13" s="52"/>
    </row>
    <row r="14" spans="1:10" ht="18" customHeight="1" thickTop="1">
      <c r="A14" s="89">
        <v>754</v>
      </c>
      <c r="B14" s="89"/>
      <c r="C14" s="89"/>
      <c r="D14" s="89" t="s">
        <v>52</v>
      </c>
      <c r="E14" s="677"/>
      <c r="F14" s="75">
        <f t="shared" si="0"/>
        <v>8000</v>
      </c>
      <c r="G14" s="75">
        <f t="shared" si="0"/>
        <v>8000</v>
      </c>
      <c r="H14" s="52"/>
      <c r="J14" s="52"/>
    </row>
    <row r="15" spans="1:10" s="149" customFormat="1" ht="18" customHeight="1">
      <c r="A15" s="81"/>
      <c r="B15" s="78">
        <v>75412</v>
      </c>
      <c r="C15" s="78"/>
      <c r="D15" s="78" t="s">
        <v>165</v>
      </c>
      <c r="E15" s="675"/>
      <c r="F15" s="137">
        <f>SUM(F17:F19)</f>
        <v>8000</v>
      </c>
      <c r="G15" s="137">
        <f>SUM(G17:G19)</f>
        <v>8000</v>
      </c>
      <c r="H15" s="148"/>
      <c r="J15" s="148"/>
    </row>
    <row r="16" spans="1:10" s="149" customFormat="1" ht="18" customHeight="1">
      <c r="A16" s="209"/>
      <c r="B16" s="210"/>
      <c r="C16" s="108"/>
      <c r="D16" s="101" t="s">
        <v>166</v>
      </c>
      <c r="E16" s="676"/>
      <c r="F16" s="676">
        <f>SUM(F17:F19)</f>
        <v>8000</v>
      </c>
      <c r="G16" s="676">
        <f>SUM(G17:G19)</f>
        <v>8000</v>
      </c>
      <c r="H16" s="148"/>
      <c r="J16" s="148"/>
    </row>
    <row r="17" spans="1:10" s="149" customFormat="1" ht="18" customHeight="1">
      <c r="A17" s="208"/>
      <c r="B17" s="172"/>
      <c r="C17" s="328">
        <v>4210</v>
      </c>
      <c r="D17" s="330" t="s">
        <v>75</v>
      </c>
      <c r="E17" s="163"/>
      <c r="F17" s="163">
        <v>2972</v>
      </c>
      <c r="G17" s="163"/>
      <c r="H17" s="148"/>
      <c r="J17" s="148"/>
    </row>
    <row r="18" spans="1:10" s="149" customFormat="1" ht="18" customHeight="1">
      <c r="A18" s="208"/>
      <c r="B18" s="172"/>
      <c r="C18" s="328">
        <v>4270</v>
      </c>
      <c r="D18" s="330" t="s">
        <v>685</v>
      </c>
      <c r="E18" s="163"/>
      <c r="F18" s="163"/>
      <c r="G18" s="163">
        <v>8000</v>
      </c>
      <c r="H18" s="148"/>
      <c r="J18" s="148"/>
    </row>
    <row r="19" spans="1:10" s="149" customFormat="1" ht="18" customHeight="1">
      <c r="A19" s="208"/>
      <c r="B19" s="172"/>
      <c r="C19" s="328">
        <v>4430</v>
      </c>
      <c r="D19" s="330" t="s">
        <v>169</v>
      </c>
      <c r="E19" s="163"/>
      <c r="F19" s="163">
        <v>5028</v>
      </c>
      <c r="G19" s="163"/>
      <c r="H19" s="148"/>
      <c r="J19" s="148"/>
    </row>
    <row r="20" spans="1:8" ht="16.5" customHeight="1">
      <c r="A20" s="67"/>
      <c r="B20" s="67"/>
      <c r="C20" s="68"/>
      <c r="D20" s="64" t="s">
        <v>538</v>
      </c>
      <c r="E20" s="65">
        <f>E21+E32</f>
        <v>784926</v>
      </c>
      <c r="F20" s="65">
        <f>F38</f>
        <v>285971</v>
      </c>
      <c r="G20" s="65"/>
      <c r="H20" s="148"/>
    </row>
    <row r="21" spans="1:8" ht="18.75" customHeight="1" thickBot="1">
      <c r="A21" s="67"/>
      <c r="B21" s="67"/>
      <c r="C21" s="68"/>
      <c r="D21" s="280" t="s">
        <v>431</v>
      </c>
      <c r="E21" s="281">
        <f>E22+E27</f>
        <v>773589</v>
      </c>
      <c r="F21" s="282"/>
      <c r="G21" s="282"/>
      <c r="H21" s="52"/>
    </row>
    <row r="22" spans="1:8" ht="18.75" customHeight="1" thickBot="1">
      <c r="A22" s="67"/>
      <c r="B22" s="67"/>
      <c r="C22" s="68"/>
      <c r="D22" s="238" t="s">
        <v>423</v>
      </c>
      <c r="E22" s="244">
        <f>E23</f>
        <v>769089</v>
      </c>
      <c r="F22" s="244"/>
      <c r="G22" s="244"/>
      <c r="H22" s="52"/>
    </row>
    <row r="23" spans="1:8" ht="18.75" customHeight="1" thickTop="1">
      <c r="A23" s="187">
        <v>854</v>
      </c>
      <c r="B23" s="72"/>
      <c r="C23" s="263"/>
      <c r="D23" s="614" t="s">
        <v>60</v>
      </c>
      <c r="E23" s="246">
        <f>E24</f>
        <v>769089</v>
      </c>
      <c r="F23" s="245"/>
      <c r="G23" s="279"/>
      <c r="H23" s="52"/>
    </row>
    <row r="24" spans="1:8" s="327" customFormat="1" ht="18.75" customHeight="1">
      <c r="A24" s="265"/>
      <c r="B24" s="234">
        <v>85415</v>
      </c>
      <c r="C24" s="266"/>
      <c r="D24" s="615" t="s">
        <v>407</v>
      </c>
      <c r="E24" s="247">
        <f>E25</f>
        <v>769089</v>
      </c>
      <c r="F24" s="247"/>
      <c r="G24" s="247"/>
      <c r="H24" s="481"/>
    </row>
    <row r="25" spans="1:8" s="479" customFormat="1" ht="25.5" customHeight="1">
      <c r="A25" s="188"/>
      <c r="B25" s="76"/>
      <c r="C25" s="221"/>
      <c r="D25" s="616" t="s">
        <v>301</v>
      </c>
      <c r="E25" s="480">
        <f>E26</f>
        <v>769089</v>
      </c>
      <c r="F25" s="480"/>
      <c r="G25" s="480"/>
      <c r="H25" s="478"/>
    </row>
    <row r="26" spans="1:10" s="149" customFormat="1" ht="18" customHeight="1">
      <c r="A26" s="208"/>
      <c r="B26" s="172"/>
      <c r="C26" s="328">
        <v>2030</v>
      </c>
      <c r="D26" s="330" t="s">
        <v>559</v>
      </c>
      <c r="E26" s="163">
        <v>769089</v>
      </c>
      <c r="F26" s="163"/>
      <c r="G26" s="163"/>
      <c r="H26" s="148"/>
      <c r="J26" s="148"/>
    </row>
    <row r="27" spans="1:8" ht="16.5" customHeight="1" thickBot="1">
      <c r="A27" s="67"/>
      <c r="B27" s="67"/>
      <c r="C27" s="68"/>
      <c r="D27" s="238" t="s">
        <v>416</v>
      </c>
      <c r="E27" s="244">
        <f>E28</f>
        <v>4500</v>
      </c>
      <c r="F27" s="244"/>
      <c r="G27" s="244"/>
      <c r="H27" s="52"/>
    </row>
    <row r="28" spans="1:8" ht="18" customHeight="1" thickTop="1">
      <c r="A28" s="187">
        <v>854</v>
      </c>
      <c r="B28" s="72"/>
      <c r="C28" s="263"/>
      <c r="D28" s="240" t="s">
        <v>60</v>
      </c>
      <c r="E28" s="246">
        <f>E29</f>
        <v>4500</v>
      </c>
      <c r="F28" s="245"/>
      <c r="G28" s="279"/>
      <c r="H28" s="52"/>
    </row>
    <row r="29" spans="1:8" s="327" customFormat="1" ht="18" customHeight="1">
      <c r="A29" s="265"/>
      <c r="B29" s="234">
        <v>85401</v>
      </c>
      <c r="C29" s="266"/>
      <c r="D29" s="239" t="s">
        <v>552</v>
      </c>
      <c r="E29" s="247">
        <f>E30</f>
        <v>4500</v>
      </c>
      <c r="F29" s="247"/>
      <c r="G29" s="247"/>
      <c r="H29" s="481"/>
    </row>
    <row r="30" spans="1:8" s="479" customFormat="1" ht="18" customHeight="1">
      <c r="A30" s="188"/>
      <c r="B30" s="76"/>
      <c r="C30" s="221"/>
      <c r="D30" s="241" t="s">
        <v>668</v>
      </c>
      <c r="E30" s="480">
        <f>E31</f>
        <v>4500</v>
      </c>
      <c r="F30" s="480"/>
      <c r="G30" s="480"/>
      <c r="H30" s="478"/>
    </row>
    <row r="31" spans="1:8" ht="28.5" customHeight="1">
      <c r="A31" s="86"/>
      <c r="B31" s="86"/>
      <c r="C31" s="270">
        <v>2010</v>
      </c>
      <c r="D31" s="242" t="s">
        <v>404</v>
      </c>
      <c r="E31" s="243">
        <v>4500</v>
      </c>
      <c r="F31" s="243"/>
      <c r="G31" s="243"/>
      <c r="H31" s="52"/>
    </row>
    <row r="32" spans="1:8" ht="20.25" customHeight="1" thickBot="1">
      <c r="A32" s="67"/>
      <c r="B32" s="67"/>
      <c r="C32" s="68"/>
      <c r="D32" s="280" t="s">
        <v>636</v>
      </c>
      <c r="E32" s="281">
        <f>E33</f>
        <v>11337</v>
      </c>
      <c r="F32" s="282"/>
      <c r="G32" s="282"/>
      <c r="H32" s="52"/>
    </row>
    <row r="33" spans="1:8" ht="31.5" customHeight="1" thickBot="1">
      <c r="A33" s="86"/>
      <c r="B33" s="86"/>
      <c r="C33" s="86"/>
      <c r="D33" s="1082" t="s">
        <v>630</v>
      </c>
      <c r="E33" s="244">
        <f>E34</f>
        <v>11337</v>
      </c>
      <c r="F33" s="244"/>
      <c r="G33" s="244"/>
      <c r="H33" s="52"/>
    </row>
    <row r="34" spans="1:8" ht="21" customHeight="1" thickTop="1">
      <c r="A34" s="187">
        <v>710</v>
      </c>
      <c r="B34" s="72"/>
      <c r="C34" s="263"/>
      <c r="D34" s="240" t="s">
        <v>526</v>
      </c>
      <c r="E34" s="246">
        <f>E35</f>
        <v>11337</v>
      </c>
      <c r="F34" s="245"/>
      <c r="G34" s="279"/>
      <c r="H34" s="52"/>
    </row>
    <row r="35" spans="1:8" s="327" customFormat="1" ht="21" customHeight="1">
      <c r="A35" s="265"/>
      <c r="B35" s="234">
        <v>71095</v>
      </c>
      <c r="C35" s="266"/>
      <c r="D35" s="239" t="s">
        <v>57</v>
      </c>
      <c r="E35" s="247">
        <f>E36</f>
        <v>11337</v>
      </c>
      <c r="F35" s="247"/>
      <c r="G35" s="247"/>
      <c r="H35" s="481"/>
    </row>
    <row r="36" spans="1:8" s="479" customFormat="1" ht="17.25" customHeight="1">
      <c r="A36" s="188"/>
      <c r="B36" s="76"/>
      <c r="C36" s="221"/>
      <c r="D36" s="960" t="s">
        <v>669</v>
      </c>
      <c r="E36" s="480">
        <f>E37</f>
        <v>11337</v>
      </c>
      <c r="F36" s="480"/>
      <c r="G36" s="480"/>
      <c r="H36" s="478"/>
    </row>
    <row r="37" spans="1:10" s="149" customFormat="1" ht="25.5" customHeight="1">
      <c r="A37" s="85"/>
      <c r="B37" s="85"/>
      <c r="C37" s="270">
        <v>2110</v>
      </c>
      <c r="D37" s="242" t="s">
        <v>631</v>
      </c>
      <c r="E37" s="978">
        <v>11337</v>
      </c>
      <c r="F37" s="978"/>
      <c r="G37" s="978"/>
      <c r="H37" s="148"/>
      <c r="J37" s="148"/>
    </row>
    <row r="38" spans="1:8" s="130" customFormat="1" ht="18" customHeight="1" thickBot="1">
      <c r="A38" s="151"/>
      <c r="B38" s="151"/>
      <c r="C38" s="151"/>
      <c r="D38" s="152" t="s">
        <v>51</v>
      </c>
      <c r="E38" s="153"/>
      <c r="F38" s="153">
        <f>F39</f>
        <v>285971</v>
      </c>
      <c r="G38" s="153"/>
      <c r="H38" s="138"/>
    </row>
    <row r="39" spans="1:8" ht="17.25" customHeight="1" thickTop="1">
      <c r="A39" s="72">
        <v>758</v>
      </c>
      <c r="B39" s="89"/>
      <c r="C39" s="73"/>
      <c r="D39" s="73" t="s">
        <v>53</v>
      </c>
      <c r="E39" s="87"/>
      <c r="F39" s="87">
        <f>F40</f>
        <v>285971</v>
      </c>
      <c r="G39" s="87"/>
      <c r="H39" s="52"/>
    </row>
    <row r="40" spans="1:8" s="149" customFormat="1" ht="16.5" customHeight="1">
      <c r="A40" s="141"/>
      <c r="B40" s="142">
        <v>75818</v>
      </c>
      <c r="C40" s="142"/>
      <c r="D40" s="142" t="s">
        <v>54</v>
      </c>
      <c r="E40" s="147"/>
      <c r="F40" s="147">
        <f>F41+F43</f>
        <v>285971</v>
      </c>
      <c r="G40" s="147"/>
      <c r="H40" s="148"/>
    </row>
    <row r="41" spans="1:8" s="149" customFormat="1" ht="17.25" customHeight="1">
      <c r="A41" s="141"/>
      <c r="B41" s="108"/>
      <c r="C41" s="108"/>
      <c r="D41" s="98" t="s">
        <v>563</v>
      </c>
      <c r="E41" s="150"/>
      <c r="F41" s="150">
        <f>F42</f>
        <v>260000</v>
      </c>
      <c r="G41" s="150"/>
      <c r="H41" s="148"/>
    </row>
    <row r="42" spans="1:8" s="149" customFormat="1" ht="18.75" customHeight="1">
      <c r="A42" s="141"/>
      <c r="B42" s="108"/>
      <c r="C42" s="140">
        <v>4810</v>
      </c>
      <c r="D42" s="140" t="s">
        <v>77</v>
      </c>
      <c r="E42" s="145"/>
      <c r="F42" s="145">
        <v>260000</v>
      </c>
      <c r="G42" s="145"/>
      <c r="H42" s="148"/>
    </row>
    <row r="43" spans="1:8" s="237" customFormat="1" ht="18.75" customHeight="1">
      <c r="A43" s="432"/>
      <c r="B43" s="433"/>
      <c r="C43" s="433"/>
      <c r="D43" s="435" t="s">
        <v>535</v>
      </c>
      <c r="E43" s="436"/>
      <c r="F43" s="436">
        <f>F44</f>
        <v>25971</v>
      </c>
      <c r="G43" s="436"/>
      <c r="H43" s="213"/>
    </row>
    <row r="44" spans="1:8" s="158" customFormat="1" ht="18.75" customHeight="1">
      <c r="A44" s="434"/>
      <c r="B44" s="155"/>
      <c r="C44" s="328">
        <v>4810</v>
      </c>
      <c r="D44" s="328" t="s">
        <v>77</v>
      </c>
      <c r="E44" s="437"/>
      <c r="F44" s="437">
        <f>24800+1171</f>
        <v>25971</v>
      </c>
      <c r="G44" s="437"/>
      <c r="H44" s="157"/>
    </row>
    <row r="45" spans="1:8" s="171" customFormat="1" ht="18.75" customHeight="1">
      <c r="A45" s="167"/>
      <c r="B45" s="139"/>
      <c r="C45" s="168"/>
      <c r="D45" s="169" t="s">
        <v>298</v>
      </c>
      <c r="E45" s="170"/>
      <c r="F45" s="170">
        <f>F46</f>
        <v>544551</v>
      </c>
      <c r="G45" s="170">
        <f>G46</f>
        <v>625190</v>
      </c>
      <c r="H45" s="329"/>
    </row>
    <row r="46" spans="1:8" s="158" customFormat="1" ht="19.5" customHeight="1" thickBot="1">
      <c r="A46" s="331"/>
      <c r="B46" s="331"/>
      <c r="C46" s="331"/>
      <c r="D46" s="166" t="s">
        <v>51</v>
      </c>
      <c r="E46" s="165"/>
      <c r="F46" s="196">
        <f>F65+F47+F54+F70</f>
        <v>544551</v>
      </c>
      <c r="G46" s="196">
        <f>G65+G47+G54+G70</f>
        <v>625190</v>
      </c>
      <c r="H46" s="157"/>
    </row>
    <row r="47" spans="1:8" s="22" customFormat="1" ht="19.5" customHeight="1" thickTop="1">
      <c r="A47" s="89">
        <v>750</v>
      </c>
      <c r="B47" s="89"/>
      <c r="C47" s="89"/>
      <c r="D47" s="89" t="s">
        <v>62</v>
      </c>
      <c r="E47" s="73"/>
      <c r="F47" s="75">
        <f>F48</f>
        <v>135000</v>
      </c>
      <c r="G47" s="75">
        <f>G48</f>
        <v>135000</v>
      </c>
      <c r="H47" s="47"/>
    </row>
    <row r="48" spans="1:8" s="95" customFormat="1" ht="19.5" customHeight="1">
      <c r="A48" s="683"/>
      <c r="B48" s="77">
        <v>75023</v>
      </c>
      <c r="C48" s="77"/>
      <c r="D48" s="77" t="s">
        <v>78</v>
      </c>
      <c r="E48" s="79"/>
      <c r="F48" s="137">
        <f>F49+F51</f>
        <v>135000</v>
      </c>
      <c r="G48" s="137">
        <f>G49+G51</f>
        <v>135000</v>
      </c>
      <c r="H48" s="94"/>
    </row>
    <row r="49" spans="1:8" s="22" customFormat="1" ht="19.5" customHeight="1">
      <c r="A49" s="209"/>
      <c r="B49" s="220"/>
      <c r="C49" s="108"/>
      <c r="D49" s="101" t="s">
        <v>79</v>
      </c>
      <c r="E49" s="676"/>
      <c r="F49" s="276"/>
      <c r="G49" s="276">
        <f>G50</f>
        <v>135000</v>
      </c>
      <c r="H49" s="47"/>
    </row>
    <row r="50" spans="1:8" s="22" customFormat="1" ht="19.5" customHeight="1">
      <c r="A50" s="208"/>
      <c r="B50" s="172"/>
      <c r="C50" s="328">
        <v>4140</v>
      </c>
      <c r="D50" s="330" t="s">
        <v>162</v>
      </c>
      <c r="E50" s="163"/>
      <c r="F50" s="156"/>
      <c r="G50" s="156">
        <v>135000</v>
      </c>
      <c r="H50" s="47"/>
    </row>
    <row r="51" spans="1:8" s="22" customFormat="1" ht="19.5" customHeight="1">
      <c r="A51" s="209"/>
      <c r="B51" s="220"/>
      <c r="C51" s="108"/>
      <c r="D51" s="101" t="s">
        <v>105</v>
      </c>
      <c r="E51" s="676"/>
      <c r="F51" s="144">
        <f>SUM(F52:F53)</f>
        <v>135000</v>
      </c>
      <c r="G51" s="144"/>
      <c r="H51" s="47"/>
    </row>
    <row r="52" spans="1:8" s="95" customFormat="1" ht="19.5" customHeight="1">
      <c r="A52" s="208"/>
      <c r="B52" s="172"/>
      <c r="C52" s="328">
        <v>4110</v>
      </c>
      <c r="D52" s="330" t="s">
        <v>163</v>
      </c>
      <c r="E52" s="163"/>
      <c r="F52" s="156">
        <v>100000</v>
      </c>
      <c r="G52" s="156"/>
      <c r="H52" s="94"/>
    </row>
    <row r="53" spans="1:8" s="158" customFormat="1" ht="19.5" customHeight="1">
      <c r="A53" s="235"/>
      <c r="B53" s="331"/>
      <c r="C53" s="328">
        <v>4120</v>
      </c>
      <c r="D53" s="330" t="s">
        <v>164</v>
      </c>
      <c r="E53" s="163"/>
      <c r="F53" s="443">
        <v>35000</v>
      </c>
      <c r="G53" s="443"/>
      <c r="H53" s="157"/>
    </row>
    <row r="54" spans="1:11" s="22" customFormat="1" ht="18" customHeight="1">
      <c r="A54" s="72">
        <v>801</v>
      </c>
      <c r="B54" s="89"/>
      <c r="C54" s="73"/>
      <c r="D54" s="92" t="s">
        <v>58</v>
      </c>
      <c r="E54" s="75"/>
      <c r="F54" s="75">
        <f>F55+F58</f>
        <v>268608</v>
      </c>
      <c r="G54" s="75">
        <f>G55+G58</f>
        <v>230190</v>
      </c>
      <c r="H54" s="47"/>
      <c r="I54" s="47"/>
      <c r="K54" s="47"/>
    </row>
    <row r="55" spans="1:11" s="95" customFormat="1" ht="18" customHeight="1">
      <c r="A55" s="221"/>
      <c r="B55" s="77">
        <v>80101</v>
      </c>
      <c r="C55" s="77"/>
      <c r="D55" s="77" t="s">
        <v>409</v>
      </c>
      <c r="E55" s="79"/>
      <c r="F55" s="79">
        <f>F56</f>
        <v>9018</v>
      </c>
      <c r="G55" s="79"/>
      <c r="H55" s="138"/>
      <c r="I55" s="138"/>
      <c r="K55" s="94"/>
    </row>
    <row r="56" spans="1:11" s="95" customFormat="1" ht="18" customHeight="1">
      <c r="A56" s="80"/>
      <c r="B56" s="66"/>
      <c r="C56" s="66"/>
      <c r="D56" s="887" t="s">
        <v>79</v>
      </c>
      <c r="E56" s="888"/>
      <c r="F56" s="888">
        <f>F57</f>
        <v>9018</v>
      </c>
      <c r="G56" s="888"/>
      <c r="H56" s="138"/>
      <c r="I56" s="138"/>
      <c r="K56" s="94"/>
    </row>
    <row r="57" spans="1:11" s="758" customFormat="1" ht="18" customHeight="1">
      <c r="A57" s="207"/>
      <c r="B57" s="81"/>
      <c r="C57" s="82">
        <v>4270</v>
      </c>
      <c r="D57" s="688" t="s">
        <v>576</v>
      </c>
      <c r="E57" s="761"/>
      <c r="F57" s="761">
        <v>9018</v>
      </c>
      <c r="G57" s="761"/>
      <c r="H57" s="159"/>
      <c r="I57" s="159"/>
      <c r="K57" s="759"/>
    </row>
    <row r="58" spans="1:11" s="95" customFormat="1" ht="18" customHeight="1">
      <c r="A58" s="76"/>
      <c r="B58" s="77">
        <v>80130</v>
      </c>
      <c r="C58" s="77"/>
      <c r="D58" s="77" t="s">
        <v>107</v>
      </c>
      <c r="E58" s="79"/>
      <c r="F58" s="79">
        <f>F59+F61</f>
        <v>259590</v>
      </c>
      <c r="G58" s="79">
        <f>G59+G61</f>
        <v>230190</v>
      </c>
      <c r="H58" s="138"/>
      <c r="I58" s="138"/>
      <c r="K58" s="94"/>
    </row>
    <row r="59" spans="1:11" s="95" customFormat="1" ht="18" customHeight="1">
      <c r="A59" s="80"/>
      <c r="B59" s="499"/>
      <c r="C59" s="499"/>
      <c r="D59" s="691" t="s">
        <v>79</v>
      </c>
      <c r="E59" s="757"/>
      <c r="F59" s="757">
        <f>F60</f>
        <v>29400</v>
      </c>
      <c r="G59" s="757"/>
      <c r="H59" s="138"/>
      <c r="I59" s="138"/>
      <c r="K59" s="94"/>
    </row>
    <row r="60" spans="1:11" s="758" customFormat="1" ht="18" customHeight="1">
      <c r="A60" s="698"/>
      <c r="B60" s="82"/>
      <c r="C60" s="82">
        <v>4270</v>
      </c>
      <c r="D60" s="688" t="s">
        <v>576</v>
      </c>
      <c r="E60" s="730"/>
      <c r="F60" s="730">
        <v>29400</v>
      </c>
      <c r="G60" s="730"/>
      <c r="H60" s="159"/>
      <c r="I60" s="159"/>
      <c r="K60" s="759"/>
    </row>
    <row r="61" spans="1:8" s="130" customFormat="1" ht="18" customHeight="1">
      <c r="A61" s="80"/>
      <c r="B61" s="66"/>
      <c r="C61" s="66"/>
      <c r="D61" s="66" t="s">
        <v>275</v>
      </c>
      <c r="E61" s="1213"/>
      <c r="F61" s="1213">
        <f>F64</f>
        <v>230190</v>
      </c>
      <c r="G61" s="1213">
        <f>G64</f>
        <v>230190</v>
      </c>
      <c r="H61" s="138"/>
    </row>
    <row r="62" spans="1:8" s="130" customFormat="1" ht="18" customHeight="1">
      <c r="A62" s="207"/>
      <c r="B62" s="81"/>
      <c r="C62" s="81"/>
      <c r="D62" s="611" t="s">
        <v>580</v>
      </c>
      <c r="E62" s="613"/>
      <c r="F62" s="613">
        <v>230190</v>
      </c>
      <c r="G62" s="613"/>
      <c r="H62" s="138"/>
    </row>
    <row r="63" spans="1:8" s="130" customFormat="1" ht="18" customHeight="1">
      <c r="A63" s="207"/>
      <c r="B63" s="81"/>
      <c r="C63" s="81"/>
      <c r="D63" s="862" t="s">
        <v>589</v>
      </c>
      <c r="E63" s="863"/>
      <c r="F63" s="863"/>
      <c r="G63" s="863">
        <v>230190</v>
      </c>
      <c r="H63" s="138"/>
    </row>
    <row r="64" spans="1:8" s="160" customFormat="1" ht="18" customHeight="1">
      <c r="A64" s="698"/>
      <c r="B64" s="82"/>
      <c r="C64" s="82">
        <v>6050</v>
      </c>
      <c r="D64" s="83" t="s">
        <v>262</v>
      </c>
      <c r="E64" s="476"/>
      <c r="F64" s="476">
        <f>F62</f>
        <v>230190</v>
      </c>
      <c r="G64" s="476">
        <f>SUM(G62:G63)</f>
        <v>230190</v>
      </c>
      <c r="H64" s="159"/>
    </row>
    <row r="65" spans="1:8" s="130" customFormat="1" ht="18" customHeight="1">
      <c r="A65" s="456">
        <v>852</v>
      </c>
      <c r="B65" s="73"/>
      <c r="C65" s="73"/>
      <c r="D65" s="92" t="s">
        <v>59</v>
      </c>
      <c r="E65" s="96"/>
      <c r="F65" s="96"/>
      <c r="G65" s="96">
        <f>G66</f>
        <v>260000</v>
      </c>
      <c r="H65" s="138"/>
    </row>
    <row r="66" spans="1:8" s="130" customFormat="1" ht="18" customHeight="1">
      <c r="A66" s="76"/>
      <c r="B66" s="77">
        <v>85201</v>
      </c>
      <c r="C66" s="77"/>
      <c r="D66" s="334" t="s">
        <v>560</v>
      </c>
      <c r="E66" s="147"/>
      <c r="F66" s="147"/>
      <c r="G66" s="147">
        <f>G67</f>
        <v>260000</v>
      </c>
      <c r="H66" s="138"/>
    </row>
    <row r="67" spans="1:8" s="130" customFormat="1" ht="18" customHeight="1">
      <c r="A67" s="80"/>
      <c r="B67" s="499"/>
      <c r="C67" s="66"/>
      <c r="D67" s="499" t="s">
        <v>275</v>
      </c>
      <c r="E67" s="612"/>
      <c r="F67" s="612"/>
      <c r="G67" s="612">
        <f>G68</f>
        <v>260000</v>
      </c>
      <c r="H67" s="138"/>
    </row>
    <row r="68" spans="1:8" s="130" customFormat="1" ht="18" customHeight="1">
      <c r="A68" s="207"/>
      <c r="B68" s="81"/>
      <c r="C68" s="81"/>
      <c r="D68" s="611" t="s">
        <v>297</v>
      </c>
      <c r="E68" s="613"/>
      <c r="F68" s="613"/>
      <c r="G68" s="613">
        <v>260000</v>
      </c>
      <c r="H68" s="138"/>
    </row>
    <row r="69" spans="1:8" s="160" customFormat="1" ht="18" customHeight="1">
      <c r="A69" s="207"/>
      <c r="B69" s="81"/>
      <c r="C69" s="82">
        <v>6050</v>
      </c>
      <c r="D69" s="83" t="s">
        <v>262</v>
      </c>
      <c r="E69" s="476"/>
      <c r="F69" s="476"/>
      <c r="G69" s="476">
        <f>G68</f>
        <v>260000</v>
      </c>
      <c r="H69" s="159"/>
    </row>
    <row r="70" spans="1:11" s="22" customFormat="1" ht="18" customHeight="1">
      <c r="A70" s="72">
        <v>854</v>
      </c>
      <c r="B70" s="89"/>
      <c r="C70" s="73"/>
      <c r="D70" s="92" t="s">
        <v>60</v>
      </c>
      <c r="E70" s="75"/>
      <c r="F70" s="75">
        <f>F71+F75</f>
        <v>140943</v>
      </c>
      <c r="G70" s="75"/>
      <c r="H70" s="47"/>
      <c r="I70" s="47"/>
      <c r="K70" s="47"/>
    </row>
    <row r="71" spans="1:11" s="95" customFormat="1" ht="18" customHeight="1">
      <c r="A71" s="76"/>
      <c r="B71" s="78">
        <v>85403</v>
      </c>
      <c r="C71" s="78"/>
      <c r="D71" s="78" t="s">
        <v>553</v>
      </c>
      <c r="E71" s="675"/>
      <c r="F71" s="675">
        <f>F72</f>
        <v>943</v>
      </c>
      <c r="G71" s="137"/>
      <c r="H71" s="138"/>
      <c r="I71" s="138"/>
      <c r="K71" s="94"/>
    </row>
    <row r="72" spans="1:11" s="130" customFormat="1" ht="18" customHeight="1">
      <c r="A72" s="80"/>
      <c r="B72" s="66"/>
      <c r="C72" s="66"/>
      <c r="D72" s="765" t="s">
        <v>275</v>
      </c>
      <c r="E72" s="143"/>
      <c r="F72" s="143">
        <f>F74</f>
        <v>943</v>
      </c>
      <c r="G72" s="143"/>
      <c r="H72" s="138"/>
      <c r="I72" s="138"/>
      <c r="K72" s="138"/>
    </row>
    <row r="73" spans="1:11" s="158" customFormat="1" ht="18" customHeight="1">
      <c r="A73" s="208"/>
      <c r="B73" s="172"/>
      <c r="C73" s="172"/>
      <c r="D73" s="738" t="s">
        <v>577</v>
      </c>
      <c r="E73" s="487"/>
      <c r="F73" s="487">
        <v>943</v>
      </c>
      <c r="G73" s="487"/>
      <c r="H73" s="157"/>
      <c r="I73" s="157"/>
      <c r="K73" s="157"/>
    </row>
    <row r="74" spans="1:11" s="160" customFormat="1" ht="18" customHeight="1">
      <c r="A74" s="207"/>
      <c r="B74" s="82"/>
      <c r="C74" s="82">
        <v>6050</v>
      </c>
      <c r="D74" s="682" t="s">
        <v>262</v>
      </c>
      <c r="E74" s="154"/>
      <c r="F74" s="154">
        <f>F73</f>
        <v>943</v>
      </c>
      <c r="G74" s="154"/>
      <c r="H74" s="159"/>
      <c r="I74" s="159"/>
      <c r="K74" s="159"/>
    </row>
    <row r="75" spans="1:11" s="95" customFormat="1" ht="18" customHeight="1">
      <c r="A75" s="76"/>
      <c r="B75" s="78">
        <v>85410</v>
      </c>
      <c r="C75" s="78"/>
      <c r="D75" s="78" t="s">
        <v>438</v>
      </c>
      <c r="E75" s="675"/>
      <c r="F75" s="675">
        <f>F76</f>
        <v>140000</v>
      </c>
      <c r="G75" s="675"/>
      <c r="H75" s="138"/>
      <c r="I75" s="138"/>
      <c r="K75" s="94"/>
    </row>
    <row r="76" spans="1:11" s="95" customFormat="1" ht="18" customHeight="1">
      <c r="A76" s="80"/>
      <c r="B76" s="499"/>
      <c r="C76" s="499"/>
      <c r="D76" s="691" t="s">
        <v>79</v>
      </c>
      <c r="E76" s="757"/>
      <c r="F76" s="757">
        <f>F77</f>
        <v>140000</v>
      </c>
      <c r="G76" s="757"/>
      <c r="H76" s="138"/>
      <c r="I76" s="138"/>
      <c r="K76" s="94"/>
    </row>
    <row r="77" spans="1:11" s="758" customFormat="1" ht="18" customHeight="1">
      <c r="A77" s="207"/>
      <c r="B77" s="81"/>
      <c r="C77" s="82">
        <v>4270</v>
      </c>
      <c r="D77" s="688" t="s">
        <v>170</v>
      </c>
      <c r="E77" s="730"/>
      <c r="F77" s="730">
        <v>140000</v>
      </c>
      <c r="G77" s="730"/>
      <c r="H77" s="159"/>
      <c r="I77" s="159"/>
      <c r="K77" s="759"/>
    </row>
    <row r="78" spans="1:8" ht="18" customHeight="1">
      <c r="A78" s="66"/>
      <c r="B78" s="67"/>
      <c r="C78" s="68"/>
      <c r="D78" s="64" t="s">
        <v>305</v>
      </c>
      <c r="E78" s="225"/>
      <c r="F78" s="65">
        <f>F79+F130</f>
        <v>221247</v>
      </c>
      <c r="G78" s="65">
        <f>G79+G130</f>
        <v>226698</v>
      </c>
      <c r="H78" s="52"/>
    </row>
    <row r="79" spans="1:8" ht="18" customHeight="1" thickBot="1">
      <c r="A79" s="69"/>
      <c r="B79" s="69"/>
      <c r="C79" s="69"/>
      <c r="D79" s="70" t="s">
        <v>74</v>
      </c>
      <c r="E79" s="71"/>
      <c r="F79" s="71">
        <f>F111+F80</f>
        <v>182600</v>
      </c>
      <c r="G79" s="71">
        <f>G111+G80</f>
        <v>204266</v>
      </c>
      <c r="H79" s="52"/>
    </row>
    <row r="80" spans="1:8" s="22" customFormat="1" ht="18" customHeight="1" thickTop="1">
      <c r="A80" s="72">
        <v>801</v>
      </c>
      <c r="B80" s="89"/>
      <c r="C80" s="73"/>
      <c r="D80" s="92" t="s">
        <v>58</v>
      </c>
      <c r="E80" s="87"/>
      <c r="F80" s="87">
        <f>F81+F85+F88+F92+F97+F100+F103+F106</f>
        <v>123900</v>
      </c>
      <c r="G80" s="87">
        <f>G81</f>
        <v>127090</v>
      </c>
      <c r="H80" s="47"/>
    </row>
    <row r="81" spans="1:8" s="22" customFormat="1" ht="18" customHeight="1">
      <c r="A81" s="76"/>
      <c r="B81" s="77">
        <v>80104</v>
      </c>
      <c r="C81" s="77"/>
      <c r="D81" s="77" t="s">
        <v>108</v>
      </c>
      <c r="E81" s="79"/>
      <c r="F81" s="79"/>
      <c r="G81" s="79">
        <f>G82</f>
        <v>127090</v>
      </c>
      <c r="H81" s="47"/>
    </row>
    <row r="82" spans="1:8" s="22" customFormat="1" ht="18" customHeight="1">
      <c r="A82" s="80"/>
      <c r="B82" s="66"/>
      <c r="C82" s="66"/>
      <c r="D82" s="689" t="s">
        <v>79</v>
      </c>
      <c r="E82" s="739"/>
      <c r="F82" s="739"/>
      <c r="G82" s="739">
        <f>SUM(G83:G84)</f>
        <v>127090</v>
      </c>
      <c r="H82" s="47"/>
    </row>
    <row r="83" spans="1:8" s="22" customFormat="1" ht="18" customHeight="1">
      <c r="A83" s="207"/>
      <c r="B83" s="81"/>
      <c r="C83" s="140">
        <v>4260</v>
      </c>
      <c r="D83" s="83" t="s">
        <v>167</v>
      </c>
      <c r="E83" s="84"/>
      <c r="F83" s="84"/>
      <c r="G83" s="84">
        <v>72000</v>
      </c>
      <c r="H83" s="47"/>
    </row>
    <row r="84" spans="1:8" s="22" customFormat="1" ht="18" customHeight="1">
      <c r="A84" s="207"/>
      <c r="B84" s="82"/>
      <c r="C84" s="140">
        <v>4300</v>
      </c>
      <c r="D84" s="83" t="s">
        <v>76</v>
      </c>
      <c r="E84" s="84"/>
      <c r="F84" s="84"/>
      <c r="G84" s="84">
        <f>56792-1702</f>
        <v>55090</v>
      </c>
      <c r="H84" s="47"/>
    </row>
    <row r="85" spans="1:11" s="95" customFormat="1" ht="18" customHeight="1">
      <c r="A85" s="76"/>
      <c r="B85" s="78">
        <v>80110</v>
      </c>
      <c r="C85" s="78"/>
      <c r="D85" s="78" t="s">
        <v>410</v>
      </c>
      <c r="E85" s="675"/>
      <c r="F85" s="675">
        <f>F86</f>
        <v>38000</v>
      </c>
      <c r="G85" s="675"/>
      <c r="H85" s="138"/>
      <c r="I85" s="138"/>
      <c r="K85" s="94"/>
    </row>
    <row r="86" spans="1:11" s="95" customFormat="1" ht="18" customHeight="1">
      <c r="A86" s="80"/>
      <c r="B86" s="499"/>
      <c r="C86" s="499"/>
      <c r="D86" s="691" t="s">
        <v>79</v>
      </c>
      <c r="E86" s="757"/>
      <c r="F86" s="757">
        <f>F87</f>
        <v>38000</v>
      </c>
      <c r="G86" s="757"/>
      <c r="H86" s="138"/>
      <c r="I86" s="138"/>
      <c r="K86" s="94"/>
    </row>
    <row r="87" spans="1:11" s="758" customFormat="1" ht="18" customHeight="1">
      <c r="A87" s="207"/>
      <c r="B87" s="81"/>
      <c r="C87" s="82">
        <v>4260</v>
      </c>
      <c r="D87" s="688" t="s">
        <v>167</v>
      </c>
      <c r="E87" s="761"/>
      <c r="F87" s="761">
        <v>38000</v>
      </c>
      <c r="G87" s="761"/>
      <c r="H87" s="159"/>
      <c r="I87" s="159"/>
      <c r="K87" s="759"/>
    </row>
    <row r="88" spans="1:11" s="95" customFormat="1" ht="18" customHeight="1">
      <c r="A88" s="76"/>
      <c r="B88" s="77">
        <v>80120</v>
      </c>
      <c r="C88" s="77"/>
      <c r="D88" s="77" t="s">
        <v>411</v>
      </c>
      <c r="E88" s="79"/>
      <c r="F88" s="79">
        <f>F89</f>
        <v>17900</v>
      </c>
      <c r="G88" s="79"/>
      <c r="H88" s="138"/>
      <c r="I88" s="138"/>
      <c r="K88" s="94"/>
    </row>
    <row r="89" spans="1:11" s="95" customFormat="1" ht="18" customHeight="1">
      <c r="A89" s="80"/>
      <c r="B89" s="499"/>
      <c r="C89" s="499"/>
      <c r="D89" s="691" t="s">
        <v>79</v>
      </c>
      <c r="E89" s="757"/>
      <c r="F89" s="757">
        <f>F90</f>
        <v>17900</v>
      </c>
      <c r="G89" s="757"/>
      <c r="H89" s="138"/>
      <c r="I89" s="138"/>
      <c r="K89" s="94"/>
    </row>
    <row r="90" spans="1:11" s="160" customFormat="1" ht="18" customHeight="1">
      <c r="A90" s="207"/>
      <c r="B90" s="81"/>
      <c r="C90" s="109">
        <v>4260</v>
      </c>
      <c r="D90" s="697" t="s">
        <v>167</v>
      </c>
      <c r="E90" s="742"/>
      <c r="F90" s="742">
        <v>17900</v>
      </c>
      <c r="G90" s="742"/>
      <c r="H90" s="159"/>
      <c r="I90" s="159"/>
      <c r="K90" s="159"/>
    </row>
    <row r="91" spans="1:11" s="160" customFormat="1" ht="18" customHeight="1">
      <c r="A91" s="889"/>
      <c r="B91" s="890"/>
      <c r="C91" s="1205"/>
      <c r="D91" s="905"/>
      <c r="E91" s="903"/>
      <c r="F91" s="903"/>
      <c r="G91" s="903"/>
      <c r="H91" s="159"/>
      <c r="I91" s="159"/>
      <c r="K91" s="159"/>
    </row>
    <row r="92" spans="1:11" s="95" customFormat="1" ht="18" customHeight="1">
      <c r="A92" s="76"/>
      <c r="B92" s="78">
        <v>80121</v>
      </c>
      <c r="C92" s="78"/>
      <c r="D92" s="78" t="s">
        <v>546</v>
      </c>
      <c r="E92" s="675"/>
      <c r="F92" s="675">
        <f>F93+F95</f>
        <v>4000</v>
      </c>
      <c r="G92" s="675"/>
      <c r="H92" s="138"/>
      <c r="I92" s="138"/>
      <c r="K92" s="94"/>
    </row>
    <row r="93" spans="1:11" s="95" customFormat="1" ht="18" customHeight="1">
      <c r="A93" s="80"/>
      <c r="B93" s="499"/>
      <c r="C93" s="499"/>
      <c r="D93" s="691" t="s">
        <v>79</v>
      </c>
      <c r="E93" s="757"/>
      <c r="F93" s="757">
        <f>F94</f>
        <v>2000</v>
      </c>
      <c r="G93" s="757"/>
      <c r="H93" s="138"/>
      <c r="I93" s="138"/>
      <c r="K93" s="94"/>
    </row>
    <row r="94" spans="1:11" s="758" customFormat="1" ht="18" customHeight="1">
      <c r="A94" s="207"/>
      <c r="B94" s="81"/>
      <c r="C94" s="81">
        <v>4260</v>
      </c>
      <c r="D94" s="760" t="s">
        <v>167</v>
      </c>
      <c r="E94" s="761"/>
      <c r="F94" s="761">
        <v>2000</v>
      </c>
      <c r="G94" s="761"/>
      <c r="H94" s="159"/>
      <c r="I94" s="159"/>
      <c r="K94" s="759"/>
    </row>
    <row r="95" spans="1:11" s="95" customFormat="1" ht="18" customHeight="1">
      <c r="A95" s="80"/>
      <c r="B95" s="66"/>
      <c r="C95" s="499"/>
      <c r="D95" s="691" t="s">
        <v>105</v>
      </c>
      <c r="E95" s="757"/>
      <c r="F95" s="757">
        <f>F96</f>
        <v>2000</v>
      </c>
      <c r="G95" s="757"/>
      <c r="H95" s="138"/>
      <c r="I95" s="138"/>
      <c r="K95" s="94"/>
    </row>
    <row r="96" spans="1:11" s="758" customFormat="1" ht="18" customHeight="1">
      <c r="A96" s="207"/>
      <c r="B96" s="81"/>
      <c r="C96" s="81">
        <v>4110</v>
      </c>
      <c r="D96" s="760" t="s">
        <v>163</v>
      </c>
      <c r="E96" s="761"/>
      <c r="F96" s="761">
        <v>2000</v>
      </c>
      <c r="G96" s="761"/>
      <c r="H96" s="159"/>
      <c r="I96" s="159"/>
      <c r="K96" s="759"/>
    </row>
    <row r="97" spans="1:11" s="95" customFormat="1" ht="18" customHeight="1">
      <c r="A97" s="76"/>
      <c r="B97" s="77">
        <v>80123</v>
      </c>
      <c r="C97" s="77"/>
      <c r="D97" s="77" t="s">
        <v>547</v>
      </c>
      <c r="E97" s="79"/>
      <c r="F97" s="79">
        <f>F98</f>
        <v>9000</v>
      </c>
      <c r="G97" s="79"/>
      <c r="H97" s="138"/>
      <c r="I97" s="138"/>
      <c r="K97" s="94"/>
    </row>
    <row r="98" spans="1:11" s="95" customFormat="1" ht="18" customHeight="1">
      <c r="A98" s="80"/>
      <c r="B98" s="66"/>
      <c r="C98" s="499"/>
      <c r="D98" s="691" t="s">
        <v>105</v>
      </c>
      <c r="E98" s="757"/>
      <c r="F98" s="757">
        <f>F99</f>
        <v>9000</v>
      </c>
      <c r="G98" s="757"/>
      <c r="H98" s="138"/>
      <c r="I98" s="138"/>
      <c r="K98" s="94"/>
    </row>
    <row r="99" spans="1:11" s="758" customFormat="1" ht="18" customHeight="1">
      <c r="A99" s="207"/>
      <c r="B99" s="81"/>
      <c r="C99" s="81">
        <v>4110</v>
      </c>
      <c r="D99" s="760" t="s">
        <v>163</v>
      </c>
      <c r="E99" s="761"/>
      <c r="F99" s="761">
        <v>9000</v>
      </c>
      <c r="G99" s="761"/>
      <c r="H99" s="159"/>
      <c r="I99" s="159"/>
      <c r="K99" s="759"/>
    </row>
    <row r="100" spans="1:11" s="95" customFormat="1" ht="18" customHeight="1">
      <c r="A100" s="76"/>
      <c r="B100" s="77">
        <v>80130</v>
      </c>
      <c r="C100" s="77"/>
      <c r="D100" s="77" t="s">
        <v>107</v>
      </c>
      <c r="E100" s="79"/>
      <c r="F100" s="79">
        <f>F101</f>
        <v>41000</v>
      </c>
      <c r="G100" s="79"/>
      <c r="H100" s="138"/>
      <c r="I100" s="138"/>
      <c r="K100" s="94"/>
    </row>
    <row r="101" spans="1:11" s="95" customFormat="1" ht="18" customHeight="1">
      <c r="A101" s="80"/>
      <c r="B101" s="66"/>
      <c r="C101" s="499"/>
      <c r="D101" s="691" t="s">
        <v>79</v>
      </c>
      <c r="E101" s="757"/>
      <c r="F101" s="757">
        <f>F102</f>
        <v>41000</v>
      </c>
      <c r="G101" s="757"/>
      <c r="H101" s="138"/>
      <c r="I101" s="138"/>
      <c r="K101" s="94"/>
    </row>
    <row r="102" spans="1:11" s="758" customFormat="1" ht="18" customHeight="1">
      <c r="A102" s="207"/>
      <c r="B102" s="81"/>
      <c r="C102" s="82">
        <v>4260</v>
      </c>
      <c r="D102" s="688" t="s">
        <v>167</v>
      </c>
      <c r="E102" s="730"/>
      <c r="F102" s="730">
        <v>41000</v>
      </c>
      <c r="G102" s="730"/>
      <c r="H102" s="159"/>
      <c r="I102" s="159"/>
      <c r="K102" s="759"/>
    </row>
    <row r="103" spans="1:11" s="95" customFormat="1" ht="18" customHeight="1">
      <c r="A103" s="76"/>
      <c r="B103" s="77">
        <v>80132</v>
      </c>
      <c r="C103" s="77"/>
      <c r="D103" s="77" t="s">
        <v>549</v>
      </c>
      <c r="E103" s="79"/>
      <c r="F103" s="79">
        <f>F104</f>
        <v>8000</v>
      </c>
      <c r="G103" s="79"/>
      <c r="H103" s="138"/>
      <c r="I103" s="138"/>
      <c r="K103" s="94"/>
    </row>
    <row r="104" spans="1:11" s="95" customFormat="1" ht="18" customHeight="1">
      <c r="A104" s="80"/>
      <c r="B104" s="499"/>
      <c r="C104" s="499"/>
      <c r="D104" s="691" t="s">
        <v>105</v>
      </c>
      <c r="E104" s="757"/>
      <c r="F104" s="757">
        <f>F105</f>
        <v>8000</v>
      </c>
      <c r="G104" s="757"/>
      <c r="H104" s="138"/>
      <c r="I104" s="138"/>
      <c r="K104" s="94"/>
    </row>
    <row r="105" spans="1:11" s="758" customFormat="1" ht="18" customHeight="1">
      <c r="A105" s="207"/>
      <c r="B105" s="81"/>
      <c r="C105" s="82">
        <v>4110</v>
      </c>
      <c r="D105" s="688" t="s">
        <v>163</v>
      </c>
      <c r="E105" s="761"/>
      <c r="F105" s="761">
        <v>8000</v>
      </c>
      <c r="G105" s="761"/>
      <c r="H105" s="159"/>
      <c r="I105" s="159"/>
      <c r="K105" s="759"/>
    </row>
    <row r="106" spans="1:11" s="95" customFormat="1" ht="18" customHeight="1">
      <c r="A106" s="76"/>
      <c r="B106" s="77">
        <v>80134</v>
      </c>
      <c r="C106" s="77"/>
      <c r="D106" s="77" t="s">
        <v>550</v>
      </c>
      <c r="E106" s="79"/>
      <c r="F106" s="79">
        <f>F107+F109</f>
        <v>6000</v>
      </c>
      <c r="G106" s="79"/>
      <c r="H106" s="138"/>
      <c r="I106" s="138"/>
      <c r="K106" s="94"/>
    </row>
    <row r="107" spans="1:11" s="95" customFormat="1" ht="18" customHeight="1">
      <c r="A107" s="80"/>
      <c r="B107" s="499"/>
      <c r="C107" s="499"/>
      <c r="D107" s="691" t="s">
        <v>79</v>
      </c>
      <c r="E107" s="757"/>
      <c r="F107" s="757">
        <f>F108</f>
        <v>4000</v>
      </c>
      <c r="G107" s="757"/>
      <c r="H107" s="138"/>
      <c r="I107" s="138"/>
      <c r="K107" s="94"/>
    </row>
    <row r="108" spans="1:11" s="758" customFormat="1" ht="18" customHeight="1">
      <c r="A108" s="207"/>
      <c r="B108" s="81"/>
      <c r="C108" s="81">
        <v>4260</v>
      </c>
      <c r="D108" s="760" t="s">
        <v>167</v>
      </c>
      <c r="E108" s="761"/>
      <c r="F108" s="761">
        <v>4000</v>
      </c>
      <c r="G108" s="761"/>
      <c r="H108" s="159"/>
      <c r="I108" s="159"/>
      <c r="K108" s="759"/>
    </row>
    <row r="109" spans="1:11" s="95" customFormat="1" ht="18" customHeight="1">
      <c r="A109" s="80"/>
      <c r="B109" s="66"/>
      <c r="C109" s="499"/>
      <c r="D109" s="691" t="s">
        <v>105</v>
      </c>
      <c r="E109" s="757"/>
      <c r="F109" s="757">
        <f>F110</f>
        <v>2000</v>
      </c>
      <c r="G109" s="757"/>
      <c r="H109" s="138"/>
      <c r="I109" s="138"/>
      <c r="K109" s="94"/>
    </row>
    <row r="110" spans="1:11" s="758" customFormat="1" ht="18" customHeight="1">
      <c r="A110" s="207"/>
      <c r="B110" s="82"/>
      <c r="C110" s="82">
        <v>4110</v>
      </c>
      <c r="D110" s="688" t="s">
        <v>163</v>
      </c>
      <c r="E110" s="730"/>
      <c r="F110" s="730">
        <v>2000</v>
      </c>
      <c r="G110" s="730"/>
      <c r="H110" s="159"/>
      <c r="I110" s="159"/>
      <c r="K110" s="759"/>
    </row>
    <row r="111" spans="1:8" s="22" customFormat="1" ht="18" customHeight="1">
      <c r="A111" s="89">
        <v>854</v>
      </c>
      <c r="B111" s="73"/>
      <c r="C111" s="73"/>
      <c r="D111" s="89" t="s">
        <v>60</v>
      </c>
      <c r="E111" s="73"/>
      <c r="F111" s="96">
        <f>F112+F117+F120+F124</f>
        <v>58700</v>
      </c>
      <c r="G111" s="96">
        <f>G112+G117+G120+G124</f>
        <v>77176</v>
      </c>
      <c r="H111" s="47"/>
    </row>
    <row r="112" spans="1:11" s="95" customFormat="1" ht="18" customHeight="1">
      <c r="A112" s="76"/>
      <c r="B112" s="77">
        <v>85406</v>
      </c>
      <c r="C112" s="77"/>
      <c r="D112" s="334" t="s">
        <v>126</v>
      </c>
      <c r="E112" s="79"/>
      <c r="F112" s="79">
        <f>F113+F115</f>
        <v>25800</v>
      </c>
      <c r="G112" s="79"/>
      <c r="H112" s="138"/>
      <c r="I112" s="138"/>
      <c r="K112" s="94"/>
    </row>
    <row r="113" spans="1:11" s="752" customFormat="1" ht="18" customHeight="1">
      <c r="A113" s="209"/>
      <c r="B113" s="210"/>
      <c r="C113" s="210"/>
      <c r="D113" s="211" t="s">
        <v>79</v>
      </c>
      <c r="E113" s="212"/>
      <c r="F113" s="212">
        <f>F114</f>
        <v>10000</v>
      </c>
      <c r="G113" s="212"/>
      <c r="H113" s="213"/>
      <c r="I113" s="213"/>
      <c r="K113" s="753"/>
    </row>
    <row r="114" spans="1:11" s="158" customFormat="1" ht="18" customHeight="1">
      <c r="A114" s="208"/>
      <c r="B114" s="172"/>
      <c r="C114" s="328">
        <v>4260</v>
      </c>
      <c r="D114" s="330" t="s">
        <v>167</v>
      </c>
      <c r="E114" s="443"/>
      <c r="F114" s="443">
        <v>10000</v>
      </c>
      <c r="G114" s="443"/>
      <c r="H114" s="157"/>
      <c r="I114" s="157"/>
      <c r="K114" s="157"/>
    </row>
    <row r="115" spans="1:11" s="95" customFormat="1" ht="18" customHeight="1">
      <c r="A115" s="80"/>
      <c r="B115" s="66"/>
      <c r="C115" s="66"/>
      <c r="D115" s="887" t="s">
        <v>105</v>
      </c>
      <c r="E115" s="888"/>
      <c r="F115" s="888">
        <f>F116</f>
        <v>15800</v>
      </c>
      <c r="G115" s="888"/>
      <c r="H115" s="138"/>
      <c r="I115" s="138"/>
      <c r="K115" s="94"/>
    </row>
    <row r="116" spans="1:11" s="758" customFormat="1" ht="18.75" customHeight="1">
      <c r="A116" s="207"/>
      <c r="B116" s="82"/>
      <c r="C116" s="82">
        <v>4110</v>
      </c>
      <c r="D116" s="688" t="s">
        <v>163</v>
      </c>
      <c r="E116" s="730"/>
      <c r="F116" s="730">
        <v>15800</v>
      </c>
      <c r="G116" s="730"/>
      <c r="H116" s="159"/>
      <c r="I116" s="159"/>
      <c r="K116" s="759"/>
    </row>
    <row r="117" spans="1:11" s="95" customFormat="1" ht="18.75" customHeight="1">
      <c r="A117" s="76"/>
      <c r="B117" s="78">
        <v>85410</v>
      </c>
      <c r="C117" s="78"/>
      <c r="D117" s="78" t="s">
        <v>438</v>
      </c>
      <c r="E117" s="675"/>
      <c r="F117" s="675">
        <f>F118</f>
        <v>17000</v>
      </c>
      <c r="G117" s="675"/>
      <c r="H117" s="138"/>
      <c r="I117" s="138"/>
      <c r="K117" s="94"/>
    </row>
    <row r="118" spans="1:11" s="95" customFormat="1" ht="18.75" customHeight="1">
      <c r="A118" s="80"/>
      <c r="B118" s="499"/>
      <c r="C118" s="499"/>
      <c r="D118" s="691" t="s">
        <v>79</v>
      </c>
      <c r="E118" s="757"/>
      <c r="F118" s="757">
        <f>F119</f>
        <v>17000</v>
      </c>
      <c r="G118" s="757"/>
      <c r="H118" s="138"/>
      <c r="I118" s="138"/>
      <c r="K118" s="94"/>
    </row>
    <row r="119" spans="1:11" s="758" customFormat="1" ht="18.75" customHeight="1">
      <c r="A119" s="207"/>
      <c r="B119" s="82"/>
      <c r="C119" s="82">
        <v>4260</v>
      </c>
      <c r="D119" s="688" t="s">
        <v>167</v>
      </c>
      <c r="E119" s="730"/>
      <c r="F119" s="730">
        <v>17000</v>
      </c>
      <c r="G119" s="730"/>
      <c r="H119" s="159"/>
      <c r="I119" s="159"/>
      <c r="K119" s="759"/>
    </row>
    <row r="120" spans="1:8" s="95" customFormat="1" ht="18" customHeight="1">
      <c r="A120" s="186"/>
      <c r="B120" s="217">
        <v>85415</v>
      </c>
      <c r="C120" s="217"/>
      <c r="D120" s="217" t="s">
        <v>407</v>
      </c>
      <c r="E120" s="217"/>
      <c r="F120" s="218"/>
      <c r="G120" s="218">
        <f>G121</f>
        <v>77176</v>
      </c>
      <c r="H120" s="94"/>
    </row>
    <row r="121" spans="1:8" s="22" customFormat="1" ht="18" customHeight="1">
      <c r="A121" s="80"/>
      <c r="B121" s="66"/>
      <c r="C121" s="66"/>
      <c r="D121" s="214" t="s">
        <v>302</v>
      </c>
      <c r="E121" s="214"/>
      <c r="F121" s="214"/>
      <c r="G121" s="485">
        <f>SUM(G122:G123)</f>
        <v>77176</v>
      </c>
      <c r="H121" s="47"/>
    </row>
    <row r="122" spans="1:8" s="22" customFormat="1" ht="18" customHeight="1">
      <c r="A122" s="698"/>
      <c r="B122" s="82"/>
      <c r="C122" s="82">
        <v>3240</v>
      </c>
      <c r="D122" s="82" t="s">
        <v>303</v>
      </c>
      <c r="E122" s="82"/>
      <c r="F122" s="82"/>
      <c r="G122" s="486">
        <v>76952</v>
      </c>
      <c r="H122" s="47"/>
    </row>
    <row r="123" spans="1:11" s="160" customFormat="1" ht="18" customHeight="1">
      <c r="A123" s="207"/>
      <c r="B123" s="81"/>
      <c r="C123" s="82">
        <v>3260</v>
      </c>
      <c r="D123" s="688" t="s">
        <v>304</v>
      </c>
      <c r="E123" s="154"/>
      <c r="F123" s="154"/>
      <c r="G123" s="154">
        <v>224</v>
      </c>
      <c r="H123" s="159"/>
      <c r="I123" s="159"/>
      <c r="K123" s="159"/>
    </row>
    <row r="124" spans="1:11" s="95" customFormat="1" ht="18.75" customHeight="1">
      <c r="A124" s="76"/>
      <c r="B124" s="77">
        <v>85495</v>
      </c>
      <c r="C124" s="77"/>
      <c r="D124" s="77" t="s">
        <v>57</v>
      </c>
      <c r="E124" s="79"/>
      <c r="F124" s="79">
        <f>F125</f>
        <v>15900</v>
      </c>
      <c r="G124" s="79"/>
      <c r="H124" s="138"/>
      <c r="I124" s="138"/>
      <c r="K124" s="94"/>
    </row>
    <row r="125" spans="1:11" s="95" customFormat="1" ht="18.75" customHeight="1">
      <c r="A125" s="80"/>
      <c r="B125" s="499"/>
      <c r="C125" s="499"/>
      <c r="D125" s="499" t="s">
        <v>670</v>
      </c>
      <c r="E125" s="762"/>
      <c r="F125" s="762">
        <f>F126+F128</f>
        <v>15900</v>
      </c>
      <c r="G125" s="762"/>
      <c r="H125" s="138"/>
      <c r="I125" s="138"/>
      <c r="K125" s="94"/>
    </row>
    <row r="126" spans="1:11" s="95" customFormat="1" ht="18.75" customHeight="1">
      <c r="A126" s="80"/>
      <c r="B126" s="66"/>
      <c r="C126" s="66"/>
      <c r="D126" s="771" t="s">
        <v>79</v>
      </c>
      <c r="E126" s="773"/>
      <c r="F126" s="773">
        <f>F127</f>
        <v>7900</v>
      </c>
      <c r="G126" s="773"/>
      <c r="H126" s="138"/>
      <c r="I126" s="138"/>
      <c r="K126" s="94"/>
    </row>
    <row r="127" spans="1:11" s="95" customFormat="1" ht="18.75" customHeight="1">
      <c r="A127" s="80"/>
      <c r="B127" s="66"/>
      <c r="C127" s="82">
        <v>4220</v>
      </c>
      <c r="D127" s="763" t="s">
        <v>182</v>
      </c>
      <c r="E127" s="764"/>
      <c r="F127" s="764">
        <v>7900</v>
      </c>
      <c r="G127" s="764"/>
      <c r="H127" s="138"/>
      <c r="I127" s="138"/>
      <c r="K127" s="94"/>
    </row>
    <row r="128" spans="1:11" s="95" customFormat="1" ht="18.75" customHeight="1">
      <c r="A128" s="80"/>
      <c r="B128" s="66"/>
      <c r="C128" s="499"/>
      <c r="D128" s="691" t="s">
        <v>105</v>
      </c>
      <c r="E128" s="757"/>
      <c r="F128" s="757">
        <f>F129</f>
        <v>8000</v>
      </c>
      <c r="G128" s="757"/>
      <c r="H128" s="138"/>
      <c r="I128" s="138"/>
      <c r="K128" s="94"/>
    </row>
    <row r="129" spans="1:11" s="758" customFormat="1" ht="18.75" customHeight="1">
      <c r="A129" s="207"/>
      <c r="B129" s="81"/>
      <c r="C129" s="82">
        <v>4110</v>
      </c>
      <c r="D129" s="688" t="s">
        <v>163</v>
      </c>
      <c r="E129" s="730"/>
      <c r="F129" s="730">
        <v>8000</v>
      </c>
      <c r="G129" s="730"/>
      <c r="H129" s="159"/>
      <c r="I129" s="159"/>
      <c r="K129" s="759"/>
    </row>
    <row r="130" spans="1:8" ht="18" customHeight="1" thickBot="1">
      <c r="A130" s="69"/>
      <c r="B130" s="69"/>
      <c r="C130" s="69"/>
      <c r="D130" s="70" t="s">
        <v>88</v>
      </c>
      <c r="E130" s="71"/>
      <c r="F130" s="71">
        <f>F131+F141</f>
        <v>38647</v>
      </c>
      <c r="G130" s="71">
        <f>G131+G141</f>
        <v>22432</v>
      </c>
      <c r="H130" s="52"/>
    </row>
    <row r="131" spans="1:8" ht="18" customHeight="1" thickTop="1">
      <c r="A131" s="72">
        <v>801</v>
      </c>
      <c r="B131" s="89"/>
      <c r="C131" s="73"/>
      <c r="D131" s="92" t="s">
        <v>58</v>
      </c>
      <c r="E131" s="87"/>
      <c r="F131" s="87">
        <f>F132</f>
        <v>22378</v>
      </c>
      <c r="G131" s="87">
        <f>G132</f>
        <v>22378</v>
      </c>
      <c r="H131" s="52"/>
    </row>
    <row r="132" spans="1:8" ht="18" customHeight="1">
      <c r="A132" s="76"/>
      <c r="B132" s="77">
        <v>80104</v>
      </c>
      <c r="C132" s="77"/>
      <c r="D132" s="77" t="s">
        <v>406</v>
      </c>
      <c r="E132" s="79"/>
      <c r="F132" s="79">
        <f>F133</f>
        <v>22378</v>
      </c>
      <c r="G132" s="79">
        <f>G133</f>
        <v>22378</v>
      </c>
      <c r="H132" s="52"/>
    </row>
    <row r="133" spans="1:8" s="746" customFormat="1" ht="18" customHeight="1">
      <c r="A133" s="744"/>
      <c r="B133" s="743"/>
      <c r="C133" s="743"/>
      <c r="D133" s="1083" t="s">
        <v>118</v>
      </c>
      <c r="E133" s="1084"/>
      <c r="F133" s="1084">
        <f>F140</f>
        <v>22378</v>
      </c>
      <c r="G133" s="1084">
        <f>G140</f>
        <v>22378</v>
      </c>
      <c r="H133" s="745"/>
    </row>
    <row r="134" spans="1:8" s="746" customFormat="1" ht="38.25" customHeight="1">
      <c r="A134" s="744"/>
      <c r="B134" s="743"/>
      <c r="C134" s="743"/>
      <c r="D134" s="748" t="s">
        <v>120</v>
      </c>
      <c r="E134" s="747"/>
      <c r="F134" s="747">
        <v>16366</v>
      </c>
      <c r="G134" s="747"/>
      <c r="H134" s="745"/>
    </row>
    <row r="135" spans="1:8" s="746" customFormat="1" ht="29.25" customHeight="1">
      <c r="A135" s="744"/>
      <c r="B135" s="743"/>
      <c r="C135" s="743"/>
      <c r="D135" s="749" t="s">
        <v>122</v>
      </c>
      <c r="E135" s="750"/>
      <c r="F135" s="750">
        <v>3006</v>
      </c>
      <c r="G135" s="750"/>
      <c r="H135" s="745"/>
    </row>
    <row r="136" spans="1:8" s="746" customFormat="1" ht="29.25" customHeight="1">
      <c r="A136" s="744"/>
      <c r="B136" s="743"/>
      <c r="C136" s="743"/>
      <c r="D136" s="749" t="s">
        <v>123</v>
      </c>
      <c r="E136" s="750"/>
      <c r="F136" s="750"/>
      <c r="G136" s="750">
        <v>3006</v>
      </c>
      <c r="H136" s="745"/>
    </row>
    <row r="137" spans="1:8" s="746" customFormat="1" ht="29.25" customHeight="1">
      <c r="A137" s="744"/>
      <c r="B137" s="743"/>
      <c r="C137" s="743"/>
      <c r="D137" s="749" t="s">
        <v>124</v>
      </c>
      <c r="E137" s="750"/>
      <c r="F137" s="750"/>
      <c r="G137" s="750">
        <v>16366</v>
      </c>
      <c r="H137" s="745"/>
    </row>
    <row r="138" spans="1:8" s="746" customFormat="1" ht="39" customHeight="1">
      <c r="A138" s="744"/>
      <c r="B138" s="743"/>
      <c r="C138" s="743"/>
      <c r="D138" s="749" t="s">
        <v>125</v>
      </c>
      <c r="E138" s="750"/>
      <c r="F138" s="750">
        <v>3006</v>
      </c>
      <c r="G138" s="750"/>
      <c r="H138" s="745"/>
    </row>
    <row r="139" spans="1:8" s="746" customFormat="1" ht="18" customHeight="1">
      <c r="A139" s="744"/>
      <c r="B139" s="743"/>
      <c r="C139" s="743"/>
      <c r="D139" s="749" t="s">
        <v>121</v>
      </c>
      <c r="E139" s="750"/>
      <c r="F139" s="750"/>
      <c r="G139" s="750">
        <v>3006</v>
      </c>
      <c r="H139" s="745"/>
    </row>
    <row r="140" spans="1:8" ht="18" customHeight="1">
      <c r="A140" s="235"/>
      <c r="B140" s="331"/>
      <c r="C140" s="328">
        <v>2540</v>
      </c>
      <c r="D140" s="804" t="s">
        <v>119</v>
      </c>
      <c r="E140" s="805"/>
      <c r="F140" s="805">
        <f>SUM(F134:F139)</f>
        <v>22378</v>
      </c>
      <c r="G140" s="805">
        <f>SUM(G134:G139)</f>
        <v>22378</v>
      </c>
      <c r="H140" s="52"/>
    </row>
    <row r="141" spans="1:11" s="45" customFormat="1" ht="15.75" customHeight="1">
      <c r="A141" s="456">
        <v>854</v>
      </c>
      <c r="B141" s="73"/>
      <c r="C141" s="73"/>
      <c r="D141" s="92" t="s">
        <v>60</v>
      </c>
      <c r="E141" s="803"/>
      <c r="F141" s="803">
        <f>F142</f>
        <v>16269</v>
      </c>
      <c r="G141" s="803">
        <f>G142</f>
        <v>54</v>
      </c>
      <c r="H141" s="126"/>
      <c r="I141" s="126"/>
      <c r="K141" s="126"/>
    </row>
    <row r="142" spans="1:11" s="45" customFormat="1" ht="18.75" customHeight="1">
      <c r="A142" s="141"/>
      <c r="B142" s="136">
        <v>85415</v>
      </c>
      <c r="C142" s="618"/>
      <c r="D142" s="324" t="s">
        <v>407</v>
      </c>
      <c r="E142" s="802"/>
      <c r="F142" s="802">
        <f>F143</f>
        <v>16269</v>
      </c>
      <c r="G142" s="802">
        <f>G143</f>
        <v>54</v>
      </c>
      <c r="H142" s="126"/>
      <c r="I142" s="126"/>
      <c r="K142" s="126"/>
    </row>
    <row r="143" spans="1:11" s="45" customFormat="1" ht="27" customHeight="1">
      <c r="A143" s="81"/>
      <c r="B143" s="81"/>
      <c r="C143" s="683"/>
      <c r="D143" s="98" t="s">
        <v>673</v>
      </c>
      <c r="E143" s="485"/>
      <c r="F143" s="485">
        <f>SUM(F144:F149)</f>
        <v>16269</v>
      </c>
      <c r="G143" s="485">
        <f>SUM(G144:G149)</f>
        <v>54</v>
      </c>
      <c r="H143" s="126"/>
      <c r="I143" s="126"/>
      <c r="K143" s="126"/>
    </row>
    <row r="144" spans="1:11" s="22" customFormat="1" ht="18.75" customHeight="1">
      <c r="A144" s="66"/>
      <c r="B144" s="66"/>
      <c r="C144" s="82">
        <v>4018</v>
      </c>
      <c r="D144" s="682" t="s">
        <v>8</v>
      </c>
      <c r="E144" s="733"/>
      <c r="F144" s="733">
        <v>10344</v>
      </c>
      <c r="G144" s="733"/>
      <c r="H144" s="47"/>
      <c r="I144" s="47"/>
      <c r="K144" s="47"/>
    </row>
    <row r="145" spans="1:11" s="22" customFormat="1" ht="18.75" customHeight="1">
      <c r="A145" s="66"/>
      <c r="B145" s="66"/>
      <c r="C145" s="82">
        <v>4019</v>
      </c>
      <c r="D145" s="682" t="s">
        <v>8</v>
      </c>
      <c r="E145" s="733"/>
      <c r="F145" s="733">
        <v>4856</v>
      </c>
      <c r="G145" s="733"/>
      <c r="H145" s="47"/>
      <c r="I145" s="47"/>
      <c r="K145" s="47"/>
    </row>
    <row r="146" spans="1:11" s="22" customFormat="1" ht="18.75" customHeight="1">
      <c r="A146" s="66"/>
      <c r="B146" s="66"/>
      <c r="C146" s="82">
        <v>4178</v>
      </c>
      <c r="D146" s="682" t="s">
        <v>87</v>
      </c>
      <c r="E146" s="733"/>
      <c r="F146" s="733">
        <v>54</v>
      </c>
      <c r="G146" s="733"/>
      <c r="H146" s="47"/>
      <c r="I146" s="47"/>
      <c r="K146" s="47"/>
    </row>
    <row r="147" spans="1:11" s="22" customFormat="1" ht="18.75" customHeight="1">
      <c r="A147" s="66"/>
      <c r="B147" s="66"/>
      <c r="C147" s="82">
        <v>4179</v>
      </c>
      <c r="D147" s="682" t="s">
        <v>87</v>
      </c>
      <c r="E147" s="733"/>
      <c r="F147" s="733"/>
      <c r="G147" s="733">
        <v>54</v>
      </c>
      <c r="H147" s="47"/>
      <c r="I147" s="47"/>
      <c r="K147" s="47"/>
    </row>
    <row r="148" spans="1:11" s="22" customFormat="1" ht="18.75" customHeight="1">
      <c r="A148" s="69"/>
      <c r="B148" s="69"/>
      <c r="C148" s="82">
        <v>4308</v>
      </c>
      <c r="D148" s="83" t="s">
        <v>76</v>
      </c>
      <c r="E148" s="84"/>
      <c r="F148" s="84">
        <v>639</v>
      </c>
      <c r="G148" s="84"/>
      <c r="H148" s="47"/>
      <c r="I148" s="47"/>
      <c r="K148" s="47"/>
    </row>
    <row r="149" spans="1:11" s="22" customFormat="1" ht="18.75" customHeight="1">
      <c r="A149" s="66"/>
      <c r="B149" s="66"/>
      <c r="C149" s="82">
        <v>4309</v>
      </c>
      <c r="D149" s="83" t="s">
        <v>76</v>
      </c>
      <c r="E149" s="84"/>
      <c r="F149" s="84">
        <v>376</v>
      </c>
      <c r="G149" s="84"/>
      <c r="H149" s="47"/>
      <c r="I149" s="47"/>
      <c r="K149" s="47"/>
    </row>
    <row r="150" spans="1:8" s="171" customFormat="1" ht="18.75" customHeight="1">
      <c r="A150" s="167"/>
      <c r="B150" s="139"/>
      <c r="C150" s="168"/>
      <c r="D150" s="169" t="s">
        <v>616</v>
      </c>
      <c r="E150" s="170"/>
      <c r="F150" s="170">
        <f>F151</f>
        <v>692875</v>
      </c>
      <c r="G150" s="170">
        <f>G151</f>
        <v>522875</v>
      </c>
      <c r="H150" s="329">
        <f>G150-F150</f>
        <v>-170000</v>
      </c>
    </row>
    <row r="151" spans="1:8" s="158" customFormat="1" ht="18.75" customHeight="1" thickBot="1">
      <c r="A151" s="172"/>
      <c r="B151" s="172"/>
      <c r="C151" s="331"/>
      <c r="D151" s="166" t="s">
        <v>51</v>
      </c>
      <c r="E151" s="165"/>
      <c r="F151" s="196">
        <f>F158+F225+F252+F152</f>
        <v>692875</v>
      </c>
      <c r="G151" s="196">
        <f>G158+G225+G252+G152</f>
        <v>522875</v>
      </c>
      <c r="H151" s="157"/>
    </row>
    <row r="152" spans="1:11" s="22" customFormat="1" ht="18.75" customHeight="1" thickTop="1">
      <c r="A152" s="89">
        <v>758</v>
      </c>
      <c r="B152" s="89"/>
      <c r="C152" s="89"/>
      <c r="D152" s="89" t="s">
        <v>53</v>
      </c>
      <c r="E152" s="75"/>
      <c r="F152" s="75"/>
      <c r="G152" s="75">
        <f>G153</f>
        <v>24800</v>
      </c>
      <c r="H152" s="47"/>
      <c r="I152" s="47"/>
      <c r="K152" s="47"/>
    </row>
    <row r="153" spans="1:11" s="130" customFormat="1" ht="18.75" customHeight="1">
      <c r="A153" s="81"/>
      <c r="B153" s="78">
        <v>75860</v>
      </c>
      <c r="C153" s="78"/>
      <c r="D153" s="78" t="s">
        <v>587</v>
      </c>
      <c r="E153" s="137"/>
      <c r="F153" s="137"/>
      <c r="G153" s="137">
        <f>G154</f>
        <v>24800</v>
      </c>
      <c r="H153" s="138"/>
      <c r="I153" s="138"/>
      <c r="K153" s="138"/>
    </row>
    <row r="154" spans="1:11" s="130" customFormat="1" ht="26.25" customHeight="1">
      <c r="A154" s="80"/>
      <c r="B154" s="499"/>
      <c r="C154" s="108"/>
      <c r="D154" s="101" t="s">
        <v>588</v>
      </c>
      <c r="E154" s="144"/>
      <c r="F154" s="144"/>
      <c r="G154" s="144">
        <f>SUM(G155:G157)</f>
        <v>24800</v>
      </c>
      <c r="H154" s="138"/>
      <c r="I154" s="138"/>
      <c r="K154" s="138"/>
    </row>
    <row r="155" spans="1:11" s="860" customFormat="1" ht="18.75" customHeight="1">
      <c r="A155" s="857"/>
      <c r="B155" s="856"/>
      <c r="C155" s="140">
        <v>4170</v>
      </c>
      <c r="D155" s="83" t="s">
        <v>87</v>
      </c>
      <c r="E155" s="858"/>
      <c r="F155" s="858"/>
      <c r="G155" s="146">
        <v>16000</v>
      </c>
      <c r="H155" s="859"/>
      <c r="I155" s="859"/>
      <c r="K155" s="859"/>
    </row>
    <row r="156" spans="1:11" s="158" customFormat="1" ht="18.75" customHeight="1">
      <c r="A156" s="208"/>
      <c r="B156" s="172"/>
      <c r="C156" s="140">
        <v>4300</v>
      </c>
      <c r="D156" s="83" t="s">
        <v>76</v>
      </c>
      <c r="E156" s="443"/>
      <c r="F156" s="443"/>
      <c r="G156" s="443">
        <v>6300</v>
      </c>
      <c r="H156" s="157"/>
      <c r="I156" s="157"/>
      <c r="K156" s="157"/>
    </row>
    <row r="157" spans="1:11" s="158" customFormat="1" ht="18.75" customHeight="1">
      <c r="A157" s="235"/>
      <c r="B157" s="331"/>
      <c r="C157" s="140">
        <v>4420</v>
      </c>
      <c r="D157" s="83" t="s">
        <v>127</v>
      </c>
      <c r="E157" s="443"/>
      <c r="F157" s="443"/>
      <c r="G157" s="443">
        <v>2500</v>
      </c>
      <c r="H157" s="157"/>
      <c r="I157" s="157"/>
      <c r="K157" s="157"/>
    </row>
    <row r="158" spans="1:8" s="149" customFormat="1" ht="16.5" customHeight="1">
      <c r="A158" s="456">
        <v>851</v>
      </c>
      <c r="B158" s="73"/>
      <c r="C158" s="73"/>
      <c r="D158" s="92" t="s">
        <v>61</v>
      </c>
      <c r="E158" s="96"/>
      <c r="F158" s="96">
        <f>F159+F165+F168+F174+F182</f>
        <v>553425</v>
      </c>
      <c r="G158" s="96">
        <f>G159+G165+G168+G174+G182</f>
        <v>358625</v>
      </c>
      <c r="H158" s="148"/>
    </row>
    <row r="159" spans="1:8" s="149" customFormat="1" ht="16.5" customHeight="1">
      <c r="A159" s="76"/>
      <c r="B159" s="77">
        <v>85121</v>
      </c>
      <c r="C159" s="77"/>
      <c r="D159" s="77" t="s">
        <v>294</v>
      </c>
      <c r="E159" s="147"/>
      <c r="F159" s="147">
        <f>F162+F160</f>
        <v>49385</v>
      </c>
      <c r="G159" s="147">
        <f>G162+G160</f>
        <v>32885</v>
      </c>
      <c r="H159" s="148"/>
    </row>
    <row r="160" spans="1:8" s="22" customFormat="1" ht="16.5" customHeight="1">
      <c r="A160" s="80"/>
      <c r="B160" s="66"/>
      <c r="C160" s="499"/>
      <c r="D160" s="214" t="s">
        <v>171</v>
      </c>
      <c r="E160" s="485"/>
      <c r="F160" s="485">
        <f>F161</f>
        <v>16500</v>
      </c>
      <c r="G160" s="485"/>
      <c r="H160" s="47"/>
    </row>
    <row r="161" spans="1:8" s="22" customFormat="1" ht="16.5" customHeight="1">
      <c r="A161" s="207"/>
      <c r="B161" s="81"/>
      <c r="C161" s="82">
        <v>4280</v>
      </c>
      <c r="D161" s="82" t="s">
        <v>168</v>
      </c>
      <c r="E161" s="486"/>
      <c r="F161" s="486">
        <v>16500</v>
      </c>
      <c r="G161" s="486"/>
      <c r="H161" s="47"/>
    </row>
    <row r="162" spans="1:8" s="237" customFormat="1" ht="16.5" customHeight="1">
      <c r="A162" s="209"/>
      <c r="B162" s="220"/>
      <c r="C162" s="210"/>
      <c r="D162" s="489" t="s">
        <v>296</v>
      </c>
      <c r="E162" s="610"/>
      <c r="F162" s="610">
        <f>SUM(F163:F164)</f>
        <v>32885</v>
      </c>
      <c r="G162" s="610">
        <f>SUM(G163:G164)</f>
        <v>32885</v>
      </c>
      <c r="H162" s="213"/>
    </row>
    <row r="163" spans="1:8" s="232" customFormat="1" ht="16.5" customHeight="1">
      <c r="A163" s="208"/>
      <c r="B163" s="172"/>
      <c r="C163" s="328">
        <v>3020</v>
      </c>
      <c r="D163" s="330" t="s">
        <v>505</v>
      </c>
      <c r="E163" s="163"/>
      <c r="F163" s="163">
        <v>32885</v>
      </c>
      <c r="G163" s="163"/>
      <c r="H163" s="231"/>
    </row>
    <row r="164" spans="1:8" s="158" customFormat="1" ht="16.5" customHeight="1">
      <c r="A164" s="208"/>
      <c r="B164" s="172"/>
      <c r="C164" s="331">
        <v>4590</v>
      </c>
      <c r="D164" s="490" t="s">
        <v>562</v>
      </c>
      <c r="E164" s="439"/>
      <c r="F164" s="439"/>
      <c r="G164" s="439">
        <v>32885</v>
      </c>
      <c r="H164" s="157"/>
    </row>
    <row r="165" spans="1:8" s="149" customFormat="1" ht="16.5" customHeight="1">
      <c r="A165" s="76"/>
      <c r="B165" s="77">
        <v>85149</v>
      </c>
      <c r="C165" s="77"/>
      <c r="D165" s="77" t="s">
        <v>172</v>
      </c>
      <c r="E165" s="147"/>
      <c r="F165" s="147"/>
      <c r="G165" s="147">
        <f>G166</f>
        <v>16500</v>
      </c>
      <c r="H165" s="148"/>
    </row>
    <row r="166" spans="1:8" s="22" customFormat="1" ht="16.5" customHeight="1">
      <c r="A166" s="80"/>
      <c r="B166" s="499"/>
      <c r="C166" s="499"/>
      <c r="D166" s="691" t="s">
        <v>173</v>
      </c>
      <c r="E166" s="485"/>
      <c r="F166" s="485"/>
      <c r="G166" s="485">
        <f>G167</f>
        <v>16500</v>
      </c>
      <c r="H166" s="47"/>
    </row>
    <row r="167" spans="1:8" s="22" customFormat="1" ht="16.5" customHeight="1">
      <c r="A167" s="207"/>
      <c r="B167" s="82"/>
      <c r="C167" s="82">
        <v>4280</v>
      </c>
      <c r="D167" s="688" t="s">
        <v>168</v>
      </c>
      <c r="E167" s="486"/>
      <c r="F167" s="486"/>
      <c r="G167" s="486">
        <v>16500</v>
      </c>
      <c r="H167" s="47"/>
    </row>
    <row r="168" spans="1:8" s="149" customFormat="1" ht="16.5" customHeight="1">
      <c r="A168" s="76"/>
      <c r="B168" s="78">
        <v>85153</v>
      </c>
      <c r="C168" s="78"/>
      <c r="D168" s="78" t="s">
        <v>174</v>
      </c>
      <c r="E168" s="147"/>
      <c r="F168" s="756">
        <f>F169</f>
        <v>20000</v>
      </c>
      <c r="G168" s="756">
        <f>G169</f>
        <v>20000</v>
      </c>
      <c r="H168" s="148"/>
    </row>
    <row r="169" spans="1:8" s="22" customFormat="1" ht="16.5" customHeight="1">
      <c r="A169" s="80"/>
      <c r="B169" s="499"/>
      <c r="C169" s="499"/>
      <c r="D169" s="692" t="s">
        <v>177</v>
      </c>
      <c r="E169" s="693"/>
      <c r="F169" s="693">
        <f>F170</f>
        <v>20000</v>
      </c>
      <c r="G169" s="693">
        <f>G170</f>
        <v>20000</v>
      </c>
      <c r="H169" s="47"/>
    </row>
    <row r="170" spans="1:8" s="22" customFormat="1" ht="16.5" customHeight="1">
      <c r="A170" s="207"/>
      <c r="B170" s="81"/>
      <c r="C170" s="66"/>
      <c r="D170" s="891" t="s">
        <v>175</v>
      </c>
      <c r="E170" s="892"/>
      <c r="F170" s="892">
        <f>SUM(F171:F173)</f>
        <v>20000</v>
      </c>
      <c r="G170" s="892">
        <f>SUM(G171:G173)</f>
        <v>20000</v>
      </c>
      <c r="H170" s="47"/>
    </row>
    <row r="171" spans="1:8" s="158" customFormat="1" ht="16.5" customHeight="1">
      <c r="A171" s="208"/>
      <c r="B171" s="81"/>
      <c r="C171" s="82">
        <v>3000</v>
      </c>
      <c r="D171" s="688" t="s">
        <v>178</v>
      </c>
      <c r="E171" s="730"/>
      <c r="F171" s="154"/>
      <c r="G171" s="154">
        <v>20000</v>
      </c>
      <c r="H171" s="157"/>
    </row>
    <row r="172" spans="1:8" s="158" customFormat="1" ht="18" customHeight="1">
      <c r="A172" s="208"/>
      <c r="B172" s="477"/>
      <c r="C172" s="82">
        <v>4210</v>
      </c>
      <c r="D172" s="83" t="s">
        <v>75</v>
      </c>
      <c r="E172" s="84"/>
      <c r="F172" s="84">
        <v>16000</v>
      </c>
      <c r="G172" s="84"/>
      <c r="H172" s="157"/>
    </row>
    <row r="173" spans="1:8" s="158" customFormat="1" ht="18" customHeight="1">
      <c r="A173" s="208"/>
      <c r="B173" s="69"/>
      <c r="C173" s="82">
        <v>4300</v>
      </c>
      <c r="D173" s="83" t="s">
        <v>76</v>
      </c>
      <c r="E173" s="84"/>
      <c r="F173" s="84">
        <v>4000</v>
      </c>
      <c r="G173" s="84"/>
      <c r="H173" s="157"/>
    </row>
    <row r="174" spans="1:8" s="149" customFormat="1" ht="18" customHeight="1">
      <c r="A174" s="76"/>
      <c r="B174" s="78">
        <v>85154</v>
      </c>
      <c r="C174" s="78"/>
      <c r="D174" s="78" t="s">
        <v>86</v>
      </c>
      <c r="E174" s="147"/>
      <c r="F174" s="137">
        <f>F175</f>
        <v>354700</v>
      </c>
      <c r="G174" s="137">
        <f>G175</f>
        <v>163240</v>
      </c>
      <c r="H174" s="148"/>
    </row>
    <row r="175" spans="1:8" s="22" customFormat="1" ht="28.5" customHeight="1">
      <c r="A175" s="80"/>
      <c r="B175" s="499"/>
      <c r="C175" s="499"/>
      <c r="D175" s="692" t="s">
        <v>184</v>
      </c>
      <c r="E175" s="693"/>
      <c r="F175" s="693">
        <f>F176+F178</f>
        <v>354700</v>
      </c>
      <c r="G175" s="693">
        <f>G176+G178</f>
        <v>163240</v>
      </c>
      <c r="H175" s="47"/>
    </row>
    <row r="176" spans="1:8" s="22" customFormat="1" ht="26.25" customHeight="1">
      <c r="A176" s="207"/>
      <c r="B176" s="81"/>
      <c r="C176" s="66"/>
      <c r="D176" s="694" t="s">
        <v>194</v>
      </c>
      <c r="E176" s="695"/>
      <c r="F176" s="695">
        <f>F177</f>
        <v>4700</v>
      </c>
      <c r="G176" s="695"/>
      <c r="H176" s="47"/>
    </row>
    <row r="177" spans="1:8" s="158" customFormat="1" ht="18.75" customHeight="1">
      <c r="A177" s="235"/>
      <c r="B177" s="331"/>
      <c r="C177" s="82">
        <v>4300</v>
      </c>
      <c r="D177" s="83" t="s">
        <v>76</v>
      </c>
      <c r="E177" s="439"/>
      <c r="F177" s="439">
        <v>4700</v>
      </c>
      <c r="G177" s="439"/>
      <c r="H177" s="157"/>
    </row>
    <row r="178" spans="1:8" s="22" customFormat="1" ht="63.75" customHeight="1">
      <c r="A178" s="207"/>
      <c r="B178" s="81"/>
      <c r="C178" s="66"/>
      <c r="D178" s="891" t="s">
        <v>181</v>
      </c>
      <c r="E178" s="892"/>
      <c r="F178" s="892">
        <f>SUM(F179:F181)</f>
        <v>350000</v>
      </c>
      <c r="G178" s="892">
        <f>SUM(G179:G181)</f>
        <v>163240</v>
      </c>
      <c r="H178" s="47"/>
    </row>
    <row r="179" spans="1:8" s="158" customFormat="1" ht="18" customHeight="1">
      <c r="A179" s="208"/>
      <c r="B179" s="172"/>
      <c r="C179" s="82">
        <v>3000</v>
      </c>
      <c r="D179" s="688" t="s">
        <v>178</v>
      </c>
      <c r="E179" s="439"/>
      <c r="F179" s="439"/>
      <c r="G179" s="439">
        <v>5000</v>
      </c>
      <c r="H179" s="157"/>
    </row>
    <row r="180" spans="1:8" s="158" customFormat="1" ht="18" customHeight="1">
      <c r="A180" s="208"/>
      <c r="B180" s="172"/>
      <c r="C180" s="82">
        <v>4170</v>
      </c>
      <c r="D180" s="688" t="s">
        <v>87</v>
      </c>
      <c r="E180" s="439"/>
      <c r="F180" s="439">
        <v>350000</v>
      </c>
      <c r="G180" s="439"/>
      <c r="H180" s="157"/>
    </row>
    <row r="181" spans="1:8" s="158" customFormat="1" ht="18" customHeight="1">
      <c r="A181" s="208"/>
      <c r="B181" s="331"/>
      <c r="C181" s="82">
        <v>4300</v>
      </c>
      <c r="D181" s="83" t="s">
        <v>76</v>
      </c>
      <c r="E181" s="439"/>
      <c r="F181" s="439"/>
      <c r="G181" s="439">
        <v>158240</v>
      </c>
      <c r="H181" s="157"/>
    </row>
    <row r="182" spans="1:8" s="149" customFormat="1" ht="18" customHeight="1">
      <c r="A182" s="76"/>
      <c r="B182" s="78">
        <v>85195</v>
      </c>
      <c r="C182" s="78"/>
      <c r="D182" s="78" t="s">
        <v>57</v>
      </c>
      <c r="E182" s="147"/>
      <c r="F182" s="137">
        <f>F183</f>
        <v>129340</v>
      </c>
      <c r="G182" s="137">
        <f>G183</f>
        <v>126000</v>
      </c>
      <c r="H182" s="148"/>
    </row>
    <row r="183" spans="1:8" s="22" customFormat="1" ht="28.5" customHeight="1">
      <c r="A183" s="80"/>
      <c r="B183" s="499"/>
      <c r="C183" s="499"/>
      <c r="D183" s="692" t="s">
        <v>188</v>
      </c>
      <c r="E183" s="693"/>
      <c r="F183" s="693">
        <f>F184+F190+F202+F209+F215+F221</f>
        <v>129340</v>
      </c>
      <c r="G183" s="693">
        <f>G184+G190+G202+G209+G215+G221</f>
        <v>126000</v>
      </c>
      <c r="H183" s="47"/>
    </row>
    <row r="184" spans="1:8" s="22" customFormat="1" ht="39" customHeight="1">
      <c r="A184" s="207"/>
      <c r="B184" s="81"/>
      <c r="C184" s="66"/>
      <c r="D184" s="891" t="s">
        <v>195</v>
      </c>
      <c r="E184" s="892"/>
      <c r="F184" s="892">
        <f>F189</f>
        <v>11000</v>
      </c>
      <c r="G184" s="892">
        <f>G189</f>
        <v>11000</v>
      </c>
      <c r="H184" s="47"/>
    </row>
    <row r="185" spans="1:8" s="197" customFormat="1" ht="19.5" customHeight="1">
      <c r="A185" s="207"/>
      <c r="B185" s="81"/>
      <c r="C185" s="81"/>
      <c r="D185" s="734" t="s">
        <v>203</v>
      </c>
      <c r="E185" s="735"/>
      <c r="F185" s="735"/>
      <c r="G185" s="735">
        <v>3000</v>
      </c>
      <c r="H185" s="198"/>
    </row>
    <row r="186" spans="1:8" s="197" customFormat="1" ht="24" customHeight="1">
      <c r="A186" s="207"/>
      <c r="B186" s="81"/>
      <c r="C186" s="81"/>
      <c r="D186" s="731" t="s">
        <v>198</v>
      </c>
      <c r="E186" s="732"/>
      <c r="F186" s="732"/>
      <c r="G186" s="732">
        <v>5000</v>
      </c>
      <c r="H186" s="198"/>
    </row>
    <row r="187" spans="1:8" s="197" customFormat="1" ht="26.25" customHeight="1">
      <c r="A187" s="207"/>
      <c r="B187" s="81"/>
      <c r="C187" s="81"/>
      <c r="D187" s="736" t="s">
        <v>199</v>
      </c>
      <c r="E187" s="737"/>
      <c r="F187" s="737"/>
      <c r="G187" s="737">
        <v>3000</v>
      </c>
      <c r="H187" s="198"/>
    </row>
    <row r="188" spans="1:8" s="197" customFormat="1" ht="18" customHeight="1">
      <c r="A188" s="208"/>
      <c r="B188" s="172"/>
      <c r="C188" s="81"/>
      <c r="D188" s="731" t="s">
        <v>196</v>
      </c>
      <c r="E188" s="732"/>
      <c r="F188" s="732">
        <v>11000</v>
      </c>
      <c r="G188" s="732"/>
      <c r="H188" s="198"/>
    </row>
    <row r="189" spans="1:8" s="158" customFormat="1" ht="27" customHeight="1">
      <c r="A189" s="208"/>
      <c r="B189" s="172"/>
      <c r="C189" s="82">
        <v>2820</v>
      </c>
      <c r="D189" s="682" t="s">
        <v>197</v>
      </c>
      <c r="E189" s="733"/>
      <c r="F189" s="733">
        <f>SUM(F185:F188)</f>
        <v>11000</v>
      </c>
      <c r="G189" s="733">
        <f>SUM(G185:G188)</f>
        <v>11000</v>
      </c>
      <c r="H189" s="157"/>
    </row>
    <row r="190" spans="1:8" s="22" customFormat="1" ht="26.25" customHeight="1">
      <c r="A190" s="207"/>
      <c r="B190" s="81"/>
      <c r="C190" s="66"/>
      <c r="D190" s="891" t="s">
        <v>190</v>
      </c>
      <c r="E190" s="892"/>
      <c r="F190" s="892">
        <f>F201</f>
        <v>71000</v>
      </c>
      <c r="G190" s="892">
        <f>G201</f>
        <v>71000</v>
      </c>
      <c r="H190" s="47"/>
    </row>
    <row r="191" spans="1:8" s="197" customFormat="1" ht="18" customHeight="1">
      <c r="A191" s="207"/>
      <c r="B191" s="81"/>
      <c r="C191" s="81"/>
      <c r="D191" s="736" t="s">
        <v>200</v>
      </c>
      <c r="E191" s="737"/>
      <c r="F191" s="737"/>
      <c r="G191" s="737">
        <v>6000</v>
      </c>
      <c r="H191" s="198"/>
    </row>
    <row r="192" spans="1:8" s="197" customFormat="1" ht="18" customHeight="1">
      <c r="A192" s="207"/>
      <c r="B192" s="81"/>
      <c r="C192" s="81"/>
      <c r="D192" s="736" t="s">
        <v>201</v>
      </c>
      <c r="E192" s="737"/>
      <c r="F192" s="737"/>
      <c r="G192" s="737">
        <v>5000</v>
      </c>
      <c r="H192" s="198"/>
    </row>
    <row r="193" spans="1:8" s="197" customFormat="1" ht="26.25" customHeight="1">
      <c r="A193" s="207"/>
      <c r="B193" s="81"/>
      <c r="C193" s="81"/>
      <c r="D193" s="736" t="s">
        <v>687</v>
      </c>
      <c r="E193" s="737"/>
      <c r="F193" s="737"/>
      <c r="G193" s="737">
        <v>14000</v>
      </c>
      <c r="H193" s="198"/>
    </row>
    <row r="194" spans="1:8" s="197" customFormat="1" ht="18" customHeight="1">
      <c r="A194" s="207"/>
      <c r="B194" s="81"/>
      <c r="C194" s="81"/>
      <c r="D194" s="736" t="s">
        <v>202</v>
      </c>
      <c r="E194" s="737"/>
      <c r="F194" s="737"/>
      <c r="G194" s="737">
        <v>12000</v>
      </c>
      <c r="H194" s="198"/>
    </row>
    <row r="195" spans="1:8" s="197" customFormat="1" ht="26.25" customHeight="1">
      <c r="A195" s="207"/>
      <c r="B195" s="81"/>
      <c r="C195" s="81"/>
      <c r="D195" s="893" t="s">
        <v>198</v>
      </c>
      <c r="E195" s="1085"/>
      <c r="F195" s="1085"/>
      <c r="G195" s="1085">
        <v>14000</v>
      </c>
      <c r="H195" s="198"/>
    </row>
    <row r="196" spans="1:8" s="197" customFormat="1" ht="26.25" customHeight="1">
      <c r="A196" s="207"/>
      <c r="B196" s="81"/>
      <c r="C196" s="81"/>
      <c r="D196" s="736" t="s">
        <v>204</v>
      </c>
      <c r="E196" s="737"/>
      <c r="F196" s="737"/>
      <c r="G196" s="737">
        <v>5000</v>
      </c>
      <c r="H196" s="198"/>
    </row>
    <row r="197" spans="1:8" s="197" customFormat="1" ht="26.25" customHeight="1">
      <c r="A197" s="207"/>
      <c r="B197" s="81"/>
      <c r="C197" s="81"/>
      <c r="D197" s="736" t="s">
        <v>205</v>
      </c>
      <c r="E197" s="737"/>
      <c r="F197" s="737"/>
      <c r="G197" s="737">
        <v>5000</v>
      </c>
      <c r="H197" s="198"/>
    </row>
    <row r="198" spans="1:8" s="197" customFormat="1" ht="26.25" customHeight="1">
      <c r="A198" s="207"/>
      <c r="B198" s="81"/>
      <c r="C198" s="81"/>
      <c r="D198" s="736" t="s">
        <v>672</v>
      </c>
      <c r="E198" s="737"/>
      <c r="F198" s="737"/>
      <c r="G198" s="737">
        <v>5000</v>
      </c>
      <c r="H198" s="198"/>
    </row>
    <row r="199" spans="1:8" s="197" customFormat="1" ht="26.25" customHeight="1">
      <c r="A199" s="698"/>
      <c r="B199" s="82"/>
      <c r="C199" s="82"/>
      <c r="D199" s="1086" t="s">
        <v>206</v>
      </c>
      <c r="E199" s="1087"/>
      <c r="F199" s="1087"/>
      <c r="G199" s="1087">
        <v>5000</v>
      </c>
      <c r="H199" s="198"/>
    </row>
    <row r="200" spans="1:8" s="197" customFormat="1" ht="18" customHeight="1">
      <c r="A200" s="208"/>
      <c r="B200" s="172"/>
      <c r="C200" s="81"/>
      <c r="D200" s="893" t="s">
        <v>196</v>
      </c>
      <c r="E200" s="894"/>
      <c r="F200" s="894">
        <v>71000</v>
      </c>
      <c r="G200" s="894"/>
      <c r="H200" s="198"/>
    </row>
    <row r="201" spans="1:8" s="158" customFormat="1" ht="27" customHeight="1">
      <c r="A201" s="208"/>
      <c r="B201" s="172"/>
      <c r="C201" s="82">
        <v>2820</v>
      </c>
      <c r="D201" s="682" t="s">
        <v>197</v>
      </c>
      <c r="E201" s="733"/>
      <c r="F201" s="733">
        <f>SUM(F191:F200)</f>
        <v>71000</v>
      </c>
      <c r="G201" s="733">
        <f>SUM(G191:G200)</f>
        <v>71000</v>
      </c>
      <c r="H201" s="157"/>
    </row>
    <row r="202" spans="1:8" s="22" customFormat="1" ht="18.75" customHeight="1">
      <c r="A202" s="207"/>
      <c r="B202" s="81"/>
      <c r="C202" s="66"/>
      <c r="D202" s="694" t="s">
        <v>191</v>
      </c>
      <c r="E202" s="695"/>
      <c r="F202" s="695">
        <f>F207+F208</f>
        <v>23340</v>
      </c>
      <c r="G202" s="695">
        <f>G207+G208</f>
        <v>20000</v>
      </c>
      <c r="H202" s="47"/>
    </row>
    <row r="203" spans="1:8" s="197" customFormat="1" ht="28.5" customHeight="1">
      <c r="A203" s="207"/>
      <c r="B203" s="81"/>
      <c r="C203" s="81"/>
      <c r="D203" s="736" t="s">
        <v>205</v>
      </c>
      <c r="E203" s="735"/>
      <c r="F203" s="735"/>
      <c r="G203" s="735">
        <v>6000</v>
      </c>
      <c r="H203" s="198"/>
    </row>
    <row r="204" spans="1:8" s="197" customFormat="1" ht="26.25" customHeight="1">
      <c r="A204" s="207"/>
      <c r="B204" s="81"/>
      <c r="C204" s="81"/>
      <c r="D204" s="736" t="s">
        <v>687</v>
      </c>
      <c r="E204" s="737"/>
      <c r="F204" s="737"/>
      <c r="G204" s="737">
        <v>10000</v>
      </c>
      <c r="H204" s="198"/>
    </row>
    <row r="205" spans="1:8" s="197" customFormat="1" ht="18" customHeight="1">
      <c r="A205" s="207"/>
      <c r="B205" s="81"/>
      <c r="C205" s="81"/>
      <c r="D205" s="734" t="s">
        <v>203</v>
      </c>
      <c r="E205" s="737"/>
      <c r="F205" s="737"/>
      <c r="G205" s="737">
        <v>4000</v>
      </c>
      <c r="H205" s="198"/>
    </row>
    <row r="206" spans="1:8" s="197" customFormat="1" ht="18" customHeight="1">
      <c r="A206" s="208"/>
      <c r="B206" s="172"/>
      <c r="C206" s="81"/>
      <c r="D206" s="896" t="s">
        <v>196</v>
      </c>
      <c r="E206" s="897"/>
      <c r="F206" s="897">
        <v>20000</v>
      </c>
      <c r="G206" s="897"/>
      <c r="H206" s="198"/>
    </row>
    <row r="207" spans="1:8" s="158" customFormat="1" ht="27" customHeight="1">
      <c r="A207" s="208"/>
      <c r="B207" s="172"/>
      <c r="C207" s="82">
        <v>2820</v>
      </c>
      <c r="D207" s="682" t="s">
        <v>197</v>
      </c>
      <c r="E207" s="733"/>
      <c r="F207" s="733">
        <f>SUM(F203:F206)</f>
        <v>20000</v>
      </c>
      <c r="G207" s="733">
        <f>SUM(G203:G206)</f>
        <v>20000</v>
      </c>
      <c r="H207" s="157"/>
    </row>
    <row r="208" spans="1:8" s="158" customFormat="1" ht="18.75" customHeight="1">
      <c r="A208" s="208"/>
      <c r="B208" s="172"/>
      <c r="C208" s="331">
        <v>4300</v>
      </c>
      <c r="D208" s="490" t="s">
        <v>76</v>
      </c>
      <c r="E208" s="439"/>
      <c r="F208" s="439">
        <v>3340</v>
      </c>
      <c r="G208" s="439"/>
      <c r="H208" s="157"/>
    </row>
    <row r="209" spans="1:8" s="22" customFormat="1" ht="42" customHeight="1">
      <c r="A209" s="207"/>
      <c r="B209" s="81"/>
      <c r="C209" s="66"/>
      <c r="D209" s="694" t="s">
        <v>207</v>
      </c>
      <c r="E209" s="695"/>
      <c r="F209" s="695">
        <f>F214</f>
        <v>9000</v>
      </c>
      <c r="G209" s="695">
        <f>G214</f>
        <v>9000</v>
      </c>
      <c r="H209" s="47"/>
    </row>
    <row r="210" spans="1:8" s="197" customFormat="1" ht="18" customHeight="1">
      <c r="A210" s="207"/>
      <c r="B210" s="81"/>
      <c r="C210" s="81"/>
      <c r="D210" s="734" t="s">
        <v>200</v>
      </c>
      <c r="E210" s="735"/>
      <c r="F210" s="735"/>
      <c r="G210" s="735">
        <v>3000</v>
      </c>
      <c r="H210" s="198"/>
    </row>
    <row r="211" spans="1:8" s="197" customFormat="1" ht="18" customHeight="1">
      <c r="A211" s="207"/>
      <c r="B211" s="81"/>
      <c r="C211" s="81"/>
      <c r="D211" s="736" t="s">
        <v>209</v>
      </c>
      <c r="E211" s="737"/>
      <c r="F211" s="737"/>
      <c r="G211" s="737">
        <v>3000</v>
      </c>
      <c r="H211" s="198"/>
    </row>
    <row r="212" spans="1:8" s="197" customFormat="1" ht="18" customHeight="1">
      <c r="A212" s="207"/>
      <c r="B212" s="81"/>
      <c r="C212" s="81"/>
      <c r="D212" s="736" t="s">
        <v>688</v>
      </c>
      <c r="E212" s="737"/>
      <c r="F212" s="737"/>
      <c r="G212" s="737">
        <v>3000</v>
      </c>
      <c r="H212" s="198"/>
    </row>
    <row r="213" spans="1:8" s="197" customFormat="1" ht="18" customHeight="1">
      <c r="A213" s="208"/>
      <c r="B213" s="172"/>
      <c r="C213" s="81"/>
      <c r="D213" s="893" t="s">
        <v>196</v>
      </c>
      <c r="E213" s="894"/>
      <c r="F213" s="894">
        <v>9000</v>
      </c>
      <c r="G213" s="894"/>
      <c r="H213" s="198"/>
    </row>
    <row r="214" spans="1:8" s="158" customFormat="1" ht="27" customHeight="1">
      <c r="A214" s="208"/>
      <c r="B214" s="172"/>
      <c r="C214" s="82">
        <v>2820</v>
      </c>
      <c r="D214" s="682" t="s">
        <v>197</v>
      </c>
      <c r="E214" s="733"/>
      <c r="F214" s="733">
        <f>SUM(F210:F213)</f>
        <v>9000</v>
      </c>
      <c r="G214" s="733">
        <f>SUM(G210:G213)</f>
        <v>9000</v>
      </c>
      <c r="H214" s="157"/>
    </row>
    <row r="215" spans="1:8" s="22" customFormat="1" ht="24" customHeight="1">
      <c r="A215" s="207"/>
      <c r="B215" s="81"/>
      <c r="C215" s="66"/>
      <c r="D215" s="891" t="s">
        <v>208</v>
      </c>
      <c r="E215" s="892"/>
      <c r="F215" s="892">
        <f>F220</f>
        <v>10000</v>
      </c>
      <c r="G215" s="892">
        <f>G220</f>
        <v>10000</v>
      </c>
      <c r="H215" s="47"/>
    </row>
    <row r="216" spans="1:8" s="197" customFormat="1" ht="18" customHeight="1">
      <c r="A216" s="207"/>
      <c r="B216" s="81"/>
      <c r="C216" s="81"/>
      <c r="D216" s="734" t="s">
        <v>200</v>
      </c>
      <c r="E216" s="735"/>
      <c r="F216" s="735"/>
      <c r="G216" s="735">
        <v>4000</v>
      </c>
      <c r="H216" s="198"/>
    </row>
    <row r="217" spans="1:8" s="197" customFormat="1" ht="26.25" customHeight="1">
      <c r="A217" s="207"/>
      <c r="B217" s="81"/>
      <c r="C217" s="81"/>
      <c r="D217" s="731" t="s">
        <v>198</v>
      </c>
      <c r="E217" s="737"/>
      <c r="F217" s="737"/>
      <c r="G217" s="737">
        <v>2000</v>
      </c>
      <c r="H217" s="198"/>
    </row>
    <row r="218" spans="1:8" s="197" customFormat="1" ht="26.25" customHeight="1">
      <c r="A218" s="207"/>
      <c r="B218" s="81"/>
      <c r="C218" s="81"/>
      <c r="D218" s="731" t="s">
        <v>205</v>
      </c>
      <c r="E218" s="737"/>
      <c r="F218" s="737"/>
      <c r="G218" s="737">
        <v>4000</v>
      </c>
      <c r="H218" s="198"/>
    </row>
    <row r="219" spans="1:8" s="197" customFormat="1" ht="18" customHeight="1">
      <c r="A219" s="208"/>
      <c r="B219" s="172"/>
      <c r="C219" s="81"/>
      <c r="D219" s="893" t="s">
        <v>196</v>
      </c>
      <c r="E219" s="894"/>
      <c r="F219" s="894">
        <v>10000</v>
      </c>
      <c r="G219" s="894"/>
      <c r="H219" s="198"/>
    </row>
    <row r="220" spans="1:8" s="158" customFormat="1" ht="27" customHeight="1">
      <c r="A220" s="208"/>
      <c r="B220" s="172"/>
      <c r="C220" s="82">
        <v>2820</v>
      </c>
      <c r="D220" s="682" t="s">
        <v>197</v>
      </c>
      <c r="E220" s="733"/>
      <c r="F220" s="733">
        <f>SUM(F216:F219)</f>
        <v>10000</v>
      </c>
      <c r="G220" s="733">
        <f>SUM(G216:G219)</f>
        <v>10000</v>
      </c>
      <c r="H220" s="157"/>
    </row>
    <row r="221" spans="1:8" s="22" customFormat="1" ht="18" customHeight="1">
      <c r="A221" s="207"/>
      <c r="B221" s="81"/>
      <c r="C221" s="66"/>
      <c r="D221" s="694" t="s">
        <v>187</v>
      </c>
      <c r="E221" s="695"/>
      <c r="F221" s="695">
        <f>F224</f>
        <v>5000</v>
      </c>
      <c r="G221" s="695">
        <f>G224</f>
        <v>5000</v>
      </c>
      <c r="H221" s="47"/>
    </row>
    <row r="222" spans="1:8" s="197" customFormat="1" ht="18" customHeight="1">
      <c r="A222" s="207"/>
      <c r="B222" s="81"/>
      <c r="C222" s="81"/>
      <c r="D222" s="736" t="s">
        <v>209</v>
      </c>
      <c r="E222" s="735"/>
      <c r="F222" s="735"/>
      <c r="G222" s="735">
        <v>5000</v>
      </c>
      <c r="H222" s="198"/>
    </row>
    <row r="223" spans="1:8" s="197" customFormat="1" ht="18" customHeight="1">
      <c r="A223" s="208"/>
      <c r="B223" s="172"/>
      <c r="C223" s="81"/>
      <c r="D223" s="731" t="s">
        <v>196</v>
      </c>
      <c r="E223" s="732"/>
      <c r="F223" s="732">
        <v>5000</v>
      </c>
      <c r="G223" s="732"/>
      <c r="H223" s="198"/>
    </row>
    <row r="224" spans="1:8" s="158" customFormat="1" ht="27" customHeight="1">
      <c r="A224" s="235"/>
      <c r="B224" s="331"/>
      <c r="C224" s="82">
        <v>2820</v>
      </c>
      <c r="D224" s="682" t="s">
        <v>197</v>
      </c>
      <c r="E224" s="733"/>
      <c r="F224" s="733">
        <f>SUM(F222:F223)</f>
        <v>5000</v>
      </c>
      <c r="G224" s="733">
        <f>SUM(G222:G223)</f>
        <v>5000</v>
      </c>
      <c r="H224" s="157"/>
    </row>
    <row r="225" spans="1:11" s="22" customFormat="1" ht="21" customHeight="1">
      <c r="A225" s="72">
        <v>854</v>
      </c>
      <c r="B225" s="89"/>
      <c r="C225" s="73"/>
      <c r="D225" s="92" t="s">
        <v>60</v>
      </c>
      <c r="E225" s="75"/>
      <c r="F225" s="75">
        <f>F226</f>
        <v>66450</v>
      </c>
      <c r="G225" s="75">
        <f>G226</f>
        <v>66450</v>
      </c>
      <c r="H225" s="47"/>
      <c r="I225" s="47"/>
      <c r="K225" s="47"/>
    </row>
    <row r="226" spans="1:11" s="834" customFormat="1" ht="27" customHeight="1">
      <c r="A226" s="830"/>
      <c r="B226" s="454">
        <v>85412</v>
      </c>
      <c r="C226" s="454"/>
      <c r="D226" s="454" t="s">
        <v>17</v>
      </c>
      <c r="E226" s="832"/>
      <c r="F226" s="832">
        <f>F227</f>
        <v>66450</v>
      </c>
      <c r="G226" s="832">
        <f>G227</f>
        <v>66450</v>
      </c>
      <c r="H226" s="833"/>
      <c r="I226" s="833"/>
      <c r="K226" s="835"/>
    </row>
    <row r="227" spans="1:11" s="834" customFormat="1" ht="24" customHeight="1">
      <c r="A227" s="836"/>
      <c r="B227" s="837"/>
      <c r="C227" s="837"/>
      <c r="D227" s="837" t="s">
        <v>19</v>
      </c>
      <c r="E227" s="842"/>
      <c r="F227" s="842">
        <f>F228+F230</f>
        <v>66450</v>
      </c>
      <c r="G227" s="842">
        <f>G228+G230</f>
        <v>66450</v>
      </c>
      <c r="H227" s="833"/>
      <c r="I227" s="833"/>
      <c r="K227" s="835"/>
    </row>
    <row r="228" spans="1:11" s="850" customFormat="1" ht="18.75" customHeight="1">
      <c r="A228" s="846"/>
      <c r="B228" s="734"/>
      <c r="C228" s="734"/>
      <c r="D228" s="847" t="s">
        <v>18</v>
      </c>
      <c r="E228" s="848"/>
      <c r="F228" s="848">
        <f>F229</f>
        <v>1200</v>
      </c>
      <c r="G228" s="848"/>
      <c r="H228" s="849"/>
      <c r="I228" s="849"/>
      <c r="K228" s="851"/>
    </row>
    <row r="229" spans="1:11" s="758" customFormat="1" ht="18.75" customHeight="1">
      <c r="A229" s="207"/>
      <c r="B229" s="66"/>
      <c r="C229" s="82">
        <v>4300</v>
      </c>
      <c r="D229" s="682" t="s">
        <v>76</v>
      </c>
      <c r="E229" s="764"/>
      <c r="F229" s="764">
        <v>1200</v>
      </c>
      <c r="G229" s="764"/>
      <c r="H229" s="159"/>
      <c r="I229" s="159"/>
      <c r="K229" s="759"/>
    </row>
    <row r="230" spans="1:11" s="850" customFormat="1" ht="18.75" customHeight="1">
      <c r="A230" s="846"/>
      <c r="B230" s="734"/>
      <c r="C230" s="734"/>
      <c r="D230" s="979" t="s">
        <v>20</v>
      </c>
      <c r="E230" s="980"/>
      <c r="F230" s="980">
        <f>F248+F249</f>
        <v>65250</v>
      </c>
      <c r="G230" s="980">
        <f>G248+G249</f>
        <v>66450</v>
      </c>
      <c r="H230" s="849"/>
      <c r="I230" s="849"/>
      <c r="K230" s="851"/>
    </row>
    <row r="231" spans="1:8" s="197" customFormat="1" ht="21" customHeight="1">
      <c r="A231" s="207"/>
      <c r="B231" s="81"/>
      <c r="C231" s="81"/>
      <c r="D231" s="734" t="s">
        <v>596</v>
      </c>
      <c r="E231" s="735"/>
      <c r="F231" s="735"/>
      <c r="G231" s="735">
        <v>5800</v>
      </c>
      <c r="H231" s="198"/>
    </row>
    <row r="232" spans="1:8" s="197" customFormat="1" ht="21" customHeight="1">
      <c r="A232" s="207"/>
      <c r="B232" s="81"/>
      <c r="C232" s="81"/>
      <c r="D232" s="731" t="s">
        <v>593</v>
      </c>
      <c r="E232" s="737"/>
      <c r="F232" s="737"/>
      <c r="G232" s="737">
        <v>5800</v>
      </c>
      <c r="H232" s="198"/>
    </row>
    <row r="233" spans="1:8" s="197" customFormat="1" ht="21" customHeight="1">
      <c r="A233" s="207"/>
      <c r="B233" s="81"/>
      <c r="C233" s="81"/>
      <c r="D233" s="736" t="s">
        <v>594</v>
      </c>
      <c r="E233" s="737"/>
      <c r="F233" s="737"/>
      <c r="G233" s="737">
        <v>5800</v>
      </c>
      <c r="H233" s="198"/>
    </row>
    <row r="234" spans="1:8" s="197" customFormat="1" ht="21" customHeight="1">
      <c r="A234" s="207"/>
      <c r="B234" s="81"/>
      <c r="C234" s="81"/>
      <c r="D234" s="736" t="s">
        <v>595</v>
      </c>
      <c r="E234" s="737"/>
      <c r="F234" s="737"/>
      <c r="G234" s="737">
        <v>5800</v>
      </c>
      <c r="H234" s="198"/>
    </row>
    <row r="235" spans="1:8" s="197" customFormat="1" ht="25.5" customHeight="1">
      <c r="A235" s="207"/>
      <c r="B235" s="81"/>
      <c r="C235" s="81"/>
      <c r="D235" s="877" t="s">
        <v>689</v>
      </c>
      <c r="E235" s="737"/>
      <c r="F235" s="737"/>
      <c r="G235" s="737">
        <v>4770</v>
      </c>
      <c r="H235" s="198"/>
    </row>
    <row r="236" spans="1:8" s="197" customFormat="1" ht="21" customHeight="1">
      <c r="A236" s="207"/>
      <c r="B236" s="81"/>
      <c r="C236" s="81"/>
      <c r="D236" s="877" t="s">
        <v>597</v>
      </c>
      <c r="E236" s="737"/>
      <c r="F236" s="737"/>
      <c r="G236" s="737">
        <v>4240</v>
      </c>
      <c r="H236" s="198"/>
    </row>
    <row r="237" spans="1:8" s="197" customFormat="1" ht="21" customHeight="1">
      <c r="A237" s="207"/>
      <c r="B237" s="81"/>
      <c r="C237" s="81"/>
      <c r="D237" s="877" t="s">
        <v>598</v>
      </c>
      <c r="E237" s="737"/>
      <c r="F237" s="737"/>
      <c r="G237" s="737">
        <v>3180</v>
      </c>
      <c r="H237" s="198"/>
    </row>
    <row r="238" spans="1:8" s="197" customFormat="1" ht="21" customHeight="1">
      <c r="A238" s="207"/>
      <c r="B238" s="81"/>
      <c r="C238" s="81"/>
      <c r="D238" s="877" t="s">
        <v>599</v>
      </c>
      <c r="E238" s="737"/>
      <c r="F238" s="737"/>
      <c r="G238" s="737">
        <v>3690</v>
      </c>
      <c r="H238" s="198"/>
    </row>
    <row r="239" spans="1:8" s="197" customFormat="1" ht="21" customHeight="1">
      <c r="A239" s="207"/>
      <c r="B239" s="81"/>
      <c r="C239" s="81"/>
      <c r="D239" s="877" t="s">
        <v>600</v>
      </c>
      <c r="E239" s="737"/>
      <c r="F239" s="737"/>
      <c r="G239" s="737">
        <v>3690</v>
      </c>
      <c r="H239" s="198"/>
    </row>
    <row r="240" spans="1:8" s="197" customFormat="1" ht="21" customHeight="1">
      <c r="A240" s="207"/>
      <c r="B240" s="81"/>
      <c r="C240" s="81"/>
      <c r="D240" s="877" t="s">
        <v>601</v>
      </c>
      <c r="E240" s="737"/>
      <c r="F240" s="737"/>
      <c r="G240" s="737">
        <v>5800</v>
      </c>
      <c r="H240" s="198"/>
    </row>
    <row r="241" spans="1:8" s="197" customFormat="1" ht="21" customHeight="1">
      <c r="A241" s="207"/>
      <c r="B241" s="81"/>
      <c r="C241" s="81"/>
      <c r="D241" s="877" t="s">
        <v>602</v>
      </c>
      <c r="E241" s="737"/>
      <c r="F241" s="737"/>
      <c r="G241" s="737">
        <v>2370</v>
      </c>
      <c r="H241" s="198"/>
    </row>
    <row r="242" spans="1:8" s="197" customFormat="1" ht="21" customHeight="1">
      <c r="A242" s="207"/>
      <c r="B242" s="81"/>
      <c r="C242" s="81"/>
      <c r="D242" s="877" t="s">
        <v>690</v>
      </c>
      <c r="E242" s="737"/>
      <c r="F242" s="737"/>
      <c r="G242" s="737">
        <v>2120</v>
      </c>
      <c r="H242" s="198"/>
    </row>
    <row r="243" spans="1:8" s="197" customFormat="1" ht="21" customHeight="1">
      <c r="A243" s="207"/>
      <c r="B243" s="81"/>
      <c r="C243" s="81"/>
      <c r="D243" s="877" t="s">
        <v>603</v>
      </c>
      <c r="E243" s="737"/>
      <c r="F243" s="737"/>
      <c r="G243" s="737">
        <v>3180</v>
      </c>
      <c r="H243" s="198"/>
    </row>
    <row r="244" spans="1:8" s="197" customFormat="1" ht="18" customHeight="1">
      <c r="A244" s="208"/>
      <c r="B244" s="172"/>
      <c r="C244" s="81"/>
      <c r="D244" s="731" t="s">
        <v>604</v>
      </c>
      <c r="E244" s="732"/>
      <c r="F244" s="732"/>
      <c r="G244" s="732">
        <v>2120</v>
      </c>
      <c r="H244" s="198"/>
    </row>
    <row r="245" spans="1:8" s="197" customFormat="1" ht="21" customHeight="1">
      <c r="A245" s="207"/>
      <c r="B245" s="81"/>
      <c r="C245" s="81"/>
      <c r="D245" s="877" t="s">
        <v>605</v>
      </c>
      <c r="E245" s="737"/>
      <c r="F245" s="737"/>
      <c r="G245" s="737">
        <v>2650</v>
      </c>
      <c r="H245" s="198"/>
    </row>
    <row r="246" spans="1:8" s="197" customFormat="1" ht="21" customHeight="1">
      <c r="A246" s="207"/>
      <c r="B246" s="81"/>
      <c r="C246" s="81"/>
      <c r="D246" s="877" t="s">
        <v>606</v>
      </c>
      <c r="E246" s="737"/>
      <c r="F246" s="737"/>
      <c r="G246" s="737">
        <v>4240</v>
      </c>
      <c r="H246" s="198"/>
    </row>
    <row r="247" spans="1:8" s="197" customFormat="1" ht="18" customHeight="1">
      <c r="A247" s="208"/>
      <c r="B247" s="172"/>
      <c r="C247" s="81"/>
      <c r="D247" s="731" t="s">
        <v>196</v>
      </c>
      <c r="E247" s="732"/>
      <c r="F247" s="732">
        <v>65250</v>
      </c>
      <c r="G247" s="732"/>
      <c r="H247" s="198"/>
    </row>
    <row r="248" spans="1:8" s="158" customFormat="1" ht="27" customHeight="1">
      <c r="A248" s="208"/>
      <c r="B248" s="172"/>
      <c r="C248" s="82">
        <v>2820</v>
      </c>
      <c r="D248" s="682" t="s">
        <v>197</v>
      </c>
      <c r="E248" s="733"/>
      <c r="F248" s="733">
        <f>SUM(F231:F247)</f>
        <v>65250</v>
      </c>
      <c r="G248" s="733">
        <f>SUM(G231:G247)</f>
        <v>65250</v>
      </c>
      <c r="H248" s="157"/>
    </row>
    <row r="249" spans="1:11" s="758" customFormat="1" ht="18.75" customHeight="1">
      <c r="A249" s="207"/>
      <c r="B249" s="66"/>
      <c r="C249" s="81">
        <v>4300</v>
      </c>
      <c r="D249" s="734" t="s">
        <v>76</v>
      </c>
      <c r="E249" s="1214"/>
      <c r="F249" s="1214"/>
      <c r="G249" s="1214">
        <v>1200</v>
      </c>
      <c r="H249" s="159"/>
      <c r="I249" s="159"/>
      <c r="K249" s="759"/>
    </row>
    <row r="250" spans="1:11" s="758" customFormat="1" ht="18.75" customHeight="1">
      <c r="A250" s="889"/>
      <c r="B250" s="966"/>
      <c r="C250" s="890"/>
      <c r="D250" s="1215"/>
      <c r="E250" s="1216"/>
      <c r="F250" s="1216"/>
      <c r="G250" s="1216"/>
      <c r="H250" s="159"/>
      <c r="I250" s="159"/>
      <c r="K250" s="759"/>
    </row>
    <row r="251" spans="1:11" s="758" customFormat="1" ht="18.75" customHeight="1">
      <c r="A251" s="1208"/>
      <c r="B251" s="33"/>
      <c r="C251" s="1206"/>
      <c r="D251" s="1217"/>
      <c r="E251" s="1218"/>
      <c r="F251" s="1218"/>
      <c r="G251" s="1218"/>
      <c r="H251" s="159"/>
      <c r="I251" s="159"/>
      <c r="K251" s="759"/>
    </row>
    <row r="252" spans="1:11" s="22" customFormat="1" ht="16.5" customHeight="1">
      <c r="A252" s="456">
        <v>926</v>
      </c>
      <c r="B252" s="73"/>
      <c r="C252" s="73"/>
      <c r="D252" s="92" t="s">
        <v>532</v>
      </c>
      <c r="E252" s="75"/>
      <c r="F252" s="75">
        <f>F253</f>
        <v>73000</v>
      </c>
      <c r="G252" s="75">
        <f>G253</f>
        <v>73000</v>
      </c>
      <c r="H252" s="47"/>
      <c r="I252" s="47"/>
      <c r="K252" s="47"/>
    </row>
    <row r="253" spans="1:11" s="130" customFormat="1" ht="16.5" customHeight="1">
      <c r="A253" s="221"/>
      <c r="B253" s="77">
        <v>92605</v>
      </c>
      <c r="C253" s="77"/>
      <c r="D253" s="77" t="s">
        <v>551</v>
      </c>
      <c r="E253" s="137"/>
      <c r="F253" s="137">
        <f>F254</f>
        <v>73000</v>
      </c>
      <c r="G253" s="137">
        <f>G254</f>
        <v>73000</v>
      </c>
      <c r="H253" s="138"/>
      <c r="I253" s="138"/>
      <c r="K253" s="138"/>
    </row>
    <row r="254" spans="1:11" s="130" customFormat="1" ht="18" customHeight="1">
      <c r="A254" s="80"/>
      <c r="B254" s="66"/>
      <c r="C254" s="774"/>
      <c r="D254" s="981" t="s">
        <v>21</v>
      </c>
      <c r="E254" s="909"/>
      <c r="F254" s="909">
        <f>F262+F263+F264</f>
        <v>73000</v>
      </c>
      <c r="G254" s="909">
        <f>G262+G263+G264</f>
        <v>73000</v>
      </c>
      <c r="H254" s="138"/>
      <c r="I254" s="138"/>
      <c r="K254" s="138"/>
    </row>
    <row r="255" spans="1:8" s="197" customFormat="1" ht="18" customHeight="1">
      <c r="A255" s="207"/>
      <c r="B255" s="81"/>
      <c r="C255" s="81"/>
      <c r="D255" s="734" t="s">
        <v>609</v>
      </c>
      <c r="E255" s="735"/>
      <c r="F255" s="735"/>
      <c r="G255" s="735">
        <v>20000</v>
      </c>
      <c r="H255" s="198"/>
    </row>
    <row r="256" spans="1:8" s="197" customFormat="1" ht="18" customHeight="1">
      <c r="A256" s="207"/>
      <c r="B256" s="81"/>
      <c r="C256" s="81"/>
      <c r="D256" s="731" t="s">
        <v>601</v>
      </c>
      <c r="E256" s="737"/>
      <c r="F256" s="737"/>
      <c r="G256" s="737">
        <v>10000</v>
      </c>
      <c r="H256" s="198"/>
    </row>
    <row r="257" spans="1:8" s="197" customFormat="1" ht="18" customHeight="1">
      <c r="A257" s="207"/>
      <c r="B257" s="81"/>
      <c r="C257" s="81"/>
      <c r="D257" s="491" t="s">
        <v>607</v>
      </c>
      <c r="E257" s="737"/>
      <c r="F257" s="737"/>
      <c r="G257" s="737">
        <v>10000</v>
      </c>
      <c r="H257" s="198"/>
    </row>
    <row r="258" spans="1:8" s="197" customFormat="1" ht="18" customHeight="1">
      <c r="A258" s="207"/>
      <c r="B258" s="81"/>
      <c r="C258" s="81"/>
      <c r="D258" s="491" t="s">
        <v>599</v>
      </c>
      <c r="E258" s="737"/>
      <c r="F258" s="737"/>
      <c r="G258" s="737">
        <v>10000</v>
      </c>
      <c r="H258" s="198"/>
    </row>
    <row r="259" spans="1:8" s="197" customFormat="1" ht="18" customHeight="1">
      <c r="A259" s="207"/>
      <c r="B259" s="81"/>
      <c r="C259" s="81"/>
      <c r="D259" s="491" t="s">
        <v>605</v>
      </c>
      <c r="E259" s="737"/>
      <c r="F259" s="737"/>
      <c r="G259" s="737">
        <v>10000</v>
      </c>
      <c r="H259" s="198"/>
    </row>
    <row r="260" spans="1:8" s="197" customFormat="1" ht="18" customHeight="1">
      <c r="A260" s="207"/>
      <c r="B260" s="81"/>
      <c r="C260" s="81"/>
      <c r="D260" s="491" t="s">
        <v>608</v>
      </c>
      <c r="E260" s="737"/>
      <c r="F260" s="737"/>
      <c r="G260" s="737">
        <v>3000</v>
      </c>
      <c r="H260" s="198"/>
    </row>
    <row r="261" spans="1:8" s="197" customFormat="1" ht="18" customHeight="1">
      <c r="A261" s="208"/>
      <c r="B261" s="172"/>
      <c r="C261" s="81"/>
      <c r="D261" s="731" t="s">
        <v>196</v>
      </c>
      <c r="E261" s="732"/>
      <c r="F261" s="732">
        <v>63000</v>
      </c>
      <c r="G261" s="732"/>
      <c r="H261" s="198"/>
    </row>
    <row r="262" spans="1:8" s="158" customFormat="1" ht="28.5" customHeight="1">
      <c r="A262" s="208"/>
      <c r="B262" s="172"/>
      <c r="C262" s="82">
        <v>2820</v>
      </c>
      <c r="D262" s="682" t="s">
        <v>197</v>
      </c>
      <c r="E262" s="733"/>
      <c r="F262" s="733">
        <f>SUM(F255:F261)</f>
        <v>63000</v>
      </c>
      <c r="G262" s="733">
        <f>SUM(G255:G261)</f>
        <v>63000</v>
      </c>
      <c r="H262" s="157"/>
    </row>
    <row r="263" spans="1:11" s="160" customFormat="1" ht="18" customHeight="1">
      <c r="A263" s="207"/>
      <c r="B263" s="81"/>
      <c r="C263" s="776">
        <v>4170</v>
      </c>
      <c r="D263" s="777" t="s">
        <v>87</v>
      </c>
      <c r="E263" s="146"/>
      <c r="F263" s="146">
        <v>10000</v>
      </c>
      <c r="G263" s="146"/>
      <c r="H263" s="159"/>
      <c r="I263" s="159"/>
      <c r="K263" s="159"/>
    </row>
    <row r="264" spans="1:11" s="160" customFormat="1" ht="18" customHeight="1">
      <c r="A264" s="207"/>
      <c r="B264" s="81"/>
      <c r="C264" s="776">
        <v>4300</v>
      </c>
      <c r="D264" s="776" t="s">
        <v>76</v>
      </c>
      <c r="E264" s="154"/>
      <c r="F264" s="154"/>
      <c r="G264" s="154">
        <v>10000</v>
      </c>
      <c r="H264" s="159"/>
      <c r="I264" s="159"/>
      <c r="K264" s="159"/>
    </row>
    <row r="265" spans="1:8" s="171" customFormat="1" ht="18.75" customHeight="1">
      <c r="A265" s="167"/>
      <c r="B265" s="139"/>
      <c r="C265" s="168"/>
      <c r="D265" s="497" t="s">
        <v>617</v>
      </c>
      <c r="E265" s="498"/>
      <c r="F265" s="498">
        <f aca="true" t="shared" si="1" ref="F265:G269">F266</f>
        <v>250000</v>
      </c>
      <c r="G265" s="498">
        <f t="shared" si="1"/>
        <v>250000</v>
      </c>
      <c r="H265" s="329"/>
    </row>
    <row r="266" spans="1:8" s="158" customFormat="1" ht="18.75" customHeight="1" thickBot="1">
      <c r="A266" s="172"/>
      <c r="B266" s="172"/>
      <c r="C266" s="331"/>
      <c r="D266" s="166" t="s">
        <v>51</v>
      </c>
      <c r="E266" s="165"/>
      <c r="F266" s="196">
        <f t="shared" si="1"/>
        <v>250000</v>
      </c>
      <c r="G266" s="196">
        <f t="shared" si="1"/>
        <v>250000</v>
      </c>
      <c r="H266" s="157"/>
    </row>
    <row r="267" spans="1:8" s="149" customFormat="1" ht="18.75" customHeight="1" thickTop="1">
      <c r="A267" s="72">
        <v>926</v>
      </c>
      <c r="B267" s="89"/>
      <c r="C267" s="73"/>
      <c r="D267" s="92" t="s">
        <v>532</v>
      </c>
      <c r="E267" s="92"/>
      <c r="F267" s="75">
        <f t="shared" si="1"/>
        <v>250000</v>
      </c>
      <c r="G267" s="75">
        <f t="shared" si="1"/>
        <v>250000</v>
      </c>
      <c r="H267" s="148"/>
    </row>
    <row r="268" spans="1:8" s="149" customFormat="1" ht="18" customHeight="1">
      <c r="A268" s="76"/>
      <c r="B268" s="77">
        <v>92604</v>
      </c>
      <c r="C268" s="77"/>
      <c r="D268" s="77" t="s">
        <v>534</v>
      </c>
      <c r="E268" s="77"/>
      <c r="F268" s="137">
        <f t="shared" si="1"/>
        <v>250000</v>
      </c>
      <c r="G268" s="137">
        <f t="shared" si="1"/>
        <v>250000</v>
      </c>
      <c r="H268" s="148"/>
    </row>
    <row r="269" spans="1:8" s="237" customFormat="1" ht="18" customHeight="1">
      <c r="A269" s="209"/>
      <c r="B269" s="210"/>
      <c r="C269" s="220"/>
      <c r="D269" s="489" t="s">
        <v>274</v>
      </c>
      <c r="E269" s="489"/>
      <c r="F269" s="441">
        <f t="shared" si="1"/>
        <v>250000</v>
      </c>
      <c r="G269" s="441">
        <f t="shared" si="1"/>
        <v>250000</v>
      </c>
      <c r="H269" s="213"/>
    </row>
    <row r="270" spans="1:8" s="232" customFormat="1" ht="18" customHeight="1">
      <c r="A270" s="208"/>
      <c r="B270" s="172"/>
      <c r="C270" s="172"/>
      <c r="D270" s="1224" t="s">
        <v>275</v>
      </c>
      <c r="E270" s="1224"/>
      <c r="F270" s="1225">
        <f>F275</f>
        <v>250000</v>
      </c>
      <c r="G270" s="1225">
        <f>G275</f>
        <v>250000</v>
      </c>
      <c r="H270" s="231"/>
    </row>
    <row r="271" spans="1:8" s="232" customFormat="1" ht="26.25" customHeight="1">
      <c r="A271" s="208"/>
      <c r="B271" s="172"/>
      <c r="C271" s="155"/>
      <c r="D271" s="1088" t="s">
        <v>671</v>
      </c>
      <c r="E271" s="1088"/>
      <c r="F271" s="1089"/>
      <c r="G271" s="1089">
        <v>100000</v>
      </c>
      <c r="H271" s="231"/>
    </row>
    <row r="272" spans="1:8" s="158" customFormat="1" ht="18" customHeight="1">
      <c r="A272" s="208"/>
      <c r="B272" s="172"/>
      <c r="C272" s="155"/>
      <c r="D272" s="491" t="s">
        <v>270</v>
      </c>
      <c r="E272" s="491"/>
      <c r="F272" s="492">
        <v>100000</v>
      </c>
      <c r="G272" s="492"/>
      <c r="H272" s="157"/>
    </row>
    <row r="273" spans="1:8" s="232" customFormat="1" ht="18" customHeight="1">
      <c r="A273" s="208"/>
      <c r="B273" s="172"/>
      <c r="C273" s="155"/>
      <c r="D273" s="1088" t="s">
        <v>271</v>
      </c>
      <c r="E273" s="1088"/>
      <c r="F273" s="1089">
        <v>150000</v>
      </c>
      <c r="G273" s="1089"/>
      <c r="H273" s="231"/>
    </row>
    <row r="274" spans="1:8" s="232" customFormat="1" ht="18" customHeight="1">
      <c r="A274" s="208"/>
      <c r="B274" s="172"/>
      <c r="C274" s="155"/>
      <c r="D274" s="491" t="s">
        <v>273</v>
      </c>
      <c r="E274" s="491"/>
      <c r="F274" s="492"/>
      <c r="G274" s="492">
        <v>150000</v>
      </c>
      <c r="H274" s="231"/>
    </row>
    <row r="275" spans="1:8" s="232" customFormat="1" ht="26.25" customHeight="1">
      <c r="A275" s="208"/>
      <c r="B275" s="172"/>
      <c r="C275" s="236">
        <v>6210</v>
      </c>
      <c r="D275" s="511" t="s">
        <v>272</v>
      </c>
      <c r="E275" s="511"/>
      <c r="F275" s="443">
        <f>SUM(F271:F274)</f>
        <v>250000</v>
      </c>
      <c r="G275" s="443">
        <f>SUM(G271:G274)</f>
        <v>250000</v>
      </c>
      <c r="H275" s="231"/>
    </row>
    <row r="276" spans="1:8" s="171" customFormat="1" ht="16.5" customHeight="1">
      <c r="A276" s="167"/>
      <c r="B276" s="139"/>
      <c r="C276" s="168"/>
      <c r="D276" s="169" t="s">
        <v>618</v>
      </c>
      <c r="E276" s="170"/>
      <c r="F276" s="170">
        <f aca="true" t="shared" si="2" ref="F276:G279">F277</f>
        <v>1200</v>
      </c>
      <c r="G276" s="170">
        <f t="shared" si="2"/>
        <v>1200</v>
      </c>
      <c r="H276" s="329"/>
    </row>
    <row r="277" spans="1:8" s="158" customFormat="1" ht="16.5" customHeight="1" thickBot="1">
      <c r="A277" s="172"/>
      <c r="B277" s="172"/>
      <c r="C277" s="331"/>
      <c r="D277" s="166" t="s">
        <v>51</v>
      </c>
      <c r="E277" s="165"/>
      <c r="F277" s="196">
        <f t="shared" si="2"/>
        <v>1200</v>
      </c>
      <c r="G277" s="196">
        <f t="shared" si="2"/>
        <v>1200</v>
      </c>
      <c r="H277" s="157"/>
    </row>
    <row r="278" spans="1:8" s="149" customFormat="1" ht="16.5" customHeight="1" thickTop="1">
      <c r="A278" s="72">
        <v>921</v>
      </c>
      <c r="B278" s="89"/>
      <c r="C278" s="73"/>
      <c r="D278" s="92" t="s">
        <v>531</v>
      </c>
      <c r="E278" s="96"/>
      <c r="F278" s="96">
        <f t="shared" si="2"/>
        <v>1200</v>
      </c>
      <c r="G278" s="96">
        <f t="shared" si="2"/>
        <v>1200</v>
      </c>
      <c r="H278" s="148"/>
    </row>
    <row r="279" spans="1:8" s="149" customFormat="1" ht="16.5" customHeight="1">
      <c r="A279" s="76"/>
      <c r="B279" s="77">
        <v>92105</v>
      </c>
      <c r="C279" s="77"/>
      <c r="D279" s="77" t="s">
        <v>536</v>
      </c>
      <c r="E279" s="90"/>
      <c r="F279" s="90">
        <f t="shared" si="2"/>
        <v>1200</v>
      </c>
      <c r="G279" s="90">
        <f t="shared" si="2"/>
        <v>1200</v>
      </c>
      <c r="H279" s="148"/>
    </row>
    <row r="280" spans="1:8" s="149" customFormat="1" ht="16.5" customHeight="1">
      <c r="A280" s="209"/>
      <c r="B280" s="210"/>
      <c r="C280" s="210"/>
      <c r="D280" s="211" t="s">
        <v>667</v>
      </c>
      <c r="E280" s="161"/>
      <c r="F280" s="161">
        <f>SUM(F281:F282)</f>
        <v>1200</v>
      </c>
      <c r="G280" s="161">
        <f>SUM(G281:G282)</f>
        <v>1200</v>
      </c>
      <c r="H280" s="148"/>
    </row>
    <row r="281" spans="1:8" s="158" customFormat="1" ht="16.5" customHeight="1">
      <c r="A281" s="235"/>
      <c r="B281" s="331"/>
      <c r="C281" s="331">
        <v>4210</v>
      </c>
      <c r="D281" s="332" t="s">
        <v>75</v>
      </c>
      <c r="E281" s="1219"/>
      <c r="F281" s="1219"/>
      <c r="G281" s="1219">
        <v>1200</v>
      </c>
      <c r="H281" s="157"/>
    </row>
    <row r="282" spans="1:8" s="149" customFormat="1" ht="16.5" customHeight="1">
      <c r="A282" s="208"/>
      <c r="B282" s="172"/>
      <c r="C282" s="331">
        <v>4300</v>
      </c>
      <c r="D282" s="332" t="s">
        <v>76</v>
      </c>
      <c r="E282" s="1219"/>
      <c r="F282" s="1219">
        <v>1200</v>
      </c>
      <c r="G282" s="1219"/>
      <c r="H282" s="148"/>
    </row>
    <row r="283" spans="1:8" s="171" customFormat="1" ht="15.75" customHeight="1">
      <c r="A283" s="167"/>
      <c r="B283" s="139"/>
      <c r="C283" s="168"/>
      <c r="D283" s="497" t="s">
        <v>619</v>
      </c>
      <c r="E283" s="498"/>
      <c r="F283" s="498">
        <f aca="true" t="shared" si="3" ref="F283:F288">F284</f>
        <v>600</v>
      </c>
      <c r="G283" s="498"/>
      <c r="H283" s="329"/>
    </row>
    <row r="284" spans="1:8" s="158" customFormat="1" ht="18.75" customHeight="1" thickBot="1">
      <c r="A284" s="172"/>
      <c r="B284" s="172"/>
      <c r="C284" s="331"/>
      <c r="D284" s="166" t="s">
        <v>51</v>
      </c>
      <c r="E284" s="165"/>
      <c r="F284" s="196">
        <f t="shared" si="3"/>
        <v>600</v>
      </c>
      <c r="G284" s="196"/>
      <c r="H284" s="157"/>
    </row>
    <row r="285" spans="1:8" s="149" customFormat="1" ht="18.75" customHeight="1" thickTop="1">
      <c r="A285" s="72">
        <v>851</v>
      </c>
      <c r="B285" s="89"/>
      <c r="C285" s="73"/>
      <c r="D285" s="92" t="s">
        <v>61</v>
      </c>
      <c r="E285" s="96"/>
      <c r="F285" s="96">
        <f t="shared" si="3"/>
        <v>600</v>
      </c>
      <c r="G285" s="96"/>
      <c r="H285" s="148"/>
    </row>
    <row r="286" spans="1:8" s="149" customFormat="1" ht="18" customHeight="1">
      <c r="A286" s="81"/>
      <c r="B286" s="78">
        <v>85195</v>
      </c>
      <c r="C286" s="78"/>
      <c r="D286" s="78" t="s">
        <v>57</v>
      </c>
      <c r="E286" s="90"/>
      <c r="F286" s="90">
        <f t="shared" si="3"/>
        <v>600</v>
      </c>
      <c r="G286" s="90"/>
      <c r="H286" s="148"/>
    </row>
    <row r="287" spans="1:8" s="149" customFormat="1" ht="26.25" customHeight="1">
      <c r="A287" s="109"/>
      <c r="B287" s="499"/>
      <c r="C287" s="499"/>
      <c r="D287" s="692" t="s">
        <v>622</v>
      </c>
      <c r="E287" s="693"/>
      <c r="F287" s="693">
        <f t="shared" si="3"/>
        <v>600</v>
      </c>
      <c r="G287" s="693"/>
      <c r="H287" s="148"/>
    </row>
    <row r="288" spans="1:8" s="149" customFormat="1" ht="26.25" customHeight="1">
      <c r="A288" s="109"/>
      <c r="B288" s="81"/>
      <c r="C288" s="66"/>
      <c r="D288" s="694" t="s">
        <v>190</v>
      </c>
      <c r="E288" s="695"/>
      <c r="F288" s="695">
        <f t="shared" si="3"/>
        <v>600</v>
      </c>
      <c r="G288" s="695"/>
      <c r="H288" s="148"/>
    </row>
    <row r="289" spans="1:8" s="158" customFormat="1" ht="18.75" customHeight="1">
      <c r="A289" s="155"/>
      <c r="B289" s="81"/>
      <c r="C289" s="82">
        <v>4170</v>
      </c>
      <c r="D289" s="688" t="s">
        <v>87</v>
      </c>
      <c r="E289" s="730"/>
      <c r="F289" s="730">
        <v>600</v>
      </c>
      <c r="G289" s="730"/>
      <c r="H289" s="157"/>
    </row>
    <row r="290" spans="1:8" ht="21.75" customHeight="1">
      <c r="A290" s="93"/>
      <c r="B290" s="66"/>
      <c r="C290" s="99"/>
      <c r="D290" s="97" t="s">
        <v>620</v>
      </c>
      <c r="E290" s="100"/>
      <c r="F290" s="100"/>
      <c r="G290" s="100">
        <f>G291</f>
        <v>5871</v>
      </c>
      <c r="H290" s="52"/>
    </row>
    <row r="291" spans="1:7" s="197" customFormat="1" ht="18.75" customHeight="1" thickBot="1">
      <c r="A291" s="331"/>
      <c r="B291" s="331"/>
      <c r="C291" s="482"/>
      <c r="D291" s="166" t="s">
        <v>51</v>
      </c>
      <c r="E291" s="483"/>
      <c r="F291" s="484"/>
      <c r="G291" s="484">
        <f>G292+G298</f>
        <v>5871</v>
      </c>
    </row>
    <row r="292" spans="1:8" s="95" customFormat="1" ht="18" customHeight="1" thickTop="1">
      <c r="A292" s="72">
        <v>851</v>
      </c>
      <c r="B292" s="89"/>
      <c r="C292" s="73"/>
      <c r="D292" s="92" t="s">
        <v>61</v>
      </c>
      <c r="E292" s="74"/>
      <c r="F292" s="74"/>
      <c r="G292" s="74">
        <f>G293</f>
        <v>4700</v>
      </c>
      <c r="H292" s="94"/>
    </row>
    <row r="293" spans="1:8" s="130" customFormat="1" ht="18" customHeight="1">
      <c r="A293" s="81"/>
      <c r="B293" s="78">
        <v>85154</v>
      </c>
      <c r="C293" s="78"/>
      <c r="D293" s="78" t="s">
        <v>86</v>
      </c>
      <c r="E293" s="90"/>
      <c r="F293" s="90"/>
      <c r="G293" s="90">
        <f>G294</f>
        <v>4700</v>
      </c>
      <c r="H293" s="138"/>
    </row>
    <row r="294" spans="1:8" s="130" customFormat="1" ht="25.5" customHeight="1">
      <c r="A294" s="109"/>
      <c r="B294" s="499"/>
      <c r="C294" s="499"/>
      <c r="D294" s="692" t="s">
        <v>184</v>
      </c>
      <c r="E294" s="693"/>
      <c r="F294" s="693"/>
      <c r="G294" s="693">
        <f>G295</f>
        <v>4700</v>
      </c>
      <c r="H294" s="138"/>
    </row>
    <row r="295" spans="1:8" s="160" customFormat="1" ht="25.5" customHeight="1">
      <c r="A295" s="109"/>
      <c r="B295" s="81"/>
      <c r="C295" s="66"/>
      <c r="D295" s="694" t="s">
        <v>194</v>
      </c>
      <c r="E295" s="695"/>
      <c r="F295" s="695"/>
      <c r="G295" s="695">
        <f>G296+G297</f>
        <v>4700</v>
      </c>
      <c r="H295" s="159"/>
    </row>
    <row r="296" spans="1:8" s="160" customFormat="1" ht="18" customHeight="1">
      <c r="A296" s="109"/>
      <c r="B296" s="81"/>
      <c r="C296" s="82">
        <v>4170</v>
      </c>
      <c r="D296" s="688" t="s">
        <v>87</v>
      </c>
      <c r="E296" s="730"/>
      <c r="F296" s="730"/>
      <c r="G296" s="730">
        <v>4320</v>
      </c>
      <c r="H296" s="159"/>
    </row>
    <row r="297" spans="1:8" s="160" customFormat="1" ht="18" customHeight="1">
      <c r="A297" s="140"/>
      <c r="B297" s="78"/>
      <c r="C297" s="82">
        <v>4210</v>
      </c>
      <c r="D297" s="83" t="s">
        <v>75</v>
      </c>
      <c r="E297" s="84"/>
      <c r="F297" s="84"/>
      <c r="G297" s="84">
        <v>380</v>
      </c>
      <c r="H297" s="159"/>
    </row>
    <row r="298" spans="1:11" s="22" customFormat="1" ht="18" customHeight="1">
      <c r="A298" s="456">
        <v>852</v>
      </c>
      <c r="B298" s="73"/>
      <c r="C298" s="73"/>
      <c r="D298" s="92" t="s">
        <v>59</v>
      </c>
      <c r="E298" s="75"/>
      <c r="F298" s="75"/>
      <c r="G298" s="75">
        <f>G299</f>
        <v>1171</v>
      </c>
      <c r="H298" s="47"/>
      <c r="I298" s="47"/>
      <c r="K298" s="47"/>
    </row>
    <row r="299" spans="1:11" s="130" customFormat="1" ht="18" customHeight="1">
      <c r="A299" s="76"/>
      <c r="B299" s="78">
        <v>85219</v>
      </c>
      <c r="C299" s="78"/>
      <c r="D299" s="78" t="s">
        <v>540</v>
      </c>
      <c r="E299" s="137"/>
      <c r="F299" s="137"/>
      <c r="G299" s="137">
        <f>G300</f>
        <v>1171</v>
      </c>
      <c r="H299" s="138"/>
      <c r="I299" s="138"/>
      <c r="K299" s="138"/>
    </row>
    <row r="300" spans="1:11" s="130" customFormat="1" ht="25.5" customHeight="1">
      <c r="A300" s="80"/>
      <c r="B300" s="499"/>
      <c r="C300" s="81"/>
      <c r="D300" s="690" t="s">
        <v>664</v>
      </c>
      <c r="E300" s="144"/>
      <c r="F300" s="144"/>
      <c r="G300" s="144">
        <f>G301</f>
        <v>1171</v>
      </c>
      <c r="H300" s="138"/>
      <c r="I300" s="138"/>
      <c r="K300" s="138"/>
    </row>
    <row r="301" spans="1:11" s="160" customFormat="1" ht="15" customHeight="1">
      <c r="A301" s="207"/>
      <c r="B301" s="81"/>
      <c r="C301" s="82">
        <v>4427</v>
      </c>
      <c r="D301" s="83" t="s">
        <v>127</v>
      </c>
      <c r="E301" s="146"/>
      <c r="F301" s="146"/>
      <c r="G301" s="146">
        <v>1171</v>
      </c>
      <c r="H301" s="159"/>
      <c r="I301" s="159"/>
      <c r="K301" s="159"/>
    </row>
    <row r="302" spans="1:8" ht="18" customHeight="1">
      <c r="A302" s="93"/>
      <c r="B302" s="66"/>
      <c r="C302" s="99"/>
      <c r="D302" s="97" t="s">
        <v>621</v>
      </c>
      <c r="E302" s="100"/>
      <c r="F302" s="100">
        <f aca="true" t="shared" si="4" ref="F302:G304">F303</f>
        <v>9100</v>
      </c>
      <c r="G302" s="100">
        <f t="shared" si="4"/>
        <v>9100</v>
      </c>
      <c r="H302" s="52"/>
    </row>
    <row r="303" spans="1:7" s="197" customFormat="1" ht="18" customHeight="1" thickBot="1">
      <c r="A303" s="331"/>
      <c r="B303" s="331"/>
      <c r="C303" s="482"/>
      <c r="D303" s="166" t="s">
        <v>51</v>
      </c>
      <c r="E303" s="483"/>
      <c r="F303" s="484">
        <f t="shared" si="4"/>
        <v>9100</v>
      </c>
      <c r="G303" s="484">
        <f t="shared" si="4"/>
        <v>9100</v>
      </c>
    </row>
    <row r="304" spans="1:8" s="95" customFormat="1" ht="18" customHeight="1" thickTop="1">
      <c r="A304" s="72">
        <v>853</v>
      </c>
      <c r="B304" s="89"/>
      <c r="C304" s="73"/>
      <c r="D304" s="92" t="s">
        <v>104</v>
      </c>
      <c r="E304" s="87"/>
      <c r="F304" s="87">
        <f t="shared" si="4"/>
        <v>9100</v>
      </c>
      <c r="G304" s="87">
        <f t="shared" si="4"/>
        <v>9100</v>
      </c>
      <c r="H304" s="94"/>
    </row>
    <row r="305" spans="1:8" s="149" customFormat="1" ht="18" customHeight="1">
      <c r="A305" s="76"/>
      <c r="B305" s="77">
        <v>85333</v>
      </c>
      <c r="C305" s="77"/>
      <c r="D305" s="77" t="s">
        <v>3</v>
      </c>
      <c r="E305" s="79"/>
      <c r="F305" s="79">
        <f>F306+F308</f>
        <v>9100</v>
      </c>
      <c r="G305" s="79">
        <f>G306+G308</f>
        <v>9100</v>
      </c>
      <c r="H305" s="148"/>
    </row>
    <row r="306" spans="1:8" s="149" customFormat="1" ht="18" customHeight="1">
      <c r="A306" s="209"/>
      <c r="B306" s="210"/>
      <c r="C306" s="210"/>
      <c r="D306" s="211" t="s">
        <v>266</v>
      </c>
      <c r="E306" s="212"/>
      <c r="F306" s="212"/>
      <c r="G306" s="212">
        <f>G307</f>
        <v>9100</v>
      </c>
      <c r="H306" s="148"/>
    </row>
    <row r="307" spans="1:8" s="158" customFormat="1" ht="18" customHeight="1">
      <c r="A307" s="208"/>
      <c r="B307" s="172"/>
      <c r="C307" s="172">
        <v>4170</v>
      </c>
      <c r="D307" s="222" t="s">
        <v>87</v>
      </c>
      <c r="E307" s="223"/>
      <c r="F307" s="223"/>
      <c r="G307" s="223">
        <v>9100</v>
      </c>
      <c r="H307" s="157"/>
    </row>
    <row r="308" spans="1:8" s="158" customFormat="1" ht="18" customHeight="1">
      <c r="A308" s="209"/>
      <c r="B308" s="220"/>
      <c r="C308" s="210"/>
      <c r="D308" s="211" t="s">
        <v>79</v>
      </c>
      <c r="E308" s="212"/>
      <c r="F308" s="212">
        <f>F309</f>
        <v>9100</v>
      </c>
      <c r="G308" s="212"/>
      <c r="H308" s="157"/>
    </row>
    <row r="309" spans="1:8" s="158" customFormat="1" ht="18" customHeight="1">
      <c r="A309" s="235"/>
      <c r="B309" s="331"/>
      <c r="C309" s="331">
        <v>4300</v>
      </c>
      <c r="D309" s="332" t="s">
        <v>76</v>
      </c>
      <c r="E309" s="333"/>
      <c r="F309" s="333">
        <v>9100</v>
      </c>
      <c r="G309" s="333"/>
      <c r="H309" s="157"/>
    </row>
    <row r="310" spans="1:8" s="158" customFormat="1" ht="18" customHeight="1">
      <c r="A310" s="1220"/>
      <c r="B310" s="1221"/>
      <c r="C310" s="1221"/>
      <c r="D310" s="1222"/>
      <c r="E310" s="1223"/>
      <c r="F310" s="1223"/>
      <c r="G310" s="1223"/>
      <c r="H310" s="157"/>
    </row>
    <row r="311" spans="1:8" ht="18" customHeight="1">
      <c r="A311" s="93"/>
      <c r="B311" s="66"/>
      <c r="C311" s="99"/>
      <c r="D311" s="97" t="s">
        <v>634</v>
      </c>
      <c r="E311" s="100"/>
      <c r="F311" s="100"/>
      <c r="G311" s="100">
        <f>G312</f>
        <v>11337</v>
      </c>
      <c r="H311" s="52"/>
    </row>
    <row r="312" spans="1:7" s="197" customFormat="1" ht="18" customHeight="1" thickBot="1">
      <c r="A312" s="331"/>
      <c r="B312" s="331"/>
      <c r="C312" s="331"/>
      <c r="D312" s="166" t="s">
        <v>91</v>
      </c>
      <c r="E312" s="483"/>
      <c r="F312" s="484"/>
      <c r="G312" s="484">
        <f>G313</f>
        <v>11337</v>
      </c>
    </row>
    <row r="313" spans="1:8" s="95" customFormat="1" ht="18" customHeight="1" thickTop="1">
      <c r="A313" s="72">
        <v>710</v>
      </c>
      <c r="B313" s="89"/>
      <c r="C313" s="89"/>
      <c r="D313" s="952" t="s">
        <v>526</v>
      </c>
      <c r="E313" s="87"/>
      <c r="F313" s="87"/>
      <c r="G313" s="87">
        <f>G315</f>
        <v>11337</v>
      </c>
      <c r="H313" s="94"/>
    </row>
    <row r="314" spans="1:8" s="149" customFormat="1" ht="18" customHeight="1">
      <c r="A314" s="141"/>
      <c r="B314" s="136">
        <v>71095</v>
      </c>
      <c r="C314" s="164"/>
      <c r="D314" s="239" t="s">
        <v>57</v>
      </c>
      <c r="E314" s="79"/>
      <c r="F314" s="79"/>
      <c r="G314" s="79">
        <f>G315</f>
        <v>11337</v>
      </c>
      <c r="H314" s="148"/>
    </row>
    <row r="315" spans="1:8" s="149" customFormat="1" ht="18" customHeight="1">
      <c r="A315" s="172"/>
      <c r="B315" s="172"/>
      <c r="C315" s="674"/>
      <c r="D315" s="960" t="s">
        <v>632</v>
      </c>
      <c r="E315" s="212"/>
      <c r="F315" s="212"/>
      <c r="G315" s="212">
        <f>G316</f>
        <v>11337</v>
      </c>
      <c r="H315" s="148"/>
    </row>
    <row r="316" spans="1:8" s="158" customFormat="1" ht="18" customHeight="1">
      <c r="A316" s="155"/>
      <c r="B316" s="155"/>
      <c r="C316" s="331">
        <v>4300</v>
      </c>
      <c r="D316" s="330" t="s">
        <v>76</v>
      </c>
      <c r="E316" s="977"/>
      <c r="F316" s="977"/>
      <c r="G316" s="977">
        <v>11337</v>
      </c>
      <c r="H316" s="157"/>
    </row>
    <row r="317" spans="1:8" ht="18" customHeight="1">
      <c r="A317" s="68"/>
      <c r="B317" s="67"/>
      <c r="C317" s="68"/>
      <c r="D317" s="102" t="s">
        <v>635</v>
      </c>
      <c r="E317" s="103"/>
      <c r="F317" s="104"/>
      <c r="G317" s="104">
        <f>G318+G324+G322</f>
        <v>1138199</v>
      </c>
      <c r="H317" s="52"/>
    </row>
    <row r="318" spans="1:7" ht="15" customHeight="1" thickBot="1">
      <c r="A318" s="68"/>
      <c r="B318" s="67"/>
      <c r="C318" s="105"/>
      <c r="D318" s="91" t="s">
        <v>51</v>
      </c>
      <c r="E318" s="106"/>
      <c r="F318" s="106"/>
      <c r="G318" s="106">
        <f>SUM(G319:G321)</f>
        <v>1117484</v>
      </c>
    </row>
    <row r="319" spans="1:7" ht="18" customHeight="1" thickTop="1">
      <c r="A319" s="72">
        <v>801</v>
      </c>
      <c r="B319" s="89"/>
      <c r="C319" s="73"/>
      <c r="D319" s="92" t="s">
        <v>58</v>
      </c>
      <c r="E319" s="87"/>
      <c r="F319" s="87"/>
      <c r="G319" s="87">
        <f>36590-163680-2200+126100+7258+1760+29400</f>
        <v>35228</v>
      </c>
    </row>
    <row r="320" spans="1:7" ht="18" customHeight="1">
      <c r="A320" s="72">
        <v>851</v>
      </c>
      <c r="B320" s="89"/>
      <c r="C320" s="73"/>
      <c r="D320" s="92" t="s">
        <v>61</v>
      </c>
      <c r="E320" s="87"/>
      <c r="F320" s="87"/>
      <c r="G320" s="87">
        <f>3940+186760</f>
        <v>190700</v>
      </c>
    </row>
    <row r="321" spans="1:7" ht="18" customHeight="1">
      <c r="A321" s="72">
        <v>854</v>
      </c>
      <c r="B321" s="89"/>
      <c r="C321" s="73"/>
      <c r="D321" s="92" t="s">
        <v>60</v>
      </c>
      <c r="E321" s="87"/>
      <c r="F321" s="87"/>
      <c r="G321" s="87">
        <f>691913+58700+943+30000+110000</f>
        <v>891556</v>
      </c>
    </row>
    <row r="322" spans="1:11" s="22" customFormat="1" ht="20.25" customHeight="1" thickBot="1">
      <c r="A322" s="66"/>
      <c r="B322" s="66"/>
      <c r="C322" s="66"/>
      <c r="D322" s="457" t="s">
        <v>9</v>
      </c>
      <c r="E322" s="458"/>
      <c r="F322" s="458"/>
      <c r="G322" s="458">
        <f>G323</f>
        <v>16215</v>
      </c>
      <c r="H322" s="47"/>
      <c r="I322" s="47"/>
      <c r="K322" s="47"/>
    </row>
    <row r="323" spans="1:11" s="197" customFormat="1" ht="21" customHeight="1" thickTop="1">
      <c r="A323" s="72">
        <v>854</v>
      </c>
      <c r="B323" s="89"/>
      <c r="C323" s="89"/>
      <c r="D323" s="323" t="s">
        <v>60</v>
      </c>
      <c r="E323" s="325"/>
      <c r="F323" s="325"/>
      <c r="G323" s="325">
        <f>12535+5884-2204</f>
        <v>16215</v>
      </c>
      <c r="H323" s="198"/>
      <c r="I323" s="198"/>
      <c r="K323" s="198"/>
    </row>
    <row r="324" spans="1:11" s="22" customFormat="1" ht="20.25" customHeight="1">
      <c r="A324" s="66"/>
      <c r="B324" s="66"/>
      <c r="C324" s="854"/>
      <c r="D324" s="457" t="s">
        <v>90</v>
      </c>
      <c r="E324" s="458"/>
      <c r="F324" s="458"/>
      <c r="G324" s="458">
        <f>SUM(G325:G327)</f>
        <v>4500</v>
      </c>
      <c r="H324" s="47"/>
      <c r="I324" s="47"/>
      <c r="K324" s="47"/>
    </row>
    <row r="325" spans="1:7" ht="18" customHeight="1">
      <c r="A325" s="72">
        <v>854</v>
      </c>
      <c r="B325" s="89"/>
      <c r="C325" s="73"/>
      <c r="D325" s="92" t="s">
        <v>60</v>
      </c>
      <c r="E325" s="87"/>
      <c r="F325" s="87"/>
      <c r="G325" s="87">
        <v>4500</v>
      </c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  <row r="414" ht="12.75">
      <c r="A414" s="49"/>
    </row>
    <row r="415" ht="12.75">
      <c r="A415" s="49"/>
    </row>
    <row r="416" ht="12.75">
      <c r="A416" s="49"/>
    </row>
    <row r="417" ht="12.75">
      <c r="A417" s="49"/>
    </row>
    <row r="418" ht="12.75">
      <c r="A418" s="49"/>
    </row>
    <row r="419" ht="12.75">
      <c r="A419" s="49"/>
    </row>
    <row r="420" ht="12.75">
      <c r="A420" s="49"/>
    </row>
    <row r="421" ht="12.75">
      <c r="A421" s="49"/>
    </row>
    <row r="422" ht="12.75">
      <c r="A422" s="49"/>
    </row>
    <row r="423" ht="12.75">
      <c r="A423" s="49"/>
    </row>
    <row r="424" ht="12.75">
      <c r="A424" s="49"/>
    </row>
  </sheetData>
  <mergeCells count="5">
    <mergeCell ref="F7:G7"/>
    <mergeCell ref="D7:D8"/>
    <mergeCell ref="A7:A8"/>
    <mergeCell ref="B7:B8"/>
    <mergeCell ref="C7:C8"/>
  </mergeCells>
  <printOptions horizontalCentered="1"/>
  <pageMargins left="0.5905511811023623" right="0.5905511811023623" top="0.61" bottom="0.46" header="0.5118110236220472" footer="0.31496062992125984"/>
  <pageSetup firstPageNumber="28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2006-06-08T12:11:46Z</cp:lastPrinted>
  <dcterms:created xsi:type="dcterms:W3CDTF">1997-02-26T13:46:56Z</dcterms:created>
  <dcterms:modified xsi:type="dcterms:W3CDTF">2006-06-09T09:34:43Z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