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601" activeTab="0"/>
  </bookViews>
  <sheets>
    <sheet name="Dochody" sheetId="1" r:id="rId1"/>
    <sheet name="Wydatki" sheetId="2" r:id="rId2"/>
    <sheet name="Jednostki" sheetId="3" r:id="rId3"/>
    <sheet name="00" sheetId="4" r:id="rId4"/>
    <sheet name="GFOŚ" sheetId="5" r:id="rId5"/>
    <sheet name="powiatowy" sheetId="6" r:id="rId6"/>
    <sheet name="zlecone" sheetId="7" r:id="rId7"/>
    <sheet name="harm doch" sheetId="8" r:id="rId8"/>
    <sheet name="harm wyd" sheetId="9" r:id="rId9"/>
  </sheets>
  <externalReferences>
    <externalReference r:id="rId12"/>
  </externalReferences>
  <definedNames>
    <definedName name="_xlnm.Print_Titles" localSheetId="0">'Dochody'!$9:$9</definedName>
    <definedName name="_xlnm.Print_Titles" localSheetId="7">'harm doch'!$9:$9</definedName>
    <definedName name="_xlnm.Print_Titles" localSheetId="8">'harm wyd'!$8:$8</definedName>
    <definedName name="_xlnm.Print_Titles" localSheetId="2">'Jednostki'!$9:$9</definedName>
    <definedName name="_xlnm.Print_Titles" localSheetId="1">'Wydatki'!$9:$9</definedName>
    <definedName name="_xlnm.Print_Titles" localSheetId="6">'zlecone'!$9:$9</definedName>
  </definedNames>
  <calcPr fullCalcOnLoad="1"/>
</workbook>
</file>

<file path=xl/sharedStrings.xml><?xml version="1.0" encoding="utf-8"?>
<sst xmlns="http://schemas.openxmlformats.org/spreadsheetml/2006/main" count="574" uniqueCount="226">
  <si>
    <t>Wydatki na zadania ustawowo zlecone gminie</t>
  </si>
  <si>
    <t>w złotych</t>
  </si>
  <si>
    <t>Rozdz.</t>
  </si>
  <si>
    <t>z tego:</t>
  </si>
  <si>
    <t>Wydatki</t>
  </si>
  <si>
    <t>Wydatki ogółem</t>
  </si>
  <si>
    <t>Wydatki na zadania własne</t>
  </si>
  <si>
    <t>Wydatki na zadania zlecone</t>
  </si>
  <si>
    <t>Zmiany</t>
  </si>
  <si>
    <t xml:space="preserve"> </t>
  </si>
  <si>
    <t xml:space="preserve">Treść   </t>
  </si>
  <si>
    <t>Dział</t>
  </si>
  <si>
    <t xml:space="preserve">Rozdz.      </t>
  </si>
  <si>
    <t>%                        12:9</t>
  </si>
  <si>
    <t>Dochody budżetu miasta ogółem</t>
  </si>
  <si>
    <t>Dochody własne</t>
  </si>
  <si>
    <t xml:space="preserve">Subwencje </t>
  </si>
  <si>
    <t>Dotacje celowe i inne środki na zadania własne</t>
  </si>
  <si>
    <t xml:space="preserve">Dotacje celowe z budżetu państwa na zadania zlecone z zakresu administracji rządowej </t>
  </si>
  <si>
    <t xml:space="preserve">Dotacje celowe z budżetu państwa na zadania z zakresu administracji rządowej </t>
  </si>
  <si>
    <t>Zwiększenia</t>
  </si>
  <si>
    <t>Zmniejszenia</t>
  </si>
  <si>
    <t>Oświata i wychowanie</t>
  </si>
  <si>
    <t>Pomoc społeczna</t>
  </si>
  <si>
    <t>Plan 
po zmianach</t>
  </si>
  <si>
    <t>Plan
 po zmianach</t>
  </si>
  <si>
    <t xml:space="preserve">Wydatki na zadania realizowane na podstawie porozumień 
i umów </t>
  </si>
  <si>
    <t>wydatki rzeczowe</t>
  </si>
  <si>
    <t>Szkoły podstawowe</t>
  </si>
  <si>
    <t>Dochody gminy ogółem, z tego:</t>
  </si>
  <si>
    <t>Dochody od osób prawnych, od osób fizycznych i od innych jednostek nieposiadających osobowości prawnej oraz wydatki związane z ich poborem</t>
  </si>
  <si>
    <t>Gospodarka gruntami i nieruchomościami</t>
  </si>
  <si>
    <t>Kultura i ochrona dziedzictwa narodowego</t>
  </si>
  <si>
    <t>§</t>
  </si>
  <si>
    <t>Prezydenta Miasta Lublin</t>
  </si>
  <si>
    <t xml:space="preserve">Podział planowanych dochodów i wydatków budżetu miasta </t>
  </si>
  <si>
    <t>Dz.</t>
  </si>
  <si>
    <t xml:space="preserve">Treść                                                                                                </t>
  </si>
  <si>
    <t>Dochody</t>
  </si>
  <si>
    <t>OGÓŁEM</t>
  </si>
  <si>
    <t>1. Urząd Miasta</t>
  </si>
  <si>
    <t>1.1 Wydział Finansowy</t>
  </si>
  <si>
    <t xml:space="preserve"> Dochody gminy, w tym:</t>
  </si>
  <si>
    <t>Dochody od osób prawnych, od osób fizycznych i od innych jednostek 
nieposiadających osobowości prawnej oraz wydatki związane z ich poborem</t>
  </si>
  <si>
    <t xml:space="preserve">Wydatki na zadania własne </t>
  </si>
  <si>
    <t>Dochody powiatu, w tym:</t>
  </si>
  <si>
    <t>1.4 Wydział Spraw Społecznych</t>
  </si>
  <si>
    <t xml:space="preserve">Treść      
(nazwa działu, rozdziału)                                                                                       </t>
  </si>
  <si>
    <t>I kwartał</t>
  </si>
  <si>
    <t>II kwartał</t>
  </si>
  <si>
    <t>III kwartał</t>
  </si>
  <si>
    <t>IV kwartał</t>
  </si>
  <si>
    <t>Dochody ogółem</t>
  </si>
  <si>
    <t>w tym:</t>
  </si>
  <si>
    <t>Subwencje</t>
  </si>
  <si>
    <t>(nazwa działu, rozdziału, źródła dochodów, paragrafu)</t>
  </si>
  <si>
    <t>Załącznik nr 1</t>
  </si>
  <si>
    <t>Dochody powiatu ogółem, z tego:</t>
  </si>
  <si>
    <t>Dochody gminy, w tym:</t>
  </si>
  <si>
    <t>Załącznik nr 2</t>
  </si>
  <si>
    <t>Załącznik nr 3</t>
  </si>
  <si>
    <t>Załącznik nr 5</t>
  </si>
  <si>
    <t>Załącznik nr 4</t>
  </si>
  <si>
    <t>Gospodarka mieszkaniowa</t>
  </si>
  <si>
    <t>Pozostałe zadania w zakresie kultury</t>
  </si>
  <si>
    <t>Różne rozliczenia</t>
  </si>
  <si>
    <t>Część oświatowa subwencji ogólnej dla jednostek samorządu terytorialnego</t>
  </si>
  <si>
    <t>subwencja oświatowa</t>
  </si>
  <si>
    <t>Subwencje ogólne z budżetu państwa</t>
  </si>
  <si>
    <t>Środki na dofinansowanie własnych inwestycji gmin, powiatów, samorządów województw, pozyskane z innych źródeł</t>
  </si>
  <si>
    <t>Zakup usług pozostałych</t>
  </si>
  <si>
    <t>Zakup materiałów i wyposażenia</t>
  </si>
  <si>
    <t>Wydatki na zakupy inwestycyjne jednostek budżetowych</t>
  </si>
  <si>
    <t>2. Miejski Urząd Pracy</t>
  </si>
  <si>
    <t>Wydatki inwestycyjne jednostek budżetowych</t>
  </si>
  <si>
    <t>Wynagrodzenia osobowe pracowników</t>
  </si>
  <si>
    <t>Zakup energii</t>
  </si>
  <si>
    <t>Odpisy na zakładowy fundusz świadczeń socjalnych</t>
  </si>
  <si>
    <t xml:space="preserve"> Dochody powiatu, w tym:</t>
  </si>
  <si>
    <t xml:space="preserve">      Plan przychodów i wydatków</t>
  </si>
  <si>
    <t xml:space="preserve">   Gminnego Funduszu Ochrony Środowiska i Gospodarki Wodnej</t>
  </si>
  <si>
    <t xml:space="preserve">Rozdz. 
§     </t>
  </si>
  <si>
    <t>Wyszczególnienie</t>
  </si>
  <si>
    <t>Stan środków obrotowych na początek roku</t>
  </si>
  <si>
    <t xml:space="preserve"> I Przychody</t>
  </si>
  <si>
    <t>Suma bilansowa</t>
  </si>
  <si>
    <t xml:space="preserve">II Wydatki </t>
  </si>
  <si>
    <t>Gospodarka komunalna i ochrona środowiska</t>
  </si>
  <si>
    <t>Fundusz Ochrony Środowiska i Gospodarki Wodnej</t>
  </si>
  <si>
    <t>Stan środków obrotowych na koniec roku</t>
  </si>
  <si>
    <t>Załącznik nr 6</t>
  </si>
  <si>
    <t>Treść                                                                                                                               (nazwa działu, rozdziału, zadania, paragrafu)</t>
  </si>
  <si>
    <t>inwestycje, z tego:</t>
  </si>
  <si>
    <t>z tego</t>
  </si>
  <si>
    <t>Wydaki na zadania z zakresu administracji rządowej wykonywane przez powiat</t>
  </si>
  <si>
    <t>Dochody budżetu miasta na 2005 rok</t>
  </si>
  <si>
    <t>Plan 
według uchwały    
nr 583/XXV/2004                            
Rady Miasta Lublin
z 30.12.2004 r.</t>
  </si>
  <si>
    <t>Wydatki budżetu miasta na 2005 rok</t>
  </si>
  <si>
    <t>na 2005 rok</t>
  </si>
  <si>
    <t xml:space="preserve">  Powiatowego Funduszu Ochrony Środowiska i Gospodarki Wodnej</t>
  </si>
  <si>
    <t>Administracja publiczna</t>
  </si>
  <si>
    <t>Urzędy miast i miast na prawach powiatu</t>
  </si>
  <si>
    <t xml:space="preserve">wynagrodzenia </t>
  </si>
  <si>
    <t>pochodne od wynagrodzeń</t>
  </si>
  <si>
    <t>Składki na ubezpieczenia społeczne</t>
  </si>
  <si>
    <t>Składki na Fundusz Pracy</t>
  </si>
  <si>
    <t>1.3 Wydział Organizacyjny</t>
  </si>
  <si>
    <t>Szkoła Podstawowa nr 39 przy ul. Krężnickiej</t>
  </si>
  <si>
    <t>budowa sali gimnastycznej w Szkole Podstawowej nr 48</t>
  </si>
  <si>
    <t>inwestycje, w tym:</t>
  </si>
  <si>
    <t>Zakłady gospodarki mieszkaniowej</t>
  </si>
  <si>
    <t>Dotacje celowe z budżetu na finansowanie lub dofinansowanie kosztów realizacji inwestycji i zakupów inwestycyjnych zakładów budżetowych</t>
  </si>
  <si>
    <t xml:space="preserve">dotacja dla Zarządu Nieruchomości Komunalnych, w tym: </t>
  </si>
  <si>
    <t>Harmonogram realizacji dochodów budżetu miasta w 2005 roku</t>
  </si>
  <si>
    <t>Plan na 
2005 rok
z późn. zm.</t>
  </si>
  <si>
    <t>Harmonogram realizacji wydatków budżetu miasta w 2005 roku</t>
  </si>
  <si>
    <t>Bezpieczeństwo publiczne i ochrona przeciwpożarowa</t>
  </si>
  <si>
    <t>Komendy powiatowe Państwowej Straży Pożarnej</t>
  </si>
  <si>
    <t>dofinansowanie Straży Pożarnej</t>
  </si>
  <si>
    <t>zakup samochodu ratowniczo-gaśniczego</t>
  </si>
  <si>
    <t>3. Komenda Miejska Państwowej Straży Pożarnej</t>
  </si>
  <si>
    <t>monitoring środowiska i tworzenie baz danych w Miejskim Banku Zanieczyszczeń Środowiska</t>
  </si>
  <si>
    <t>Wynagrodzenia bezosobowe</t>
  </si>
  <si>
    <t>1.1 Wydział Ochrony Środowiska</t>
  </si>
  <si>
    <t xml:space="preserve">Rozdz. </t>
  </si>
  <si>
    <t>organizacja różnorodnych form upowszechniania kultury</t>
  </si>
  <si>
    <t>Dotacja celowa z budżetu na finansowanie lub dofinansowanie zadań zleconych do realizacji fundacjom</t>
  </si>
  <si>
    <t>wydawnictwa kulturalne</t>
  </si>
  <si>
    <t>upowszechnianie kultury i sztuki, w tym:</t>
  </si>
  <si>
    <t>Dotacja celowa z budżetu na finansowanie lub dofinansowanie zadań zleconych do realizacji stowarzyszeniom</t>
  </si>
  <si>
    <t>Ośrodki wsparcia</t>
  </si>
  <si>
    <t>utrzymanie Środowiskowego Domu Samopomocy dla osób z zaburzeniami psychicznymi, chorobą Alzheimera i schorzeniami pokrewnymi przy ul. Kalinowszczyzna, z tego:</t>
  </si>
  <si>
    <t>Zakup środków żywności</t>
  </si>
  <si>
    <t>4. Miejski Ośrodek Pomocy Rodzinie</t>
  </si>
  <si>
    <t xml:space="preserve">Gospodarka mieszkaniowa </t>
  </si>
  <si>
    <t>wpływy z odpłatnego korzystania z mienia (najem)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</si>
  <si>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</si>
  <si>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</si>
  <si>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Transport i łączność</t>
  </si>
  <si>
    <t>Drogi publiczne gminne</t>
  </si>
  <si>
    <t xml:space="preserve">opłaty pobierane na podstawie ustawy o drogach publicznych </t>
  </si>
  <si>
    <t>0690</t>
  </si>
  <si>
    <t>Wpływy z różnych opłat</t>
  </si>
  <si>
    <t>Drogi publiczne w miastach na prawach powiatu</t>
  </si>
  <si>
    <t>bieżące utrzymanie dróg</t>
  </si>
  <si>
    <t>Drogi wewnętrzne</t>
  </si>
  <si>
    <t>1.2 Wydział Gospodarki Komunalnej</t>
  </si>
  <si>
    <t>1.2. Wydział Gospodarki Komunalnej</t>
  </si>
  <si>
    <t>Kultura fizyczna i sport</t>
  </si>
  <si>
    <t>Obiekty sportowe</t>
  </si>
  <si>
    <t>środki z Ministerstwa Edukacji Narodowej i Sportu na budowę wielofunkcyjnej hali sportowo-widowiskowej i lodowiska treningowego przy ul. Kazimierza Wielkiego</t>
  </si>
  <si>
    <t>Instytucje kultury fizycznej</t>
  </si>
  <si>
    <t>dotacja dla MOSiR "Bystrzyca"</t>
  </si>
  <si>
    <t>budowa wielofunkcyjnej hali sportowo-widowiskowej i lodowiska treningowego przy ul. Kazimierza Wielkiego</t>
  </si>
  <si>
    <t>środki w dyspozycji</t>
  </si>
  <si>
    <t>Udziały gmin w podatkach stanowiących dochód budżetu państwa</t>
  </si>
  <si>
    <t xml:space="preserve">podatek dochodowy od osób fizycznych </t>
  </si>
  <si>
    <t>0010</t>
  </si>
  <si>
    <t xml:space="preserve">Podatek dochodowy od osób fizycznych </t>
  </si>
  <si>
    <t>Udziały powiatów w podatkach stanowiących dochód budżetu państwa</t>
  </si>
  <si>
    <t>podatek dochodowy od osób fizycznych</t>
  </si>
  <si>
    <t>Podatek dochodowy od osób fizycznych</t>
  </si>
  <si>
    <t>Część równoważąca subwencji ogólnej dla powiatów</t>
  </si>
  <si>
    <t>subwencja równoważąca</t>
  </si>
  <si>
    <t>Plan finansowy zadań z zakresu administracji rządowej i innych zadań zleconych ustawami</t>
  </si>
  <si>
    <t>oraz plan dochodów, które podlegają przekazaniu do budżetu państwa</t>
  </si>
  <si>
    <t>Plan wydatków 
po zmianach</t>
  </si>
  <si>
    <t>Rozdz. 
§</t>
  </si>
  <si>
    <t>(Nazwa działu, rozdziału, zadania, paragrafu)</t>
  </si>
  <si>
    <t>Zadania zlecone ogółem</t>
  </si>
  <si>
    <t>Oświetlenie ulic, placów i dróg</t>
  </si>
  <si>
    <t>dotacja celowa z budżetu państwa na spłatę zobowiązań powstałych 
w 2003 roku z tytułu oświetlenia dróg publicznych krajowych, wojewódzkich 
i powiatowych</t>
  </si>
  <si>
    <t>Dotacje celowe otrzymane z budżetu państwa na realizację zadań bieżących z zakresu administracji rządowej oraz innych zadań zleconych gminie ustawami</t>
  </si>
  <si>
    <t>Zadania ustawowo zlecone gminie</t>
  </si>
  <si>
    <t>Zadania z zakresu administracji rządowej wykonywane przez powiat</t>
  </si>
  <si>
    <t>związanych z realizacją powyższych zadań na 2005 rok</t>
  </si>
  <si>
    <t>Załącznik nr 9</t>
  </si>
  <si>
    <t xml:space="preserve">dotacja na prowadzenie środowiskowych domów samopomocy dla osób 
z zaburzeniami psychicznymi, w tym z chorobą Alzheimera </t>
  </si>
  <si>
    <t>Załącznik nr 7</t>
  </si>
  <si>
    <t>Załącznik nr 8</t>
  </si>
  <si>
    <t>1.5 Wydział Strategii i Rozwoju</t>
  </si>
  <si>
    <t>5. Miejski Urząd Pracy</t>
  </si>
  <si>
    <t>1.1 Wydział Gospodarki Komunalnej</t>
  </si>
  <si>
    <t>1.2 Wydział Spraw Społecznych</t>
  </si>
  <si>
    <t>1.3 Wydział Strategii i Rozwoju</t>
  </si>
  <si>
    <t>budowa wielofunkcyjnej hali sportowo-widowiskowej 
i lodowiska treningowego przy ul. Kazimierza Wielkiego</t>
  </si>
  <si>
    <t>utrzymanie Środowiskowego Domu Samopomocy dla osób 
z zaburzeniami psychicznymi, chorobą Alzheimera i schorzeniami pokrewnymi przy ul. Kalinowszczyzna, z tego:</t>
  </si>
  <si>
    <t xml:space="preserve">dotacja na prowadzenie środowiskowych domów samopomocy dla osób z zaburzeniami psychicznymi, 
w tym z chorobą Alzheimera </t>
  </si>
  <si>
    <t>utrzymanie Środowiskowego Domu Samopomocy dla osób z zaburzeniami psychicznymi, chorobą Alzheimera i schorzeniami pokrewnymi 
przy ul. Kalinowszczyzna, z tego:</t>
  </si>
  <si>
    <t xml:space="preserve">          Planowane przychody i rozchody na 2005 rok</t>
  </si>
  <si>
    <t xml:space="preserve">         </t>
  </si>
  <si>
    <t>Treść</t>
  </si>
  <si>
    <t>Przychody 
wg uchwały 
nr 583/XXV/2004 Rady Miasta Lublin z dnia 30.12.2004 r.</t>
  </si>
  <si>
    <t>Rozchody 
wg uchwały 
nr 583/XXV/2004 Rady Miasta Lublin z dnia 30.12.2004 r.</t>
  </si>
  <si>
    <t>Ogółem</t>
  </si>
  <si>
    <t>Przychody z zaciągniętych pożyczek i kredytów na rynku krajowym</t>
  </si>
  <si>
    <t>Pożyczki i kredyty</t>
  </si>
  <si>
    <t>Nadwyżki z lat ubiegłych</t>
  </si>
  <si>
    <t>Wolne środki stanowiące nadwyżkę środków pieniężnych na rachunku bieżącym budżetu miasta wynikającą z lat ubiegłych</t>
  </si>
  <si>
    <t>Informacje uzupełniające</t>
  </si>
  <si>
    <t xml:space="preserve">  1) pożyczki i kredyty - 38.900.000 zł</t>
  </si>
  <si>
    <t>dotacja dla MOSiR "Bystrzyca", w tym:</t>
  </si>
  <si>
    <t>Plan 
według uchwały    
nr 583/XXV/2004                            
Rady Miasta Lublin
z 30.12.2004 r.
z późn. zm.</t>
  </si>
  <si>
    <t>Dotacje celowe na zadania realizowane na podstawie porozumień i umów</t>
  </si>
  <si>
    <t>inwestycje - modernizacje budynków</t>
  </si>
  <si>
    <t>na 2005 rok według jednostek organizacyjnych realizujących budżet</t>
  </si>
  <si>
    <t xml:space="preserve">dotacja dla Zarządu Nieruchomości Komunalnych, z tego: </t>
  </si>
  <si>
    <t>upowszechnianie kultury i sztuki, z tego:</t>
  </si>
  <si>
    <t>środki w dyspozycji wydziału</t>
  </si>
  <si>
    <t>2. Środowiskowy Dom Samopomocy przy ul. Kalinowszczyzna</t>
  </si>
  <si>
    <t>1. Urząd Miasta Lublin</t>
  </si>
  <si>
    <t xml:space="preserve">Dochody
według uchwały    
nr 583/XXV/2004                            
Rady Miasta Lublin
z 30.12.2004 r.
z późn. zm.
</t>
  </si>
  <si>
    <t xml:space="preserve">Wydatki
według uchwały    
nr 583/XXV/2004                            
Rady Miasta Lublin
z 30.12.2004 r.
z późn. zm.
</t>
  </si>
  <si>
    <t>Dochody własne gminy</t>
  </si>
  <si>
    <t>Dochody własne powiatu</t>
  </si>
  <si>
    <t>do zarządzenia nr 84/2005</t>
  </si>
  <si>
    <t>z dnia 21 marca 2005 roku</t>
  </si>
  <si>
    <r>
      <t>z dnia</t>
    </r>
    <r>
      <rPr>
        <sz val="10"/>
        <color indexed="8"/>
        <rFont val="Arial CE"/>
        <family val="2"/>
      </rPr>
      <t xml:space="preserve"> 21 marca 2005 roku</t>
    </r>
  </si>
  <si>
    <t>Przychody po zmianach</t>
  </si>
  <si>
    <t xml:space="preserve">Wydatki budżetu miasta nieznajdujące pokrycia w dochodach - 43.807.952 zł </t>
  </si>
  <si>
    <t xml:space="preserve">   2) wolne środki - 4.907.952 zł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</si>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</sst>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\ &quot;zł&quot;"/>
    <numFmt numFmtId="166" formatCode="_-* #,##0\ _z_ł_-;\-* #,##0\ _z_ł_-;_-* &quot;-&quot;??\ _z_ł_-;_-@_-"/>
    <numFmt numFmtId="167" formatCode="#,##0.00\ &quot;zł&quot;"/>
    <numFmt numFmtId="168" formatCode="#,##0.0"/>
    <numFmt numFmtId="169" formatCode="0.0"/>
    <numFmt numFmtId="170" formatCode="#,##0.0000"/>
    <numFmt numFmtId="171" formatCode="###0"/>
    <numFmt numFmtId="172" formatCode="h:m"/>
    <numFmt numFmtId="173" formatCode="#,##0.00\ &quot;zł&quot;;[Red]#,##0.00\ &quot;zł&quot;"/>
    <numFmt numFmtId="174" formatCode="#,##0.000"/>
    <numFmt numFmtId="175" formatCode="#,##0.00\ _z_ł"/>
    <numFmt numFmtId="176" formatCode="#,##0\ _z_ł"/>
    <numFmt numFmtId="177" formatCode="#,##0_ ;\-#,##0\ "/>
  </numFmts>
  <fonts count="2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sz val="10"/>
      <color indexed="8"/>
      <name val="MS Sans Serif"/>
      <family val="0"/>
    </font>
    <font>
      <sz val="10"/>
      <color indexed="8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i/>
      <sz val="10"/>
      <color indexed="10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DotDot"/>
      <bottom style="dotted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ashDotDot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ashed"/>
      <bottom style="dotted"/>
    </border>
    <border>
      <left style="thin"/>
      <right style="thin"/>
      <top style="dashed"/>
      <bottom style="hair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 applyBorder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0" fillId="0" borderId="0" xfId="0" applyNumberFormat="1" applyAlignment="1">
      <alignment/>
    </xf>
    <xf numFmtId="3" fontId="2" fillId="2" borderId="2" xfId="0" applyNumberFormat="1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3" borderId="2" xfId="0" applyFont="1" applyFill="1" applyBorder="1" applyAlignment="1">
      <alignment/>
    </xf>
    <xf numFmtId="3" fontId="6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3" borderId="5" xfId="0" applyFont="1" applyFill="1" applyBorder="1" applyAlignment="1">
      <alignment wrapText="1"/>
    </xf>
    <xf numFmtId="0" fontId="6" fillId="3" borderId="2" xfId="0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3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left"/>
    </xf>
    <xf numFmtId="3" fontId="2" fillId="3" borderId="18" xfId="0" applyNumberFormat="1" applyFont="1" applyFill="1" applyBorder="1" applyAlignment="1">
      <alignment/>
    </xf>
    <xf numFmtId="3" fontId="2" fillId="3" borderId="18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" fillId="3" borderId="19" xfId="0" applyFont="1" applyFill="1" applyBorder="1" applyAlignment="1">
      <alignment wrapText="1"/>
    </xf>
    <xf numFmtId="3" fontId="2" fillId="3" borderId="5" xfId="0" applyNumberFormat="1" applyFont="1" applyFill="1" applyBorder="1" applyAlignment="1">
      <alignment horizontal="right" wrapText="1"/>
    </xf>
    <xf numFmtId="3" fontId="2" fillId="3" borderId="2" xfId="0" applyNumberFormat="1" applyFont="1" applyFill="1" applyBorder="1" applyAlignment="1">
      <alignment/>
    </xf>
    <xf numFmtId="0" fontId="2" fillId="0" borderId="19" xfId="0" applyFont="1" applyBorder="1" applyAlignment="1">
      <alignment wrapText="1"/>
    </xf>
    <xf numFmtId="3" fontId="2" fillId="3" borderId="5" xfId="0" applyNumberFormat="1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10" fontId="2" fillId="3" borderId="16" xfId="0" applyNumberFormat="1" applyFont="1" applyFill="1" applyBorder="1" applyAlignment="1">
      <alignment horizontal="right"/>
    </xf>
    <xf numFmtId="0" fontId="2" fillId="3" borderId="19" xfId="0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right"/>
    </xf>
    <xf numFmtId="3" fontId="2" fillId="3" borderId="19" xfId="0" applyNumberFormat="1" applyFont="1" applyFill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20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3" borderId="2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2" fillId="2" borderId="20" xfId="0" applyFont="1" applyFill="1" applyBorder="1" applyAlignment="1">
      <alignment horizontal="left" wrapText="1"/>
    </xf>
    <xf numFmtId="3" fontId="0" fillId="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3" borderId="22" xfId="0" applyFont="1" applyFill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24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3" borderId="20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2" fillId="3" borderId="26" xfId="0" applyFont="1" applyFill="1" applyBorder="1" applyAlignment="1">
      <alignment wrapText="1"/>
    </xf>
    <xf numFmtId="3" fontId="2" fillId="3" borderId="27" xfId="0" applyNumberFormat="1" applyFont="1" applyFill="1" applyBorder="1" applyAlignment="1">
      <alignment horizontal="right" wrapText="1"/>
    </xf>
    <xf numFmtId="10" fontId="2" fillId="3" borderId="27" xfId="0" applyNumberFormat="1" applyFont="1" applyFill="1" applyBorder="1" applyAlignment="1">
      <alignment horizontal="right" wrapText="1"/>
    </xf>
    <xf numFmtId="0" fontId="2" fillId="2" borderId="20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3" fontId="2" fillId="2" borderId="20" xfId="0" applyNumberFormat="1" applyFont="1" applyFill="1" applyBorder="1" applyAlignment="1">
      <alignment wrapText="1"/>
    </xf>
    <xf numFmtId="3" fontId="2" fillId="3" borderId="28" xfId="0" applyNumberFormat="1" applyFont="1" applyFill="1" applyBorder="1" applyAlignment="1">
      <alignment wrapText="1"/>
    </xf>
    <xf numFmtId="3" fontId="2" fillId="2" borderId="29" xfId="0" applyNumberFormat="1" applyFont="1" applyFill="1" applyBorder="1" applyAlignment="1">
      <alignment wrapText="1"/>
    </xf>
    <xf numFmtId="3" fontId="2" fillId="3" borderId="21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/>
    </xf>
    <xf numFmtId="0" fontId="2" fillId="2" borderId="14" xfId="0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right" wrapText="1"/>
    </xf>
    <xf numFmtId="0" fontId="2" fillId="3" borderId="21" xfId="0" applyFont="1" applyFill="1" applyBorder="1" applyAlignment="1">
      <alignment/>
    </xf>
    <xf numFmtId="3" fontId="0" fillId="3" borderId="23" xfId="0" applyNumberFormat="1" applyFont="1" applyFill="1" applyBorder="1" applyAlignment="1">
      <alignment horizontal="right" wrapText="1"/>
    </xf>
    <xf numFmtId="3" fontId="0" fillId="3" borderId="23" xfId="0" applyNumberFormat="1" applyFont="1" applyFill="1" applyBorder="1" applyAlignment="1">
      <alignment horizontal="right"/>
    </xf>
    <xf numFmtId="0" fontId="0" fillId="0" borderId="30" xfId="0" applyFont="1" applyBorder="1" applyAlignment="1">
      <alignment/>
    </xf>
    <xf numFmtId="0" fontId="0" fillId="3" borderId="9" xfId="0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 quotePrefix="1">
      <alignment horizontal="right"/>
    </xf>
    <xf numFmtId="3" fontId="4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 quotePrefix="1">
      <alignment horizontal="right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0" fillId="3" borderId="23" xfId="0" applyFont="1" applyFill="1" applyBorder="1" applyAlignment="1">
      <alignment wrapText="1"/>
    </xf>
    <xf numFmtId="3" fontId="0" fillId="3" borderId="23" xfId="0" applyNumberFormat="1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0" fillId="3" borderId="32" xfId="0" applyFont="1" applyFill="1" applyBorder="1" applyAlignment="1">
      <alignment horizontal="left" wrapText="1"/>
    </xf>
    <xf numFmtId="3" fontId="0" fillId="3" borderId="32" xfId="0" applyNumberFormat="1" applyFont="1" applyFill="1" applyBorder="1" applyAlignment="1">
      <alignment horizontal="right" wrapText="1"/>
    </xf>
    <xf numFmtId="3" fontId="0" fillId="3" borderId="32" xfId="0" applyNumberFormat="1" applyFont="1" applyFill="1" applyBorder="1" applyAlignment="1">
      <alignment horizontal="left" wrapText="1"/>
    </xf>
    <xf numFmtId="3" fontId="4" fillId="3" borderId="20" xfId="0" applyNumberFormat="1" applyFont="1" applyFill="1" applyBorder="1" applyAlignment="1">
      <alignment horizontal="right" wrapText="1"/>
    </xf>
    <xf numFmtId="3" fontId="4" fillId="3" borderId="20" xfId="0" applyNumberFormat="1" applyFont="1" applyFill="1" applyBorder="1" applyAlignment="1">
      <alignment horizontal="left" wrapText="1"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3" fontId="4" fillId="0" borderId="34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6" fillId="3" borderId="20" xfId="0" applyFont="1" applyFill="1" applyBorder="1" applyAlignment="1">
      <alignment/>
    </xf>
    <xf numFmtId="0" fontId="6" fillId="3" borderId="1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21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horizontal="right"/>
    </xf>
    <xf numFmtId="0" fontId="0" fillId="3" borderId="35" xfId="0" applyFont="1" applyFill="1" applyBorder="1" applyAlignment="1" quotePrefix="1">
      <alignment horizontal="right"/>
    </xf>
    <xf numFmtId="0" fontId="4" fillId="3" borderId="20" xfId="0" applyFont="1" applyFill="1" applyBorder="1" applyAlignment="1" quotePrefix="1">
      <alignment horizontal="right"/>
    </xf>
    <xf numFmtId="0" fontId="16" fillId="0" borderId="3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2" fillId="0" borderId="3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12" fillId="0" borderId="2" xfId="0" applyFont="1" applyBorder="1" applyAlignment="1">
      <alignment/>
    </xf>
    <xf numFmtId="3" fontId="2" fillId="0" borderId="21" xfId="0" applyNumberFormat="1" applyFont="1" applyBorder="1" applyAlignment="1">
      <alignment wrapText="1"/>
    </xf>
    <xf numFmtId="0" fontId="0" fillId="3" borderId="22" xfId="0" applyFont="1" applyFill="1" applyBorder="1" applyAlignment="1">
      <alignment/>
    </xf>
    <xf numFmtId="0" fontId="2" fillId="3" borderId="27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3" fontId="2" fillId="3" borderId="26" xfId="0" applyNumberFormat="1" applyFont="1" applyFill="1" applyBorder="1" applyAlignment="1">
      <alignment wrapText="1"/>
    </xf>
    <xf numFmtId="3" fontId="4" fillId="3" borderId="20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16" fillId="0" borderId="0" xfId="0" applyNumberFormat="1" applyFont="1" applyAlignment="1">
      <alignment horizontal="center"/>
    </xf>
    <xf numFmtId="0" fontId="2" fillId="0" borderId="8" xfId="0" applyFont="1" applyBorder="1" applyAlignment="1">
      <alignment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36" xfId="0" applyNumberFormat="1" applyFont="1" applyBorder="1" applyAlignment="1">
      <alignment/>
    </xf>
    <xf numFmtId="3" fontId="3" fillId="0" borderId="36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0" fontId="17" fillId="0" borderId="0" xfId="0" applyFont="1" applyAlignment="1">
      <alignment/>
    </xf>
    <xf numFmtId="0" fontId="6" fillId="3" borderId="19" xfId="0" applyFont="1" applyFill="1" applyBorder="1" applyAlignment="1">
      <alignment wrapText="1"/>
    </xf>
    <xf numFmtId="3" fontId="6" fillId="3" borderId="5" xfId="0" applyNumberFormat="1" applyFont="1" applyFill="1" applyBorder="1" applyAlignment="1">
      <alignment horizontal="right" wrapText="1"/>
    </xf>
    <xf numFmtId="0" fontId="0" fillId="3" borderId="22" xfId="0" applyFont="1" applyFill="1" applyBorder="1" applyAlignment="1">
      <alignment wrapText="1"/>
    </xf>
    <xf numFmtId="3" fontId="0" fillId="3" borderId="22" xfId="0" applyNumberFormat="1" applyFont="1" applyFill="1" applyBorder="1" applyAlignment="1">
      <alignment horizontal="right" wrapText="1"/>
    </xf>
    <xf numFmtId="0" fontId="0" fillId="3" borderId="20" xfId="0" applyFont="1" applyFill="1" applyBorder="1" applyAlignment="1">
      <alignment wrapText="1"/>
    </xf>
    <xf numFmtId="3" fontId="0" fillId="3" borderId="2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37" xfId="0" applyFont="1" applyBorder="1" applyAlignment="1">
      <alignment horizontal="left"/>
    </xf>
    <xf numFmtId="3" fontId="3" fillId="0" borderId="37" xfId="0" applyNumberFormat="1" applyFont="1" applyBorder="1" applyAlignment="1">
      <alignment/>
    </xf>
    <xf numFmtId="3" fontId="3" fillId="0" borderId="3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0" fillId="3" borderId="22" xfId="0" applyFont="1" applyFill="1" applyBorder="1" applyAlignment="1">
      <alignment/>
    </xf>
    <xf numFmtId="0" fontId="4" fillId="0" borderId="3" xfId="0" applyFont="1" applyBorder="1" applyAlignment="1">
      <alignment wrapText="1"/>
    </xf>
    <xf numFmtId="3" fontId="2" fillId="3" borderId="27" xfId="0" applyNumberFormat="1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3" borderId="14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wrapText="1"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3" borderId="3" xfId="0" applyFont="1" applyFill="1" applyBorder="1" applyAlignment="1" quotePrefix="1">
      <alignment horizontal="right"/>
    </xf>
    <xf numFmtId="0" fontId="0" fillId="0" borderId="14" xfId="0" applyFont="1" applyBorder="1" applyAlignment="1">
      <alignment/>
    </xf>
    <xf numFmtId="3" fontId="6" fillId="3" borderId="19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3" fontId="2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wrapText="1"/>
    </xf>
    <xf numFmtId="3" fontId="16" fillId="3" borderId="3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0" borderId="2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0" fillId="3" borderId="3" xfId="0" applyNumberFormat="1" applyFont="1" applyFill="1" applyBorder="1" applyAlignment="1">
      <alignment horizontal="right" wrapText="1"/>
    </xf>
    <xf numFmtId="0" fontId="18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3" borderId="22" xfId="0" applyNumberFormat="1" applyFont="1" applyFill="1" applyBorder="1" applyAlignment="1">
      <alignment horizontal="right" wrapText="1"/>
    </xf>
    <xf numFmtId="0" fontId="4" fillId="3" borderId="21" xfId="0" applyFont="1" applyFill="1" applyBorder="1" applyAlignment="1">
      <alignment/>
    </xf>
    <xf numFmtId="0" fontId="0" fillId="0" borderId="3" xfId="0" applyFont="1" applyBorder="1" applyAlignment="1">
      <alignment wrapText="1"/>
    </xf>
    <xf numFmtId="3" fontId="16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3" fontId="9" fillId="3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3" fontId="4" fillId="0" borderId="29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2" fillId="1" borderId="2" xfId="0" applyFont="1" applyFill="1" applyBorder="1" applyAlignment="1">
      <alignment/>
    </xf>
    <xf numFmtId="3" fontId="2" fillId="1" borderId="2" xfId="0" applyNumberFormat="1" applyFont="1" applyFill="1" applyBorder="1" applyAlignment="1">
      <alignment/>
    </xf>
    <xf numFmtId="0" fontId="2" fillId="0" borderId="21" xfId="0" applyFont="1" applyBorder="1" applyAlignment="1">
      <alignment horizontal="left" wrapText="1"/>
    </xf>
    <xf numFmtId="3" fontId="2" fillId="0" borderId="2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1" xfId="0" applyFont="1" applyBorder="1" applyAlignment="1">
      <alignment/>
    </xf>
    <xf numFmtId="0" fontId="4" fillId="0" borderId="21" xfId="0" applyFont="1" applyBorder="1" applyAlignment="1">
      <alignment wrapText="1"/>
    </xf>
    <xf numFmtId="3" fontId="4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wrapText="1"/>
    </xf>
    <xf numFmtId="3" fontId="2" fillId="0" borderId="4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/>
    </xf>
    <xf numFmtId="0" fontId="6" fillId="3" borderId="2" xfId="0" applyFont="1" applyFill="1" applyBorder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12" fillId="0" borderId="34" xfId="0" applyNumberFormat="1" applyFont="1" applyBorder="1" applyAlignment="1">
      <alignment wrapText="1"/>
    </xf>
    <xf numFmtId="3" fontId="12" fillId="0" borderId="43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2" borderId="21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2" fillId="3" borderId="2" xfId="0" applyFont="1" applyFill="1" applyBorder="1" applyAlignment="1">
      <alignment/>
    </xf>
    <xf numFmtId="0" fontId="18" fillId="0" borderId="40" xfId="0" applyFont="1" applyBorder="1" applyAlignment="1">
      <alignment/>
    </xf>
    <xf numFmtId="0" fontId="12" fillId="0" borderId="2" xfId="0" applyFont="1" applyBorder="1" applyAlignment="1">
      <alignment wrapText="1"/>
    </xf>
    <xf numFmtId="0" fontId="18" fillId="0" borderId="39" xfId="0" applyFont="1" applyBorder="1" applyAlignment="1">
      <alignment/>
    </xf>
    <xf numFmtId="0" fontId="12" fillId="0" borderId="3" xfId="0" applyFont="1" applyBorder="1" applyAlignment="1">
      <alignment wrapText="1"/>
    </xf>
    <xf numFmtId="0" fontId="2" fillId="2" borderId="2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1" xfId="0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12" fillId="0" borderId="44" xfId="0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3" fontId="4" fillId="0" borderId="43" xfId="0" applyNumberFormat="1" applyFont="1" applyBorder="1" applyAlignment="1">
      <alignment wrapText="1"/>
    </xf>
    <xf numFmtId="0" fontId="4" fillId="0" borderId="44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18" fillId="0" borderId="23" xfId="0" applyFont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2" fillId="0" borderId="33" xfId="0" applyFont="1" applyBorder="1" applyAlignment="1">
      <alignment wrapText="1"/>
    </xf>
    <xf numFmtId="0" fontId="2" fillId="0" borderId="21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18" fillId="0" borderId="39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 wrapText="1"/>
    </xf>
    <xf numFmtId="3" fontId="12" fillId="0" borderId="33" xfId="0" applyNumberFormat="1" applyFont="1" applyBorder="1" applyAlignment="1">
      <alignment horizontal="right" wrapText="1"/>
    </xf>
    <xf numFmtId="3" fontId="12" fillId="0" borderId="44" xfId="0" applyNumberFormat="1" applyFont="1" applyBorder="1" applyAlignment="1">
      <alignment horizontal="right" wrapText="1"/>
    </xf>
    <xf numFmtId="3" fontId="3" fillId="2" borderId="2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9" xfId="0" applyFont="1" applyBorder="1" applyAlignment="1">
      <alignment wrapText="1"/>
    </xf>
    <xf numFmtId="3" fontId="2" fillId="0" borderId="2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2" fillId="2" borderId="21" xfId="0" applyNumberFormat="1" applyFont="1" applyFill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3" fontId="12" fillId="3" borderId="2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0" fillId="0" borderId="46" xfId="0" applyNumberFormat="1" applyFont="1" applyBorder="1" applyAlignment="1">
      <alignment horizontal="right" wrapText="1"/>
    </xf>
    <xf numFmtId="3" fontId="0" fillId="0" borderId="47" xfId="0" applyNumberFormat="1" applyFont="1" applyBorder="1" applyAlignment="1">
      <alignment horizontal="right" wrapText="1"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12" fillId="0" borderId="45" xfId="0" applyFont="1" applyBorder="1" applyAlignment="1">
      <alignment/>
    </xf>
    <xf numFmtId="0" fontId="0" fillId="0" borderId="38" xfId="0" applyFont="1" applyBorder="1" applyAlignment="1">
      <alignment wrapText="1"/>
    </xf>
    <xf numFmtId="0" fontId="18" fillId="0" borderId="25" xfId="0" applyFont="1" applyBorder="1" applyAlignment="1">
      <alignment/>
    </xf>
    <xf numFmtId="3" fontId="0" fillId="0" borderId="38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4" fillId="3" borderId="20" xfId="0" applyFont="1" applyFill="1" applyBorder="1" applyAlignment="1">
      <alignment horizontal="left" wrapText="1"/>
    </xf>
    <xf numFmtId="0" fontId="0" fillId="3" borderId="2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left"/>
    </xf>
    <xf numFmtId="0" fontId="21" fillId="2" borderId="21" xfId="0" applyFont="1" applyFill="1" applyBorder="1" applyAlignment="1">
      <alignment/>
    </xf>
    <xf numFmtId="0" fontId="3" fillId="2" borderId="21" xfId="0" applyFont="1" applyFill="1" applyBorder="1" applyAlignment="1">
      <alignment wrapText="1"/>
    </xf>
    <xf numFmtId="0" fontId="18" fillId="0" borderId="22" xfId="0" applyFont="1" applyBorder="1" applyAlignment="1">
      <alignment/>
    </xf>
    <xf numFmtId="0" fontId="20" fillId="0" borderId="3" xfId="0" applyFont="1" applyBorder="1" applyAlignment="1">
      <alignment/>
    </xf>
    <xf numFmtId="0" fontId="6" fillId="2" borderId="21" xfId="0" applyFont="1" applyFill="1" applyBorder="1" applyAlignment="1">
      <alignment/>
    </xf>
    <xf numFmtId="0" fontId="2" fillId="2" borderId="21" xfId="0" applyFont="1" applyFill="1" applyBorder="1" applyAlignment="1">
      <alignment wrapText="1"/>
    </xf>
    <xf numFmtId="3" fontId="2" fillId="2" borderId="21" xfId="0" applyNumberFormat="1" applyFont="1" applyFill="1" applyBorder="1" applyAlignment="1">
      <alignment horizontal="right" wrapText="1"/>
    </xf>
    <xf numFmtId="3" fontId="0" fillId="0" borderId="23" xfId="0" applyNumberFormat="1" applyFont="1" applyBorder="1" applyAlignment="1">
      <alignment horizontal="right"/>
    </xf>
    <xf numFmtId="0" fontId="22" fillId="0" borderId="2" xfId="0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0" fontId="12" fillId="0" borderId="48" xfId="0" applyFont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0" fontId="4" fillId="0" borderId="48" xfId="0" applyFont="1" applyBorder="1" applyAlignment="1">
      <alignment wrapText="1"/>
    </xf>
    <xf numFmtId="3" fontId="4" fillId="0" borderId="48" xfId="0" applyNumberFormat="1" applyFont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3" borderId="14" xfId="0" applyFont="1" applyFill="1" applyBorder="1" applyAlignment="1" quotePrefix="1">
      <alignment horizontal="right"/>
    </xf>
    <xf numFmtId="0" fontId="0" fillId="3" borderId="32" xfId="0" applyFont="1" applyFill="1" applyBorder="1" applyAlignment="1">
      <alignment wrapText="1"/>
    </xf>
    <xf numFmtId="0" fontId="0" fillId="3" borderId="40" xfId="0" applyFont="1" applyFill="1" applyBorder="1" applyAlignment="1">
      <alignment wrapText="1"/>
    </xf>
    <xf numFmtId="3" fontId="2" fillId="3" borderId="3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 horizontal="left" wrapText="1"/>
    </xf>
    <xf numFmtId="3" fontId="2" fillId="2" borderId="29" xfId="0" applyNumberFormat="1" applyFont="1" applyFill="1" applyBorder="1" applyAlignment="1">
      <alignment horizontal="left" wrapText="1"/>
    </xf>
    <xf numFmtId="3" fontId="0" fillId="3" borderId="23" xfId="0" applyNumberFormat="1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horizontal="left" wrapText="1"/>
    </xf>
    <xf numFmtId="3" fontId="2" fillId="2" borderId="2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0" fillId="3" borderId="28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4" fillId="3" borderId="14" xfId="0" applyFont="1" applyFill="1" applyBorder="1" applyAlignment="1">
      <alignment/>
    </xf>
    <xf numFmtId="0" fontId="6" fillId="4" borderId="5" xfId="0" applyFont="1" applyFill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0" fillId="3" borderId="20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2" borderId="42" xfId="0" applyNumberFormat="1" applyFont="1" applyFill="1" applyBorder="1" applyAlignment="1">
      <alignment horizontal="right" wrapText="1"/>
    </xf>
    <xf numFmtId="3" fontId="2" fillId="0" borderId="42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3" fontId="4" fillId="0" borderId="41" xfId="0" applyNumberFormat="1" applyFont="1" applyBorder="1" applyAlignment="1">
      <alignment wrapText="1"/>
    </xf>
    <xf numFmtId="3" fontId="6" fillId="0" borderId="50" xfId="0" applyNumberFormat="1" applyFont="1" applyBorder="1" applyAlignment="1">
      <alignment wrapText="1"/>
    </xf>
    <xf numFmtId="3" fontId="6" fillId="3" borderId="50" xfId="0" applyNumberFormat="1" applyFont="1" applyFill="1" applyBorder="1" applyAlignment="1">
      <alignment wrapText="1"/>
    </xf>
    <xf numFmtId="3" fontId="2" fillId="2" borderId="21" xfId="0" applyNumberFormat="1" applyFont="1" applyFill="1" applyBorder="1" applyAlignment="1">
      <alignment wrapText="1"/>
    </xf>
    <xf numFmtId="3" fontId="2" fillId="2" borderId="49" xfId="0" applyNumberFormat="1" applyFont="1" applyFill="1" applyBorder="1" applyAlignment="1">
      <alignment wrapText="1"/>
    </xf>
    <xf numFmtId="3" fontId="2" fillId="0" borderId="49" xfId="0" applyNumberFormat="1" applyFont="1" applyBorder="1" applyAlignment="1">
      <alignment wrapText="1"/>
    </xf>
    <xf numFmtId="0" fontId="6" fillId="3" borderId="14" xfId="0" applyFont="1" applyFill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3" fontId="4" fillId="0" borderId="45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3" fillId="2" borderId="20" xfId="0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2" xfId="0" applyNumberFormat="1" applyFont="1" applyBorder="1" applyAlignment="1">
      <alignment/>
    </xf>
    <xf numFmtId="0" fontId="18" fillId="0" borderId="2" xfId="0" applyFont="1" applyBorder="1" applyAlignment="1">
      <alignment wrapText="1"/>
    </xf>
    <xf numFmtId="0" fontId="0" fillId="0" borderId="52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0" fontId="12" fillId="0" borderId="45" xfId="0" applyFont="1" applyBorder="1" applyAlignment="1">
      <alignment wrapText="1"/>
    </xf>
    <xf numFmtId="0" fontId="12" fillId="0" borderId="22" xfId="0" applyFont="1" applyBorder="1" applyAlignment="1">
      <alignment/>
    </xf>
    <xf numFmtId="3" fontId="12" fillId="0" borderId="53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8" fillId="0" borderId="52" xfId="0" applyFont="1" applyBorder="1" applyAlignment="1">
      <alignment/>
    </xf>
    <xf numFmtId="0" fontId="12" fillId="0" borderId="52" xfId="0" applyFont="1" applyBorder="1" applyAlignment="1">
      <alignment/>
    </xf>
    <xf numFmtId="3" fontId="12" fillId="0" borderId="52" xfId="0" applyNumberFormat="1" applyFont="1" applyBorder="1" applyAlignment="1">
      <alignment/>
    </xf>
    <xf numFmtId="3" fontId="4" fillId="3" borderId="14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52" xfId="0" applyFont="1" applyFill="1" applyBorder="1" applyAlignment="1">
      <alignment horizontal="right"/>
    </xf>
    <xf numFmtId="0" fontId="4" fillId="3" borderId="52" xfId="0" applyFont="1" applyFill="1" applyBorder="1" applyAlignment="1" quotePrefix="1">
      <alignment horizontal="right"/>
    </xf>
    <xf numFmtId="0" fontId="4" fillId="3" borderId="52" xfId="0" applyFont="1" applyFill="1" applyBorder="1" applyAlignment="1">
      <alignment/>
    </xf>
    <xf numFmtId="0" fontId="4" fillId="3" borderId="52" xfId="0" applyFont="1" applyFill="1" applyBorder="1" applyAlignment="1">
      <alignment wrapText="1"/>
    </xf>
    <xf numFmtId="3" fontId="4" fillId="3" borderId="52" xfId="0" applyNumberFormat="1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4" fillId="0" borderId="3" xfId="0" applyNumberFormat="1" applyFont="1" applyBorder="1" applyAlignment="1">
      <alignment wrapText="1"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wrapText="1"/>
    </xf>
    <xf numFmtId="3" fontId="4" fillId="0" borderId="52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43" xfId="0" applyNumberFormat="1" applyFont="1" applyBorder="1" applyAlignment="1">
      <alignment horizontal="right" wrapText="1"/>
    </xf>
    <xf numFmtId="3" fontId="4" fillId="0" borderId="52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3" borderId="45" xfId="0" applyNumberFormat="1" applyFont="1" applyFill="1" applyBorder="1" applyAlignment="1">
      <alignment horizontal="right" wrapText="1"/>
    </xf>
    <xf numFmtId="3" fontId="4" fillId="3" borderId="45" xfId="0" applyNumberFormat="1" applyFont="1" applyFill="1" applyBorder="1" applyAlignment="1">
      <alignment horizontal="right"/>
    </xf>
    <xf numFmtId="0" fontId="4" fillId="0" borderId="54" xfId="0" applyFont="1" applyBorder="1" applyAlignment="1">
      <alignment/>
    </xf>
    <xf numFmtId="3" fontId="4" fillId="0" borderId="42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4" fillId="3" borderId="21" xfId="0" applyFont="1" applyFill="1" applyBorder="1" applyAlignment="1">
      <alignment/>
    </xf>
    <xf numFmtId="0" fontId="4" fillId="3" borderId="21" xfId="0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0" fontId="4" fillId="3" borderId="22" xfId="0" applyFont="1" applyFill="1" applyBorder="1" applyAlignment="1">
      <alignment horizontal="right"/>
    </xf>
    <xf numFmtId="0" fontId="22" fillId="3" borderId="52" xfId="0" applyFont="1" applyFill="1" applyBorder="1" applyAlignment="1">
      <alignment horizontal="right"/>
    </xf>
    <xf numFmtId="0" fontId="22" fillId="3" borderId="52" xfId="0" applyFont="1" applyFill="1" applyBorder="1" applyAlignment="1">
      <alignment/>
    </xf>
    <xf numFmtId="0" fontId="22" fillId="3" borderId="52" xfId="0" applyFont="1" applyFill="1" applyBorder="1" applyAlignment="1">
      <alignment wrapText="1"/>
    </xf>
    <xf numFmtId="3" fontId="22" fillId="3" borderId="52" xfId="0" applyNumberFormat="1" applyFont="1" applyFill="1" applyBorder="1" applyAlignment="1">
      <alignment horizontal="right" wrapText="1"/>
    </xf>
    <xf numFmtId="3" fontId="20" fillId="3" borderId="52" xfId="0" applyNumberFormat="1" applyFont="1" applyFill="1" applyBorder="1" applyAlignment="1">
      <alignment horizontal="right" wrapText="1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vertical="center"/>
    </xf>
    <xf numFmtId="0" fontId="18" fillId="0" borderId="38" xfId="0" applyFont="1" applyBorder="1" applyAlignment="1">
      <alignment wrapText="1"/>
    </xf>
    <xf numFmtId="3" fontId="18" fillId="0" borderId="38" xfId="0" applyNumberFormat="1" applyFont="1" applyBorder="1" applyAlignment="1">
      <alignment/>
    </xf>
    <xf numFmtId="0" fontId="21" fillId="0" borderId="5" xfId="0" applyFont="1" applyBorder="1" applyAlignment="1">
      <alignment/>
    </xf>
    <xf numFmtId="3" fontId="21" fillId="0" borderId="5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23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45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0" fontId="3" fillId="3" borderId="3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21" fillId="3" borderId="5" xfId="0" applyFont="1" applyFill="1" applyBorder="1" applyAlignment="1">
      <alignment wrapText="1"/>
    </xf>
    <xf numFmtId="3" fontId="21" fillId="3" borderId="5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3" fillId="3" borderId="27" xfId="0" applyFont="1" applyFill="1" applyBorder="1" applyAlignment="1">
      <alignment wrapText="1"/>
    </xf>
    <xf numFmtId="3" fontId="3" fillId="3" borderId="27" xfId="0" applyNumberFormat="1" applyFont="1" applyFill="1" applyBorder="1" applyAlignment="1">
      <alignment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 wrapText="1"/>
    </xf>
    <xf numFmtId="3" fontId="18" fillId="3" borderId="4" xfId="0" applyNumberFormat="1" applyFont="1" applyFill="1" applyBorder="1" applyAlignment="1">
      <alignment/>
    </xf>
    <xf numFmtId="0" fontId="21" fillId="3" borderId="3" xfId="0" applyFont="1" applyFill="1" applyBorder="1" applyAlignment="1">
      <alignment/>
    </xf>
    <xf numFmtId="0" fontId="21" fillId="3" borderId="2" xfId="0" applyFont="1" applyFill="1" applyBorder="1" applyAlignment="1">
      <alignment wrapText="1"/>
    </xf>
    <xf numFmtId="3" fontId="21" fillId="3" borderId="2" xfId="0" applyNumberFormat="1" applyFont="1" applyFill="1" applyBorder="1" applyAlignment="1">
      <alignment/>
    </xf>
    <xf numFmtId="3" fontId="21" fillId="3" borderId="3" xfId="0" applyNumberFormat="1" applyFont="1" applyFill="1" applyBorder="1" applyAlignment="1">
      <alignment/>
    </xf>
    <xf numFmtId="0" fontId="21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21" fillId="3" borderId="21" xfId="0" applyFont="1" applyFill="1" applyBorder="1" applyAlignment="1">
      <alignment wrapText="1"/>
    </xf>
    <xf numFmtId="3" fontId="21" fillId="3" borderId="21" xfId="0" applyNumberFormat="1" applyFont="1" applyFill="1" applyBorder="1" applyAlignment="1">
      <alignment/>
    </xf>
    <xf numFmtId="3" fontId="18" fillId="0" borderId="38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18" fillId="3" borderId="47" xfId="0" applyFont="1" applyFill="1" applyBorder="1" applyAlignment="1">
      <alignment/>
    </xf>
    <xf numFmtId="3" fontId="18" fillId="3" borderId="47" xfId="0" applyNumberFormat="1" applyFont="1" applyFill="1" applyBorder="1" applyAlignment="1">
      <alignment horizontal="right"/>
    </xf>
    <xf numFmtId="0" fontId="18" fillId="0" borderId="55" xfId="0" applyFont="1" applyBorder="1" applyAlignment="1">
      <alignment wrapText="1"/>
    </xf>
    <xf numFmtId="3" fontId="18" fillId="0" borderId="55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wrapText="1"/>
    </xf>
    <xf numFmtId="0" fontId="6" fillId="3" borderId="3" xfId="0" applyFont="1" applyFill="1" applyBorder="1" applyAlignment="1">
      <alignment/>
    </xf>
    <xf numFmtId="0" fontId="4" fillId="0" borderId="56" xfId="0" applyFont="1" applyBorder="1" applyAlignment="1">
      <alignment wrapText="1"/>
    </xf>
    <xf numFmtId="3" fontId="4" fillId="0" borderId="56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9-rady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\2005\uchwaly%20rady\rmmarzecpo%20autopopraw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wydatki"/>
      <sheetName val="dz.00"/>
      <sheetName val="inwestycje"/>
      <sheetName val="pozabudz"/>
      <sheetName val="dotacje"/>
      <sheetName val="gminny"/>
      <sheetName val="powiatowy"/>
      <sheetName val="zlec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3"/>
  <sheetViews>
    <sheetView tabSelected="1" zoomScale="75" zoomScaleNormal="75" workbookViewId="0" topLeftCell="A1">
      <selection activeCell="F69" sqref="F69"/>
    </sheetView>
  </sheetViews>
  <sheetFormatPr defaultColWidth="9.00390625" defaultRowHeight="12.75"/>
  <cols>
    <col min="1" max="1" width="7.00390625" style="37" customWidth="1"/>
    <col min="2" max="3" width="7.75390625" style="38" customWidth="1"/>
    <col min="4" max="4" width="77.125" style="38" customWidth="1"/>
    <col min="5" max="5" width="19.25390625" style="38" customWidth="1"/>
    <col min="6" max="6" width="15.00390625" style="101" customWidth="1"/>
    <col min="7" max="7" width="0.12890625" style="38" hidden="1" customWidth="1"/>
    <col min="8" max="8" width="13.875" style="101" customWidth="1"/>
    <col min="9" max="9" width="16.875" style="38" customWidth="1"/>
    <col min="11" max="12" width="10.375" style="0" customWidth="1"/>
    <col min="23" max="16384" width="9.125" style="40" customWidth="1"/>
  </cols>
  <sheetData>
    <row r="1" spans="1:8" ht="15" customHeight="1">
      <c r="A1" s="37" t="s">
        <v>9</v>
      </c>
      <c r="H1" s="101" t="s">
        <v>56</v>
      </c>
    </row>
    <row r="2" ht="12.75">
      <c r="H2" s="101" t="s">
        <v>215</v>
      </c>
    </row>
    <row r="3" spans="1:9" ht="15.75">
      <c r="A3" s="41"/>
      <c r="B3" s="42" t="s">
        <v>95</v>
      </c>
      <c r="C3" s="42"/>
      <c r="D3" s="43"/>
      <c r="H3" s="102" t="s">
        <v>34</v>
      </c>
      <c r="I3" s="40"/>
    </row>
    <row r="4" spans="2:9" ht="15" customHeight="1">
      <c r="B4" s="40"/>
      <c r="C4" s="40"/>
      <c r="D4" s="40"/>
      <c r="H4" s="102" t="s">
        <v>216</v>
      </c>
      <c r="I4" s="40"/>
    </row>
    <row r="5" spans="2:9" ht="11.25" customHeight="1">
      <c r="B5" s="40"/>
      <c r="C5" s="40"/>
      <c r="D5" s="40"/>
      <c r="H5" s="102"/>
      <c r="I5" s="40"/>
    </row>
    <row r="6" spans="1:9" ht="13.5" thickBot="1">
      <c r="A6" s="44"/>
      <c r="B6" s="45"/>
      <c r="C6" s="45"/>
      <c r="D6" s="45"/>
      <c r="E6" s="45"/>
      <c r="F6" s="92"/>
      <c r="H6" s="92"/>
      <c r="I6" s="105" t="s">
        <v>1</v>
      </c>
    </row>
    <row r="7" spans="1:9" ht="27" customHeight="1" thickTop="1">
      <c r="A7" s="46"/>
      <c r="B7" s="47"/>
      <c r="C7" s="130"/>
      <c r="D7" s="48" t="s">
        <v>10</v>
      </c>
      <c r="E7" s="553" t="s">
        <v>202</v>
      </c>
      <c r="F7" s="555" t="s">
        <v>21</v>
      </c>
      <c r="G7" s="49"/>
      <c r="H7" s="555" t="s">
        <v>20</v>
      </c>
      <c r="I7" s="553" t="s">
        <v>24</v>
      </c>
    </row>
    <row r="8" spans="1:9" ht="50.25" customHeight="1" thickBot="1">
      <c r="A8" s="50" t="s">
        <v>11</v>
      </c>
      <c r="B8" s="51" t="s">
        <v>12</v>
      </c>
      <c r="C8" s="52" t="s">
        <v>33</v>
      </c>
      <c r="D8" s="52" t="s">
        <v>55</v>
      </c>
      <c r="E8" s="554"/>
      <c r="F8" s="556"/>
      <c r="G8" s="51" t="s">
        <v>13</v>
      </c>
      <c r="H8" s="558"/>
      <c r="I8" s="557"/>
    </row>
    <row r="9" spans="1:22" s="57" customFormat="1" ht="13.5" customHeight="1" thickBot="1" thickTop="1">
      <c r="A9" s="53">
        <v>1</v>
      </c>
      <c r="B9" s="53">
        <v>2</v>
      </c>
      <c r="C9" s="54">
        <v>3</v>
      </c>
      <c r="D9" s="54">
        <v>4</v>
      </c>
      <c r="E9" s="55">
        <v>5</v>
      </c>
      <c r="F9" s="55">
        <v>6</v>
      </c>
      <c r="G9" s="56">
        <v>15</v>
      </c>
      <c r="H9" s="55">
        <v>7</v>
      </c>
      <c r="I9" s="55">
        <v>8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1:9" ht="24" customHeight="1" thickBot="1" thickTop="1">
      <c r="A10" s="58"/>
      <c r="B10" s="59"/>
      <c r="C10" s="131"/>
      <c r="D10" s="60" t="s">
        <v>14</v>
      </c>
      <c r="E10" s="61">
        <f>E12+E34</f>
        <v>764427131</v>
      </c>
      <c r="F10" s="61">
        <f>F12+F34</f>
        <v>4721102</v>
      </c>
      <c r="G10" s="61">
        <f>G12+G34</f>
        <v>0</v>
      </c>
      <c r="H10" s="61">
        <f>H12+H34</f>
        <v>4722139</v>
      </c>
      <c r="I10" s="61">
        <f>E10+H10-F10</f>
        <v>764428168</v>
      </c>
    </row>
    <row r="11" spans="1:9" ht="11.25" customHeight="1">
      <c r="A11" s="62"/>
      <c r="B11" s="63"/>
      <c r="C11" s="64"/>
      <c r="D11" s="64" t="s">
        <v>3</v>
      </c>
      <c r="E11" s="65"/>
      <c r="F11" s="65"/>
      <c r="G11" s="65"/>
      <c r="H11" s="65"/>
      <c r="I11" s="65"/>
    </row>
    <row r="12" spans="1:9" ht="14.25" customHeight="1" thickBot="1">
      <c r="A12" s="66"/>
      <c r="B12" s="67"/>
      <c r="C12" s="132"/>
      <c r="D12" s="68" t="s">
        <v>29</v>
      </c>
      <c r="E12" s="69">
        <f>E13+E22+E27+E32+E33</f>
        <v>544719943</v>
      </c>
      <c r="F12" s="69">
        <f>F13+F22+F27+F32+F33</f>
        <v>4221090</v>
      </c>
      <c r="G12" s="69">
        <f>G13+G22+G27+G32+G33</f>
        <v>0</v>
      </c>
      <c r="H12" s="69">
        <f>H13+H22+H27+H32+H33</f>
        <v>1633006</v>
      </c>
      <c r="I12" s="69">
        <f aca="true" t="shared" si="0" ref="I12:I58">E12+H12-F12</f>
        <v>542131859</v>
      </c>
    </row>
    <row r="13" spans="1:9" ht="19.5" customHeight="1" thickBot="1">
      <c r="A13" s="98"/>
      <c r="B13" s="27"/>
      <c r="C13" s="27"/>
      <c r="D13" s="71" t="s">
        <v>15</v>
      </c>
      <c r="E13" s="72">
        <v>371309498</v>
      </c>
      <c r="F13" s="72"/>
      <c r="G13" s="73"/>
      <c r="H13" s="72">
        <f>H14+H18</f>
        <v>1533006</v>
      </c>
      <c r="I13" s="72">
        <f t="shared" si="0"/>
        <v>372842504</v>
      </c>
    </row>
    <row r="14" spans="1:9" ht="20.25" customHeight="1" thickTop="1">
      <c r="A14" s="95">
        <v>600</v>
      </c>
      <c r="B14" s="12"/>
      <c r="C14" s="12"/>
      <c r="D14" s="12" t="s">
        <v>138</v>
      </c>
      <c r="E14" s="96"/>
      <c r="F14" s="96"/>
      <c r="G14" s="94"/>
      <c r="H14" s="96">
        <f>H15</f>
        <v>530000</v>
      </c>
      <c r="I14" s="96">
        <f t="shared" si="0"/>
        <v>530000</v>
      </c>
    </row>
    <row r="15" spans="1:9" ht="20.25" customHeight="1">
      <c r="A15" s="375"/>
      <c r="B15" s="126">
        <v>60016</v>
      </c>
      <c r="C15" s="126"/>
      <c r="D15" s="126" t="s">
        <v>139</v>
      </c>
      <c r="E15" s="97"/>
      <c r="F15" s="97"/>
      <c r="G15" s="94"/>
      <c r="H15" s="97">
        <f>H16</f>
        <v>530000</v>
      </c>
      <c r="I15" s="97">
        <f t="shared" si="0"/>
        <v>530000</v>
      </c>
    </row>
    <row r="16" spans="1:256" s="108" customFormat="1" ht="20.25" customHeight="1">
      <c r="A16" s="62"/>
      <c r="B16" s="63"/>
      <c r="C16" s="63"/>
      <c r="D16" s="145" t="s">
        <v>140</v>
      </c>
      <c r="E16" s="127"/>
      <c r="F16" s="128"/>
      <c r="G16" s="129"/>
      <c r="H16" s="128">
        <f>H17</f>
        <v>530000</v>
      </c>
      <c r="I16" s="128">
        <f t="shared" si="0"/>
        <v>530000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2" s="140" customFormat="1" ht="20.25" customHeight="1">
      <c r="A17" s="135"/>
      <c r="B17" s="136"/>
      <c r="C17" s="177" t="s">
        <v>141</v>
      </c>
      <c r="D17" s="374" t="s">
        <v>142</v>
      </c>
      <c r="E17" s="137"/>
      <c r="F17" s="138"/>
      <c r="G17" s="139"/>
      <c r="H17" s="138">
        <v>530000</v>
      </c>
      <c r="I17" s="138">
        <f t="shared" si="0"/>
        <v>530000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9" ht="28.5" customHeight="1">
      <c r="A18" s="95">
        <v>756</v>
      </c>
      <c r="B18" s="12"/>
      <c r="C18" s="133"/>
      <c r="D18" s="100" t="s">
        <v>30</v>
      </c>
      <c r="E18" s="96">
        <v>310595798</v>
      </c>
      <c r="F18" s="96"/>
      <c r="G18" s="94"/>
      <c r="H18" s="96">
        <f>H19</f>
        <v>1003006</v>
      </c>
      <c r="I18" s="96">
        <f t="shared" si="0"/>
        <v>311598804</v>
      </c>
    </row>
    <row r="19" spans="1:9" ht="20.25" customHeight="1">
      <c r="A19" s="375"/>
      <c r="B19" s="235">
        <v>75621</v>
      </c>
      <c r="C19" s="236"/>
      <c r="D19" s="110" t="s">
        <v>155</v>
      </c>
      <c r="E19" s="97">
        <v>162472998</v>
      </c>
      <c r="F19" s="97"/>
      <c r="G19" s="94"/>
      <c r="H19" s="97">
        <f>H20</f>
        <v>1003006</v>
      </c>
      <c r="I19" s="97">
        <f t="shared" si="0"/>
        <v>163476004</v>
      </c>
    </row>
    <row r="20" spans="1:256" s="108" customFormat="1" ht="20.25" customHeight="1">
      <c r="A20" s="62"/>
      <c r="B20" s="232"/>
      <c r="C20" s="395"/>
      <c r="D20" s="396" t="s">
        <v>156</v>
      </c>
      <c r="E20" s="127">
        <v>149772998</v>
      </c>
      <c r="F20" s="128"/>
      <c r="G20" s="129"/>
      <c r="H20" s="128">
        <f>H21</f>
        <v>1003006</v>
      </c>
      <c r="I20" s="128">
        <f t="shared" si="0"/>
        <v>150776004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2" s="140" customFormat="1" ht="20.25" customHeight="1">
      <c r="A21" s="141"/>
      <c r="B21" s="142"/>
      <c r="C21" s="177" t="s">
        <v>157</v>
      </c>
      <c r="D21" s="147" t="s">
        <v>158</v>
      </c>
      <c r="E21" s="137">
        <v>149772998</v>
      </c>
      <c r="F21" s="138"/>
      <c r="G21" s="139"/>
      <c r="H21" s="138">
        <v>1003006</v>
      </c>
      <c r="I21" s="138">
        <f t="shared" si="0"/>
        <v>150776004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39" customFormat="1" ht="19.5" customHeight="1" thickBot="1">
      <c r="A22" s="74"/>
      <c r="B22" s="123"/>
      <c r="C22" s="123"/>
      <c r="D22" s="114" t="s">
        <v>16</v>
      </c>
      <c r="E22" s="115">
        <v>105250278</v>
      </c>
      <c r="F22" s="115">
        <f>F23</f>
        <v>4221090</v>
      </c>
      <c r="G22" s="116"/>
      <c r="H22" s="115"/>
      <c r="I22" s="115">
        <f t="shared" si="0"/>
        <v>101029188</v>
      </c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39" customFormat="1" ht="19.5" customHeight="1" thickTop="1">
      <c r="A23" s="95">
        <v>758</v>
      </c>
      <c r="B23" s="12"/>
      <c r="C23" s="133"/>
      <c r="D23" s="117" t="s">
        <v>65</v>
      </c>
      <c r="E23" s="119">
        <v>104715278</v>
      </c>
      <c r="F23" s="119">
        <f>F24</f>
        <v>4221090</v>
      </c>
      <c r="G23" s="117"/>
      <c r="H23" s="119"/>
      <c r="I23" s="121">
        <f t="shared" si="0"/>
        <v>100494188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39" customFormat="1" ht="19.5" customHeight="1">
      <c r="A24" s="377"/>
      <c r="B24" s="126">
        <v>75801</v>
      </c>
      <c r="C24" s="134"/>
      <c r="D24" s="118" t="s">
        <v>66</v>
      </c>
      <c r="E24" s="120">
        <v>103977752</v>
      </c>
      <c r="F24" s="120">
        <f>F25</f>
        <v>4221090</v>
      </c>
      <c r="G24" s="118"/>
      <c r="H24" s="120"/>
      <c r="I24" s="122">
        <f t="shared" si="0"/>
        <v>99756662</v>
      </c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39" customFormat="1" ht="19.5" customHeight="1">
      <c r="A25" s="62"/>
      <c r="B25" s="63"/>
      <c r="C25" s="63"/>
      <c r="D25" s="397" t="s">
        <v>67</v>
      </c>
      <c r="E25" s="146">
        <v>103977752</v>
      </c>
      <c r="F25" s="146">
        <f>F26</f>
        <v>4221090</v>
      </c>
      <c r="G25" s="145"/>
      <c r="H25" s="146"/>
      <c r="I25" s="146">
        <f t="shared" si="0"/>
        <v>99756662</v>
      </c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56" s="144" customFormat="1" ht="19.5" customHeight="1">
      <c r="A26" s="141"/>
      <c r="B26" s="294"/>
      <c r="C26" s="22">
        <v>2920</v>
      </c>
      <c r="D26" s="147" t="s">
        <v>68</v>
      </c>
      <c r="E26" s="489">
        <v>103977752</v>
      </c>
      <c r="F26" s="490">
        <v>4221090</v>
      </c>
      <c r="G26" s="491"/>
      <c r="H26" s="490"/>
      <c r="I26" s="490">
        <f t="shared" si="0"/>
        <v>99756662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</row>
    <row r="27" spans="1:9" ht="19.5" customHeight="1" thickBot="1">
      <c r="A27" s="175"/>
      <c r="B27" s="77"/>
      <c r="C27" s="77"/>
      <c r="D27" s="85" t="s">
        <v>17</v>
      </c>
      <c r="E27" s="79">
        <v>8978700</v>
      </c>
      <c r="F27" s="79"/>
      <c r="G27" s="79"/>
      <c r="H27" s="79">
        <f>H28</f>
        <v>100000</v>
      </c>
      <c r="I27" s="79">
        <f t="shared" si="0"/>
        <v>9078700</v>
      </c>
    </row>
    <row r="28" spans="1:22" s="39" customFormat="1" ht="18.75" customHeight="1" thickTop="1">
      <c r="A28" s="117">
        <v>926</v>
      </c>
      <c r="B28" s="117"/>
      <c r="C28" s="117"/>
      <c r="D28" s="117" t="s">
        <v>148</v>
      </c>
      <c r="E28" s="119"/>
      <c r="F28" s="119"/>
      <c r="G28" s="117"/>
      <c r="H28" s="119">
        <f>H29</f>
        <v>100000</v>
      </c>
      <c r="I28" s="121">
        <f t="shared" si="0"/>
        <v>100000</v>
      </c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39" customFormat="1" ht="19.5" customHeight="1">
      <c r="A29" s="62"/>
      <c r="B29" s="126">
        <v>92601</v>
      </c>
      <c r="C29" s="134"/>
      <c r="D29" s="118" t="s">
        <v>149</v>
      </c>
      <c r="E29" s="120"/>
      <c r="F29" s="120"/>
      <c r="G29" s="118"/>
      <c r="H29" s="120">
        <f>H30</f>
        <v>100000</v>
      </c>
      <c r="I29" s="122">
        <f t="shared" si="0"/>
        <v>100000</v>
      </c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39" customFormat="1" ht="26.25" customHeight="1">
      <c r="A30" s="62"/>
      <c r="B30" s="63"/>
      <c r="C30" s="63"/>
      <c r="D30" s="145" t="s">
        <v>150</v>
      </c>
      <c r="E30" s="146"/>
      <c r="F30" s="146"/>
      <c r="G30" s="145"/>
      <c r="H30" s="146">
        <f>H31</f>
        <v>100000</v>
      </c>
      <c r="I30" s="146">
        <f t="shared" si="0"/>
        <v>100000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56" s="144" customFormat="1" ht="25.5" customHeight="1">
      <c r="A31" s="135"/>
      <c r="B31" s="136"/>
      <c r="C31" s="22">
        <v>6290</v>
      </c>
      <c r="D31" s="147" t="s">
        <v>69</v>
      </c>
      <c r="E31" s="137"/>
      <c r="F31" s="138"/>
      <c r="G31" s="143"/>
      <c r="H31" s="138">
        <v>100000</v>
      </c>
      <c r="I31" s="138">
        <f t="shared" si="0"/>
        <v>100000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</row>
    <row r="32" spans="1:9" ht="19.5" customHeight="1" thickBot="1">
      <c r="A32" s="238"/>
      <c r="B32" s="398"/>
      <c r="C32" s="398"/>
      <c r="D32" s="78" t="s">
        <v>203</v>
      </c>
      <c r="E32" s="79">
        <v>200000</v>
      </c>
      <c r="F32" s="79"/>
      <c r="G32" s="79"/>
      <c r="H32" s="79"/>
      <c r="I32" s="79">
        <f t="shared" si="0"/>
        <v>200000</v>
      </c>
    </row>
    <row r="33" spans="1:9" ht="27.75" customHeight="1" thickBot="1" thickTop="1">
      <c r="A33" s="80"/>
      <c r="B33" s="81"/>
      <c r="C33" s="81"/>
      <c r="D33" s="78" t="s">
        <v>18</v>
      </c>
      <c r="E33" s="86">
        <v>58981467</v>
      </c>
      <c r="F33" s="86"/>
      <c r="G33" s="86"/>
      <c r="H33" s="86"/>
      <c r="I33" s="79">
        <f t="shared" si="0"/>
        <v>58981467</v>
      </c>
    </row>
    <row r="34" spans="1:22" s="39" customFormat="1" ht="20.25" customHeight="1" thickBot="1" thickTop="1">
      <c r="A34" s="62"/>
      <c r="B34" s="63"/>
      <c r="C34" s="64"/>
      <c r="D34" s="68" t="s">
        <v>57</v>
      </c>
      <c r="E34" s="70">
        <f>E35+E48+E56+E57+E58</f>
        <v>219707188</v>
      </c>
      <c r="F34" s="70">
        <f>F35+F48+F56+F57+F58</f>
        <v>500012</v>
      </c>
      <c r="G34" s="82"/>
      <c r="H34" s="70">
        <f>H35+H48+H56+H57+H58</f>
        <v>3089133</v>
      </c>
      <c r="I34" s="70">
        <f t="shared" si="0"/>
        <v>222296309</v>
      </c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9" ht="19.5" customHeight="1" thickBot="1">
      <c r="A35" s="74"/>
      <c r="B35" s="123"/>
      <c r="C35" s="123"/>
      <c r="D35" s="83" t="s">
        <v>15</v>
      </c>
      <c r="E35" s="84">
        <v>60011024</v>
      </c>
      <c r="F35" s="84">
        <f>F40+F36+F44</f>
        <v>4400</v>
      </c>
      <c r="G35" s="84"/>
      <c r="H35" s="84">
        <f>H40+H36+H44</f>
        <v>3088706</v>
      </c>
      <c r="I35" s="76">
        <f t="shared" si="0"/>
        <v>63095330</v>
      </c>
    </row>
    <row r="36" spans="1:22" s="39" customFormat="1" ht="19.5" customHeight="1" thickTop="1">
      <c r="A36" s="95">
        <v>600</v>
      </c>
      <c r="B36" s="12"/>
      <c r="C36" s="376"/>
      <c r="D36" s="376" t="s">
        <v>138</v>
      </c>
      <c r="E36" s="119"/>
      <c r="F36" s="119"/>
      <c r="G36" s="117"/>
      <c r="H36" s="119">
        <f>H37</f>
        <v>2800000</v>
      </c>
      <c r="I36" s="229">
        <f t="shared" si="0"/>
        <v>2800000</v>
      </c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39" customFormat="1" ht="19.5" customHeight="1">
      <c r="A37" s="377"/>
      <c r="B37" s="126">
        <v>60015</v>
      </c>
      <c r="C37" s="378"/>
      <c r="D37" s="378" t="s">
        <v>143</v>
      </c>
      <c r="E37" s="120"/>
      <c r="F37" s="120"/>
      <c r="G37" s="118"/>
      <c r="H37" s="120">
        <f>H38</f>
        <v>2800000</v>
      </c>
      <c r="I37" s="122">
        <f t="shared" si="0"/>
        <v>2800000</v>
      </c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39" customFormat="1" ht="19.5" customHeight="1">
      <c r="A38" s="62"/>
      <c r="B38" s="104"/>
      <c r="C38" s="176"/>
      <c r="D38" s="148" t="s">
        <v>140</v>
      </c>
      <c r="E38" s="146"/>
      <c r="F38" s="146"/>
      <c r="G38" s="145"/>
      <c r="H38" s="146">
        <f>H39</f>
        <v>2800000</v>
      </c>
      <c r="I38" s="146">
        <f t="shared" si="0"/>
        <v>2800000</v>
      </c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56" s="144" customFormat="1" ht="20.25" customHeight="1">
      <c r="A39" s="135"/>
      <c r="B39" s="136"/>
      <c r="C39" s="177" t="s">
        <v>141</v>
      </c>
      <c r="D39" s="374" t="s">
        <v>142</v>
      </c>
      <c r="E39" s="137"/>
      <c r="F39" s="138"/>
      <c r="G39" s="143"/>
      <c r="H39" s="138">
        <v>2800000</v>
      </c>
      <c r="I39" s="138">
        <f>E39+H39-F39</f>
        <v>2800000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</row>
    <row r="40" spans="1:22" s="39" customFormat="1" ht="19.5" customHeight="1">
      <c r="A40" s="373">
        <v>700</v>
      </c>
      <c r="B40" s="29"/>
      <c r="C40" s="117"/>
      <c r="D40" s="100" t="s">
        <v>134</v>
      </c>
      <c r="E40" s="119">
        <v>2004800</v>
      </c>
      <c r="F40" s="119">
        <f>F41</f>
        <v>4400</v>
      </c>
      <c r="G40" s="117"/>
      <c r="H40" s="119"/>
      <c r="I40" s="229">
        <f t="shared" si="0"/>
        <v>2000400</v>
      </c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39" customFormat="1" ht="19.5" customHeight="1">
      <c r="A41" s="173"/>
      <c r="B41" s="235">
        <v>70005</v>
      </c>
      <c r="C41" s="236"/>
      <c r="D41" s="118" t="s">
        <v>31</v>
      </c>
      <c r="E41" s="120">
        <v>2004800</v>
      </c>
      <c r="F41" s="120">
        <f>F42</f>
        <v>4400</v>
      </c>
      <c r="G41" s="118"/>
      <c r="H41" s="120"/>
      <c r="I41" s="122">
        <f t="shared" si="0"/>
        <v>2000400</v>
      </c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39" customFormat="1" ht="19.5" customHeight="1">
      <c r="A42" s="62"/>
      <c r="B42" s="104"/>
      <c r="C42" s="176"/>
      <c r="D42" s="148" t="s">
        <v>135</v>
      </c>
      <c r="E42" s="146">
        <v>4800</v>
      </c>
      <c r="F42" s="146">
        <f>F43</f>
        <v>4400</v>
      </c>
      <c r="G42" s="145"/>
      <c r="H42" s="146"/>
      <c r="I42" s="146">
        <f t="shared" si="0"/>
        <v>400</v>
      </c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56" s="144" customFormat="1" ht="40.5" customHeight="1">
      <c r="A43" s="135"/>
      <c r="B43" s="136"/>
      <c r="C43" s="177" t="s">
        <v>136</v>
      </c>
      <c r="D43" s="374" t="s">
        <v>137</v>
      </c>
      <c r="E43" s="137">
        <v>4800</v>
      </c>
      <c r="F43" s="138">
        <v>4400</v>
      </c>
      <c r="G43" s="143"/>
      <c r="H43" s="138"/>
      <c r="I43" s="138">
        <f t="shared" si="0"/>
        <v>400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</row>
    <row r="44" spans="1:22" s="39" customFormat="1" ht="24.75" customHeight="1">
      <c r="A44" s="373">
        <v>756</v>
      </c>
      <c r="B44" s="29"/>
      <c r="C44" s="117"/>
      <c r="D44" s="100" t="s">
        <v>30</v>
      </c>
      <c r="E44" s="119">
        <v>53955734</v>
      </c>
      <c r="F44" s="119"/>
      <c r="G44" s="117"/>
      <c r="H44" s="119">
        <f>H45</f>
        <v>288706</v>
      </c>
      <c r="I44" s="229">
        <f t="shared" si="0"/>
        <v>54244440</v>
      </c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39" customFormat="1" ht="19.5" customHeight="1">
      <c r="A45" s="173"/>
      <c r="B45" s="235">
        <v>75622</v>
      </c>
      <c r="C45" s="236"/>
      <c r="D45" s="110" t="s">
        <v>159</v>
      </c>
      <c r="E45" s="120">
        <v>45910734</v>
      </c>
      <c r="F45" s="120"/>
      <c r="G45" s="118"/>
      <c r="H45" s="120">
        <f>H46</f>
        <v>288706</v>
      </c>
      <c r="I45" s="122">
        <f t="shared" si="0"/>
        <v>46199440</v>
      </c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9" customFormat="1" ht="19.5" customHeight="1">
      <c r="A46" s="62"/>
      <c r="B46" s="232"/>
      <c r="C46" s="395"/>
      <c r="D46" s="148" t="s">
        <v>160</v>
      </c>
      <c r="E46" s="146">
        <v>43110734</v>
      </c>
      <c r="F46" s="146"/>
      <c r="G46" s="145"/>
      <c r="H46" s="146">
        <f>H47</f>
        <v>288706</v>
      </c>
      <c r="I46" s="146">
        <f t="shared" si="0"/>
        <v>43399440</v>
      </c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56" s="144" customFormat="1" ht="19.5" customHeight="1">
      <c r="A47" s="141"/>
      <c r="B47" s="142"/>
      <c r="C47" s="177" t="s">
        <v>157</v>
      </c>
      <c r="D47" s="374" t="s">
        <v>161</v>
      </c>
      <c r="E47" s="137">
        <v>43110734</v>
      </c>
      <c r="F47" s="138"/>
      <c r="G47" s="143"/>
      <c r="H47" s="138">
        <v>288706</v>
      </c>
      <c r="I47" s="138">
        <f t="shared" si="0"/>
        <v>43399440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</row>
    <row r="48" spans="1:22" s="39" customFormat="1" ht="19.5" customHeight="1" thickBot="1">
      <c r="A48" s="74"/>
      <c r="B48" s="123"/>
      <c r="C48" s="123"/>
      <c r="D48" s="75" t="s">
        <v>16</v>
      </c>
      <c r="E48" s="76">
        <v>128830825</v>
      </c>
      <c r="F48" s="76">
        <f>F49</f>
        <v>495612</v>
      </c>
      <c r="G48" s="76"/>
      <c r="H48" s="76">
        <f>H49</f>
        <v>427</v>
      </c>
      <c r="I48" s="76">
        <f t="shared" si="0"/>
        <v>128335640</v>
      </c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39" customFormat="1" ht="19.5" customHeight="1" thickTop="1">
      <c r="A49" s="95">
        <v>758</v>
      </c>
      <c r="B49" s="12"/>
      <c r="C49" s="133"/>
      <c r="D49" s="117" t="s">
        <v>65</v>
      </c>
      <c r="E49" s="119">
        <v>128830825</v>
      </c>
      <c r="F49" s="119">
        <f>F50+F53</f>
        <v>495612</v>
      </c>
      <c r="G49" s="117"/>
      <c r="H49" s="119">
        <f>H50+H53</f>
        <v>427</v>
      </c>
      <c r="I49" s="121">
        <f t="shared" si="0"/>
        <v>128335640</v>
      </c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39" customFormat="1" ht="19.5" customHeight="1">
      <c r="A50" s="173"/>
      <c r="B50" s="235">
        <v>75801</v>
      </c>
      <c r="C50" s="236"/>
      <c r="D50" s="110" t="s">
        <v>66</v>
      </c>
      <c r="E50" s="120">
        <v>127758974</v>
      </c>
      <c r="F50" s="120">
        <f>F51</f>
        <v>495612</v>
      </c>
      <c r="G50" s="118"/>
      <c r="H50" s="120"/>
      <c r="I50" s="122">
        <f t="shared" si="0"/>
        <v>127263362</v>
      </c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39" customFormat="1" ht="19.5" customHeight="1">
      <c r="A51" s="62"/>
      <c r="B51" s="186"/>
      <c r="C51" s="186"/>
      <c r="D51" s="396" t="s">
        <v>67</v>
      </c>
      <c r="E51" s="146">
        <v>127758974</v>
      </c>
      <c r="F51" s="146">
        <f>F52</f>
        <v>495612</v>
      </c>
      <c r="G51" s="145"/>
      <c r="H51" s="146"/>
      <c r="I51" s="146">
        <f t="shared" si="0"/>
        <v>127263362</v>
      </c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56" s="144" customFormat="1" ht="19.5" customHeight="1">
      <c r="A52" s="141"/>
      <c r="B52" s="22"/>
      <c r="C52" s="135">
        <v>2920</v>
      </c>
      <c r="D52" s="147" t="s">
        <v>68</v>
      </c>
      <c r="E52" s="137">
        <v>127758974</v>
      </c>
      <c r="F52" s="138">
        <v>495612</v>
      </c>
      <c r="G52" s="143"/>
      <c r="H52" s="138"/>
      <c r="I52" s="138">
        <f t="shared" si="0"/>
        <v>127263362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</row>
    <row r="53" spans="1:22" s="39" customFormat="1" ht="19.5" customHeight="1">
      <c r="A53" s="62"/>
      <c r="B53" s="235">
        <v>75832</v>
      </c>
      <c r="C53" s="236"/>
      <c r="D53" s="110" t="s">
        <v>162</v>
      </c>
      <c r="E53" s="120">
        <v>1071851</v>
      </c>
      <c r="F53" s="120"/>
      <c r="G53" s="118"/>
      <c r="H53" s="120">
        <f>H54</f>
        <v>427</v>
      </c>
      <c r="I53" s="122">
        <f t="shared" si="0"/>
        <v>1072278</v>
      </c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39" customFormat="1" ht="19.5" customHeight="1">
      <c r="A54" s="62"/>
      <c r="B54" s="186"/>
      <c r="C54" s="186"/>
      <c r="D54" s="396" t="s">
        <v>163</v>
      </c>
      <c r="E54" s="146">
        <v>1071851</v>
      </c>
      <c r="F54" s="146"/>
      <c r="G54" s="145"/>
      <c r="H54" s="146">
        <f>H55</f>
        <v>427</v>
      </c>
      <c r="I54" s="146">
        <f t="shared" si="0"/>
        <v>1072278</v>
      </c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56" s="144" customFormat="1" ht="19.5" customHeight="1">
      <c r="A55" s="141"/>
      <c r="B55" s="294"/>
      <c r="C55" s="135">
        <v>2920</v>
      </c>
      <c r="D55" s="147" t="s">
        <v>68</v>
      </c>
      <c r="E55" s="137">
        <v>1071851</v>
      </c>
      <c r="F55" s="138"/>
      <c r="G55" s="143"/>
      <c r="H55" s="138">
        <v>427</v>
      </c>
      <c r="I55" s="138">
        <f t="shared" si="0"/>
        <v>1072278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  <c r="IR55" s="140"/>
      <c r="IS55" s="140"/>
      <c r="IT55" s="140"/>
      <c r="IU55" s="140"/>
      <c r="IV55" s="140"/>
    </row>
    <row r="56" spans="1:9" ht="19.5" customHeight="1" thickBot="1">
      <c r="A56" s="238"/>
      <c r="B56" s="398"/>
      <c r="C56" s="398"/>
      <c r="D56" s="85" t="s">
        <v>17</v>
      </c>
      <c r="E56" s="79">
        <v>8134070</v>
      </c>
      <c r="F56" s="79"/>
      <c r="G56" s="79"/>
      <c r="H56" s="79"/>
      <c r="I56" s="79">
        <f t="shared" si="0"/>
        <v>8134070</v>
      </c>
    </row>
    <row r="57" spans="1:9" ht="19.5" customHeight="1" thickBot="1" thickTop="1">
      <c r="A57" s="80"/>
      <c r="B57" s="81"/>
      <c r="C57" s="81"/>
      <c r="D57" s="78" t="s">
        <v>203</v>
      </c>
      <c r="E57" s="86">
        <v>2378000</v>
      </c>
      <c r="F57" s="86"/>
      <c r="G57" s="87"/>
      <c r="H57" s="86"/>
      <c r="I57" s="79">
        <f t="shared" si="0"/>
        <v>2378000</v>
      </c>
    </row>
    <row r="58" spans="1:9" ht="19.5" customHeight="1" thickTop="1">
      <c r="A58" s="88"/>
      <c r="B58" s="89"/>
      <c r="C58" s="99"/>
      <c r="D58" s="90" t="s">
        <v>19</v>
      </c>
      <c r="E58" s="91">
        <v>20353269</v>
      </c>
      <c r="F58" s="91"/>
      <c r="G58" s="91"/>
      <c r="H58" s="91"/>
      <c r="I58" s="77">
        <f t="shared" si="0"/>
        <v>20353269</v>
      </c>
    </row>
    <row r="59" spans="4:9" ht="12.75">
      <c r="D59" s="25"/>
      <c r="E59" s="25"/>
      <c r="F59" s="103"/>
      <c r="H59" s="103"/>
      <c r="I59" s="25"/>
    </row>
    <row r="60" spans="4:9" ht="12.75">
      <c r="D60" s="25"/>
      <c r="E60" s="25"/>
      <c r="F60" s="103"/>
      <c r="H60" s="103"/>
      <c r="I60" s="25"/>
    </row>
    <row r="61" spans="4:9" ht="12.75">
      <c r="D61" s="25"/>
      <c r="E61" s="25"/>
      <c r="F61" s="103"/>
      <c r="H61" s="103"/>
      <c r="I61" s="25"/>
    </row>
    <row r="62" spans="4:9" ht="12.75">
      <c r="D62" s="570" t="s">
        <v>221</v>
      </c>
      <c r="E62" s="25"/>
      <c r="F62" s="103"/>
      <c r="H62" s="571" t="s">
        <v>223</v>
      </c>
      <c r="I62" s="25"/>
    </row>
    <row r="63" spans="4:9" ht="12.75">
      <c r="D63" s="570"/>
      <c r="E63" s="25"/>
      <c r="F63" s="103"/>
      <c r="H63" s="571" t="s">
        <v>224</v>
      </c>
      <c r="I63" s="25"/>
    </row>
    <row r="64" spans="4:9" ht="12.75">
      <c r="D64" s="570" t="s">
        <v>222</v>
      </c>
      <c r="E64" s="25"/>
      <c r="F64" s="103"/>
      <c r="H64" s="571" t="s">
        <v>225</v>
      </c>
      <c r="I64" s="25"/>
    </row>
    <row r="65" spans="4:9" ht="12.75">
      <c r="D65" s="25"/>
      <c r="E65" s="25"/>
      <c r="F65" s="103"/>
      <c r="H65" s="103"/>
      <c r="I65" s="25"/>
    </row>
    <row r="66" spans="4:9" ht="12.75">
      <c r="D66" s="25"/>
      <c r="E66" s="25"/>
      <c r="F66" s="103"/>
      <c r="H66" s="103"/>
      <c r="I66" s="25"/>
    </row>
    <row r="67" spans="4:9" ht="12.75">
      <c r="D67" s="25"/>
      <c r="E67" s="25"/>
      <c r="F67" s="103"/>
      <c r="H67" s="103"/>
      <c r="I67" s="25"/>
    </row>
    <row r="68" spans="4:9" ht="12.75">
      <c r="D68" s="25"/>
      <c r="E68" s="25"/>
      <c r="F68" s="103"/>
      <c r="H68" s="103"/>
      <c r="I68" s="25"/>
    </row>
    <row r="69" spans="4:9" ht="12.75">
      <c r="D69" s="25"/>
      <c r="E69" s="25"/>
      <c r="F69" s="103"/>
      <c r="H69" s="103"/>
      <c r="I69" s="25"/>
    </row>
    <row r="70" spans="4:9" ht="12.75">
      <c r="D70" s="25"/>
      <c r="E70" s="25"/>
      <c r="F70" s="103"/>
      <c r="H70" s="103"/>
      <c r="I70" s="25"/>
    </row>
    <row r="71" spans="6:8" ht="12.75">
      <c r="F71" s="17"/>
      <c r="H71" s="17"/>
    </row>
    <row r="72" spans="6:8" ht="12.75">
      <c r="F72" s="17"/>
      <c r="H72" s="17"/>
    </row>
    <row r="73" spans="6:8" ht="12.75">
      <c r="F73" s="17"/>
      <c r="H73" s="17"/>
    </row>
    <row r="74" spans="6:8" ht="12.75">
      <c r="F74" s="17"/>
      <c r="H74" s="17"/>
    </row>
    <row r="75" spans="6:8" ht="12.75">
      <c r="F75" s="17"/>
      <c r="H75" s="17"/>
    </row>
    <row r="76" spans="6:8" ht="12.75">
      <c r="F76" s="17"/>
      <c r="H76" s="17"/>
    </row>
    <row r="77" spans="6:8" ht="12.75">
      <c r="F77" s="17"/>
      <c r="H77" s="17"/>
    </row>
    <row r="78" spans="6:8" ht="12.75">
      <c r="F78" s="17"/>
      <c r="H78" s="17"/>
    </row>
    <row r="79" spans="6:8" ht="12.75">
      <c r="F79" s="17"/>
      <c r="H79" s="17"/>
    </row>
    <row r="80" spans="6:8" ht="12.75">
      <c r="F80" s="17"/>
      <c r="H80" s="17"/>
    </row>
    <row r="81" spans="6:8" ht="12.75">
      <c r="F81" s="17"/>
      <c r="H81" s="17"/>
    </row>
    <row r="82" spans="6:8" ht="12.75">
      <c r="F82" s="17"/>
      <c r="H82" s="17"/>
    </row>
    <row r="83" spans="6:8" ht="12.75">
      <c r="F83" s="17"/>
      <c r="H83" s="17"/>
    </row>
    <row r="84" spans="6:8" ht="12.75">
      <c r="F84" s="17"/>
      <c r="H84" s="17"/>
    </row>
    <row r="85" spans="6:8" ht="12.75">
      <c r="F85" s="17"/>
      <c r="H85" s="17"/>
    </row>
    <row r="86" spans="6:8" ht="12.75">
      <c r="F86" s="17"/>
      <c r="H86" s="17"/>
    </row>
    <row r="87" spans="6:8" ht="12.75">
      <c r="F87" s="17"/>
      <c r="H87" s="17"/>
    </row>
    <row r="88" spans="6:8" ht="12.75">
      <c r="F88" s="17"/>
      <c r="H88" s="17"/>
    </row>
    <row r="89" spans="6:8" ht="12.75">
      <c r="F89" s="17"/>
      <c r="H89" s="17"/>
    </row>
    <row r="90" spans="6:8" ht="12.75">
      <c r="F90" s="17"/>
      <c r="H90" s="17"/>
    </row>
    <row r="91" spans="6:8" ht="12.75">
      <c r="F91" s="17"/>
      <c r="H91" s="17"/>
    </row>
    <row r="92" spans="6:8" ht="12.75">
      <c r="F92" s="17"/>
      <c r="H92" s="17"/>
    </row>
    <row r="93" spans="6:8" ht="12.75">
      <c r="F93" s="17"/>
      <c r="H93" s="17"/>
    </row>
    <row r="94" spans="6:8" ht="12.75">
      <c r="F94" s="17"/>
      <c r="H94" s="17"/>
    </row>
    <row r="95" spans="6:8" ht="12.75">
      <c r="F95" s="17"/>
      <c r="H95" s="17"/>
    </row>
    <row r="96" spans="6:8" ht="12.75">
      <c r="F96" s="17"/>
      <c r="H96" s="17"/>
    </row>
    <row r="97" spans="6:8" ht="12.75">
      <c r="F97" s="17"/>
      <c r="H97" s="17"/>
    </row>
    <row r="98" spans="6:8" ht="12.75">
      <c r="F98" s="17"/>
      <c r="H98" s="17"/>
    </row>
    <row r="99" spans="6:8" ht="12.75">
      <c r="F99" s="17"/>
      <c r="H99" s="17"/>
    </row>
    <row r="100" spans="6:8" ht="12.75">
      <c r="F100" s="17"/>
      <c r="H100" s="17"/>
    </row>
    <row r="101" spans="6:8" ht="12.75">
      <c r="F101" s="17"/>
      <c r="H101" s="17"/>
    </row>
    <row r="102" spans="6:8" ht="12.75">
      <c r="F102" s="17"/>
      <c r="H102" s="17"/>
    </row>
    <row r="103" spans="6:8" ht="12.75">
      <c r="F103" s="17"/>
      <c r="H103" s="17"/>
    </row>
    <row r="104" spans="6:8" ht="12.75">
      <c r="F104" s="17"/>
      <c r="H104" s="17"/>
    </row>
    <row r="105" spans="6:8" ht="12.75">
      <c r="F105" s="17"/>
      <c r="H105" s="17"/>
    </row>
    <row r="106" spans="6:8" ht="12.75">
      <c r="F106" s="17"/>
      <c r="H106" s="17"/>
    </row>
    <row r="107" spans="6:8" ht="12.75">
      <c r="F107" s="17"/>
      <c r="H107" s="17"/>
    </row>
    <row r="108" spans="6:8" ht="12.75">
      <c r="F108" s="17"/>
      <c r="H108" s="17"/>
    </row>
    <row r="109" spans="6:8" ht="12.75">
      <c r="F109" s="17"/>
      <c r="H109" s="17"/>
    </row>
    <row r="110" spans="6:8" ht="12.75">
      <c r="F110" s="17"/>
      <c r="H110" s="17"/>
    </row>
    <row r="111" spans="6:8" ht="12.75">
      <c r="F111" s="17"/>
      <c r="H111" s="17"/>
    </row>
    <row r="112" spans="6:8" ht="12.75">
      <c r="F112" s="17"/>
      <c r="H112" s="17"/>
    </row>
    <row r="113" spans="6:8" ht="12.75">
      <c r="F113" s="17"/>
      <c r="H113" s="17"/>
    </row>
    <row r="114" spans="6:8" ht="12.75">
      <c r="F114" s="17"/>
      <c r="H114" s="17"/>
    </row>
    <row r="115" spans="6:8" ht="12.75">
      <c r="F115" s="17"/>
      <c r="H115" s="17"/>
    </row>
    <row r="116" spans="6:8" ht="12.75">
      <c r="F116" s="17"/>
      <c r="H116" s="17"/>
    </row>
    <row r="117" spans="6:8" ht="12.75">
      <c r="F117" s="17"/>
      <c r="H117" s="17"/>
    </row>
    <row r="118" spans="6:8" ht="12.75">
      <c r="F118" s="17"/>
      <c r="H118" s="17"/>
    </row>
    <row r="119" spans="6:8" ht="12.75">
      <c r="F119" s="17"/>
      <c r="H119" s="17"/>
    </row>
    <row r="120" spans="6:8" ht="12.75">
      <c r="F120" s="17"/>
      <c r="H120" s="17"/>
    </row>
    <row r="121" spans="6:8" ht="12.75">
      <c r="F121" s="17"/>
      <c r="H121" s="17"/>
    </row>
    <row r="122" spans="6:8" ht="12.75">
      <c r="F122" s="17"/>
      <c r="H122" s="17"/>
    </row>
    <row r="123" spans="6:8" ht="12.75">
      <c r="F123" s="17"/>
      <c r="H123" s="17"/>
    </row>
    <row r="124" spans="6:8" ht="12.75">
      <c r="F124" s="17"/>
      <c r="H124" s="17"/>
    </row>
    <row r="125" spans="6:8" ht="12.75">
      <c r="F125" s="17"/>
      <c r="H125" s="17"/>
    </row>
    <row r="126" spans="6:8" ht="12.75">
      <c r="F126" s="17"/>
      <c r="H126" s="17"/>
    </row>
    <row r="127" spans="6:8" ht="12.75">
      <c r="F127" s="17"/>
      <c r="H127" s="17"/>
    </row>
    <row r="128" spans="6:8" ht="12.75">
      <c r="F128" s="17"/>
      <c r="H128" s="17"/>
    </row>
    <row r="129" spans="6:8" ht="12.75">
      <c r="F129" s="17"/>
      <c r="H129" s="17"/>
    </row>
    <row r="130" spans="6:8" ht="12.75">
      <c r="F130" s="17"/>
      <c r="H130" s="17"/>
    </row>
    <row r="131" spans="6:8" ht="12.75">
      <c r="F131" s="17"/>
      <c r="H131" s="17"/>
    </row>
    <row r="132" spans="6:8" ht="12.75">
      <c r="F132" s="17"/>
      <c r="H132" s="17"/>
    </row>
    <row r="133" spans="6:8" ht="12.75">
      <c r="F133" s="17"/>
      <c r="H133" s="17"/>
    </row>
    <row r="134" spans="6:8" ht="12.75">
      <c r="F134" s="17"/>
      <c r="H134" s="17"/>
    </row>
    <row r="135" spans="6:8" ht="12.75">
      <c r="F135" s="17"/>
      <c r="H135" s="17"/>
    </row>
    <row r="136" spans="6:8" ht="12.75">
      <c r="F136" s="17"/>
      <c r="H136" s="17"/>
    </row>
    <row r="137" spans="6:8" ht="12.75">
      <c r="F137" s="17"/>
      <c r="H137" s="17"/>
    </row>
    <row r="138" spans="6:8" ht="12.75">
      <c r="F138" s="17"/>
      <c r="H138" s="17"/>
    </row>
    <row r="139" spans="6:8" ht="12.75">
      <c r="F139" s="17"/>
      <c r="H139" s="17"/>
    </row>
    <row r="140" spans="6:8" ht="12.75">
      <c r="F140" s="17"/>
      <c r="H140" s="17"/>
    </row>
    <row r="141" spans="6:8" ht="12.75">
      <c r="F141" s="17"/>
      <c r="H141" s="17"/>
    </row>
    <row r="142" spans="6:8" ht="12.75">
      <c r="F142" s="17"/>
      <c r="H142" s="17"/>
    </row>
    <row r="143" spans="6:8" ht="12.75">
      <c r="F143" s="17"/>
      <c r="H143" s="17"/>
    </row>
    <row r="144" spans="6:8" ht="12.75">
      <c r="F144" s="17"/>
      <c r="H144" s="17"/>
    </row>
    <row r="145" spans="6:8" ht="12.75">
      <c r="F145" s="17"/>
      <c r="H145" s="17"/>
    </row>
    <row r="146" spans="6:8" ht="12.75">
      <c r="F146" s="17"/>
      <c r="H146" s="17"/>
    </row>
    <row r="147" spans="6:8" ht="12.75">
      <c r="F147" s="17"/>
      <c r="H147" s="17"/>
    </row>
    <row r="148" spans="6:8" ht="12.75">
      <c r="F148" s="17"/>
      <c r="H148" s="17"/>
    </row>
    <row r="149" spans="6:8" ht="12.75">
      <c r="F149" s="17"/>
      <c r="H149" s="17"/>
    </row>
    <row r="150" spans="6:8" ht="12.75">
      <c r="F150" s="17"/>
      <c r="H150" s="17"/>
    </row>
    <row r="151" spans="6:8" ht="12.75">
      <c r="F151" s="17"/>
      <c r="H151" s="17"/>
    </row>
    <row r="152" spans="6:8" ht="12.75">
      <c r="F152" s="17"/>
      <c r="H152" s="17"/>
    </row>
    <row r="153" spans="6:8" ht="12.75">
      <c r="F153" s="17"/>
      <c r="H153" s="17"/>
    </row>
    <row r="154" spans="6:8" ht="12.75">
      <c r="F154" s="17"/>
      <c r="H154" s="17"/>
    </row>
    <row r="155" spans="6:8" ht="12.75">
      <c r="F155" s="17"/>
      <c r="H155" s="17"/>
    </row>
    <row r="156" spans="6:8" ht="12.75">
      <c r="F156" s="17"/>
      <c r="H156" s="17"/>
    </row>
    <row r="157" spans="6:8" ht="12.75">
      <c r="F157" s="17"/>
      <c r="H157" s="17"/>
    </row>
    <row r="158" spans="6:8" ht="12.75">
      <c r="F158" s="17"/>
      <c r="H158" s="17"/>
    </row>
    <row r="159" spans="6:8" ht="12.75">
      <c r="F159" s="17"/>
      <c r="H159" s="17"/>
    </row>
    <row r="160" spans="6:8" ht="12.75">
      <c r="F160" s="17"/>
      <c r="H160" s="17"/>
    </row>
    <row r="161" spans="6:8" ht="12.75">
      <c r="F161" s="17"/>
      <c r="H161" s="17"/>
    </row>
    <row r="162" spans="6:8" ht="12.75">
      <c r="F162" s="17"/>
      <c r="H162" s="17"/>
    </row>
    <row r="163" spans="6:8" ht="12.75">
      <c r="F163" s="17"/>
      <c r="H163" s="17"/>
    </row>
    <row r="164" spans="6:8" ht="12.75">
      <c r="F164" s="17"/>
      <c r="H164" s="17"/>
    </row>
    <row r="165" spans="6:8" ht="12.75">
      <c r="F165" s="17"/>
      <c r="H165" s="17"/>
    </row>
    <row r="166" spans="6:8" ht="12.75">
      <c r="F166" s="17"/>
      <c r="H166" s="17"/>
    </row>
    <row r="167" spans="6:8" ht="12.75">
      <c r="F167" s="17"/>
      <c r="H167" s="17"/>
    </row>
    <row r="168" spans="6:8" ht="12.75">
      <c r="F168" s="17"/>
      <c r="H168" s="17"/>
    </row>
    <row r="169" spans="6:8" ht="12.75">
      <c r="F169" s="17"/>
      <c r="H169" s="17"/>
    </row>
    <row r="170" spans="6:8" ht="12.75">
      <c r="F170" s="17"/>
      <c r="H170" s="17"/>
    </row>
    <row r="171" spans="6:8" ht="12.75">
      <c r="F171" s="17"/>
      <c r="H171" s="17"/>
    </row>
    <row r="172" spans="6:8" ht="12.75">
      <c r="F172" s="17"/>
      <c r="H172" s="17"/>
    </row>
    <row r="173" spans="6:8" ht="12.75">
      <c r="F173" s="17"/>
      <c r="H173" s="17"/>
    </row>
    <row r="174" spans="6:8" ht="12.75">
      <c r="F174" s="17"/>
      <c r="H174" s="17"/>
    </row>
    <row r="175" spans="6:8" ht="12.75">
      <c r="F175" s="17"/>
      <c r="H175" s="17"/>
    </row>
    <row r="176" spans="6:8" ht="12.75">
      <c r="F176" s="17"/>
      <c r="H176" s="17"/>
    </row>
    <row r="177" spans="6:8" ht="12.75">
      <c r="F177" s="17"/>
      <c r="H177" s="17"/>
    </row>
    <row r="178" spans="6:8" ht="12.75">
      <c r="F178" s="17"/>
      <c r="H178" s="17"/>
    </row>
    <row r="179" spans="6:8" ht="12.75">
      <c r="F179" s="17"/>
      <c r="H179" s="17"/>
    </row>
    <row r="180" spans="6:8" ht="12.75">
      <c r="F180" s="17"/>
      <c r="H180" s="17"/>
    </row>
    <row r="181" spans="6:8" ht="12.75">
      <c r="F181" s="17"/>
      <c r="H181" s="17"/>
    </row>
    <row r="182" spans="6:8" ht="12.75">
      <c r="F182" s="17"/>
      <c r="H182" s="17"/>
    </row>
    <row r="183" spans="6:8" ht="12.75">
      <c r="F183" s="17"/>
      <c r="H183" s="17"/>
    </row>
    <row r="184" spans="6:8" ht="12.75">
      <c r="F184" s="17"/>
      <c r="H184" s="17"/>
    </row>
    <row r="185" spans="6:8" ht="12.75">
      <c r="F185" s="17"/>
      <c r="H185" s="17"/>
    </row>
    <row r="186" spans="6:8" ht="12.75">
      <c r="F186" s="17"/>
      <c r="H186" s="17"/>
    </row>
    <row r="187" spans="6:8" ht="12.75">
      <c r="F187" s="17"/>
      <c r="H187" s="17"/>
    </row>
    <row r="188" spans="6:8" ht="12.75">
      <c r="F188" s="17"/>
      <c r="H188" s="17"/>
    </row>
    <row r="189" spans="6:8" ht="12.75">
      <c r="F189" s="17"/>
      <c r="H189" s="17"/>
    </row>
    <row r="190" spans="6:8" ht="12.75">
      <c r="F190" s="17"/>
      <c r="H190" s="17"/>
    </row>
    <row r="191" spans="6:8" ht="12.75">
      <c r="F191" s="17"/>
      <c r="H191" s="17"/>
    </row>
    <row r="192" spans="6:8" ht="12.75">
      <c r="F192" s="17"/>
      <c r="H192" s="17"/>
    </row>
    <row r="193" spans="6:8" ht="12.75">
      <c r="F193" s="17"/>
      <c r="H193" s="17"/>
    </row>
    <row r="194" spans="6:8" ht="12.75">
      <c r="F194" s="17"/>
      <c r="H194" s="17"/>
    </row>
    <row r="195" spans="6:8" ht="12.75">
      <c r="F195" s="17"/>
      <c r="H195" s="17"/>
    </row>
    <row r="196" spans="6:8" ht="12.75">
      <c r="F196" s="17"/>
      <c r="H196" s="17"/>
    </row>
    <row r="197" spans="6:8" ht="12.75">
      <c r="F197" s="17"/>
      <c r="H197" s="17"/>
    </row>
    <row r="198" spans="6:8" ht="12.75">
      <c r="F198" s="17"/>
      <c r="H198" s="17"/>
    </row>
    <row r="199" spans="6:8" ht="12.75">
      <c r="F199" s="17"/>
      <c r="H199" s="17"/>
    </row>
    <row r="200" spans="6:8" ht="12.75">
      <c r="F200" s="17"/>
      <c r="H200" s="17"/>
    </row>
    <row r="201" spans="6:8" ht="12.75">
      <c r="F201" s="17"/>
      <c r="H201" s="17"/>
    </row>
    <row r="202" spans="6:8" ht="12.75">
      <c r="F202" s="17"/>
      <c r="H202" s="17"/>
    </row>
    <row r="203" spans="6:8" ht="12.75">
      <c r="F203" s="17"/>
      <c r="H203" s="17"/>
    </row>
    <row r="204" spans="6:8" ht="12.75">
      <c r="F204" s="17"/>
      <c r="H204" s="17"/>
    </row>
    <row r="205" spans="6:8" ht="12.75">
      <c r="F205" s="17"/>
      <c r="H205" s="17"/>
    </row>
    <row r="206" spans="6:8" ht="12.75">
      <c r="F206" s="17"/>
      <c r="H206" s="17"/>
    </row>
    <row r="207" spans="6:8" ht="12.75">
      <c r="F207" s="17"/>
      <c r="H207" s="17"/>
    </row>
    <row r="208" spans="6:8" ht="12.75">
      <c r="F208" s="17"/>
      <c r="H208" s="17"/>
    </row>
    <row r="209" spans="6:8" ht="12.75">
      <c r="F209" s="17"/>
      <c r="H209" s="17"/>
    </row>
    <row r="210" spans="6:8" ht="12.75">
      <c r="F210" s="17"/>
      <c r="H210" s="17"/>
    </row>
    <row r="211" spans="6:8" ht="12.75">
      <c r="F211" s="17"/>
      <c r="H211" s="17"/>
    </row>
    <row r="212" spans="6:8" ht="12.75">
      <c r="F212" s="17"/>
      <c r="H212" s="17"/>
    </row>
    <row r="213" spans="6:8" ht="12.75">
      <c r="F213" s="17"/>
      <c r="H213" s="17"/>
    </row>
    <row r="214" spans="6:8" ht="12.75">
      <c r="F214" s="17"/>
      <c r="H214" s="17"/>
    </row>
    <row r="215" spans="6:8" ht="12.75">
      <c r="F215" s="17"/>
      <c r="H215" s="17"/>
    </row>
    <row r="216" spans="6:8" ht="12.75">
      <c r="F216" s="17"/>
      <c r="H216" s="17"/>
    </row>
    <row r="217" spans="6:8" ht="12.75">
      <c r="F217" s="17"/>
      <c r="H217" s="17"/>
    </row>
    <row r="218" spans="6:8" ht="12.75">
      <c r="F218" s="17"/>
      <c r="H218" s="17"/>
    </row>
    <row r="219" spans="6:8" ht="12.75">
      <c r="F219" s="17"/>
      <c r="H219" s="17"/>
    </row>
    <row r="220" spans="6:8" ht="12.75">
      <c r="F220" s="17"/>
      <c r="H220" s="17"/>
    </row>
    <row r="221" spans="6:8" ht="12.75">
      <c r="F221" s="17"/>
      <c r="H221" s="17"/>
    </row>
    <row r="222" spans="6:8" ht="12.75">
      <c r="F222" s="17"/>
      <c r="H222" s="17"/>
    </row>
    <row r="223" spans="6:8" ht="12.75">
      <c r="F223" s="17"/>
      <c r="H223" s="17"/>
    </row>
    <row r="224" spans="6:8" ht="12.75">
      <c r="F224" s="17"/>
      <c r="H224" s="17"/>
    </row>
    <row r="225" spans="6:8" ht="12.75">
      <c r="F225" s="17"/>
      <c r="H225" s="17"/>
    </row>
    <row r="226" spans="6:8" ht="12.75">
      <c r="F226" s="17"/>
      <c r="H226" s="17"/>
    </row>
    <row r="227" spans="6:8" ht="12.75">
      <c r="F227" s="17"/>
      <c r="H227" s="17"/>
    </row>
    <row r="228" spans="6:8" ht="12.75">
      <c r="F228" s="17"/>
      <c r="H228" s="17"/>
    </row>
    <row r="229" spans="6:8" ht="12.75">
      <c r="F229" s="17"/>
      <c r="H229" s="17"/>
    </row>
    <row r="230" spans="6:8" ht="12.75">
      <c r="F230" s="17"/>
      <c r="H230" s="17"/>
    </row>
    <row r="231" spans="6:8" ht="12.75">
      <c r="F231" s="17"/>
      <c r="H231" s="17"/>
    </row>
    <row r="232" spans="6:8" ht="12.75">
      <c r="F232" s="17"/>
      <c r="H232" s="17"/>
    </row>
    <row r="233" spans="6:8" ht="12.75">
      <c r="F233" s="17"/>
      <c r="H233" s="17"/>
    </row>
    <row r="234" spans="6:8" ht="12.75">
      <c r="F234" s="17"/>
      <c r="H234" s="17"/>
    </row>
    <row r="235" spans="6:8" ht="12.75">
      <c r="F235" s="17"/>
      <c r="H235" s="17"/>
    </row>
    <row r="236" spans="6:8" ht="12.75">
      <c r="F236" s="17"/>
      <c r="H236" s="17"/>
    </row>
    <row r="237" spans="6:8" ht="12.75">
      <c r="F237" s="17"/>
      <c r="H237" s="17"/>
    </row>
    <row r="238" spans="6:8" ht="12.75">
      <c r="F238" s="17"/>
      <c r="H238" s="17"/>
    </row>
    <row r="239" spans="6:8" ht="12.75">
      <c r="F239" s="17"/>
      <c r="H239" s="17"/>
    </row>
    <row r="240" spans="6:8" ht="12.75">
      <c r="F240" s="17"/>
      <c r="H240" s="17"/>
    </row>
    <row r="241" spans="6:8" ht="12.75">
      <c r="F241" s="17"/>
      <c r="H241" s="17"/>
    </row>
    <row r="242" spans="6:8" ht="12.75">
      <c r="F242" s="17"/>
      <c r="H242" s="17"/>
    </row>
    <row r="243" spans="6:8" ht="12.75">
      <c r="F243" s="17"/>
      <c r="H243" s="17"/>
    </row>
    <row r="244" spans="6:8" ht="12.75">
      <c r="F244" s="17"/>
      <c r="H244" s="17"/>
    </row>
    <row r="245" spans="6:8" ht="12.75">
      <c r="F245" s="17"/>
      <c r="H245" s="17"/>
    </row>
    <row r="246" spans="6:8" ht="12.75">
      <c r="F246" s="17"/>
      <c r="H246" s="17"/>
    </row>
    <row r="247" spans="6:8" ht="12.75">
      <c r="F247" s="17"/>
      <c r="H247" s="17"/>
    </row>
    <row r="248" spans="6:8" ht="12.75">
      <c r="F248" s="17"/>
      <c r="H248" s="17"/>
    </row>
    <row r="249" spans="6:8" ht="12.75">
      <c r="F249" s="17"/>
      <c r="H249" s="17"/>
    </row>
    <row r="250" spans="6:8" ht="12.75">
      <c r="F250" s="17"/>
      <c r="H250" s="17"/>
    </row>
    <row r="251" spans="6:8" ht="12.75">
      <c r="F251" s="17"/>
      <c r="H251" s="17"/>
    </row>
    <row r="252" spans="6:8" ht="12.75">
      <c r="F252" s="17"/>
      <c r="H252" s="17"/>
    </row>
    <row r="253" spans="6:8" ht="12.75">
      <c r="F253" s="17"/>
      <c r="H253" s="17"/>
    </row>
    <row r="254" spans="6:8" ht="12.75">
      <c r="F254" s="17"/>
      <c r="H254" s="17"/>
    </row>
    <row r="255" spans="6:8" ht="12.75">
      <c r="F255" s="17"/>
      <c r="H255" s="17"/>
    </row>
    <row r="256" spans="6:8" ht="12.75">
      <c r="F256" s="17"/>
      <c r="H256" s="17"/>
    </row>
    <row r="257" spans="6:8" ht="12.75">
      <c r="F257" s="17"/>
      <c r="H257" s="17"/>
    </row>
    <row r="258" spans="6:8" ht="12.75">
      <c r="F258" s="17"/>
      <c r="H258" s="17"/>
    </row>
    <row r="259" spans="6:8" ht="12.75">
      <c r="F259" s="17"/>
      <c r="H259" s="17"/>
    </row>
    <row r="260" spans="6:8" ht="12.75">
      <c r="F260" s="17"/>
      <c r="H260" s="17"/>
    </row>
    <row r="261" spans="6:8" ht="12.75">
      <c r="F261" s="17"/>
      <c r="H261" s="17"/>
    </row>
    <row r="262" spans="6:8" ht="12.75">
      <c r="F262" s="17"/>
      <c r="H262" s="17"/>
    </row>
    <row r="263" spans="6:8" ht="12.75">
      <c r="F263" s="17"/>
      <c r="H263" s="17"/>
    </row>
    <row r="264" spans="6:8" ht="12.75">
      <c r="F264" s="17"/>
      <c r="H264" s="17"/>
    </row>
    <row r="265" spans="6:8" ht="12.75">
      <c r="F265" s="17"/>
      <c r="H265" s="17"/>
    </row>
    <row r="266" spans="6:8" ht="12.75">
      <c r="F266" s="17"/>
      <c r="H266" s="17"/>
    </row>
    <row r="267" spans="6:8" ht="12.75">
      <c r="F267" s="17"/>
      <c r="H267" s="17"/>
    </row>
    <row r="268" spans="6:8" ht="12.75">
      <c r="F268" s="17"/>
      <c r="H268" s="17"/>
    </row>
    <row r="269" spans="6:8" ht="12.75">
      <c r="F269" s="17"/>
      <c r="H269" s="17"/>
    </row>
    <row r="270" spans="6:8" ht="12.75">
      <c r="F270" s="17"/>
      <c r="H270" s="17"/>
    </row>
    <row r="271" spans="6:8" ht="12.75">
      <c r="F271" s="17"/>
      <c r="H271" s="17"/>
    </row>
    <row r="272" spans="6:8" ht="12.75">
      <c r="F272" s="17"/>
      <c r="H272" s="17"/>
    </row>
    <row r="273" spans="6:8" ht="12.75">
      <c r="F273" s="17"/>
      <c r="H273" s="17"/>
    </row>
    <row r="274" spans="6:8" ht="12.75">
      <c r="F274" s="17"/>
      <c r="H274" s="17"/>
    </row>
    <row r="275" spans="6:8" ht="12.75">
      <c r="F275" s="17"/>
      <c r="H275" s="17"/>
    </row>
    <row r="276" spans="6:8" ht="12.75">
      <c r="F276" s="17"/>
      <c r="H276" s="17"/>
    </row>
    <row r="277" spans="6:8" ht="12.75">
      <c r="F277" s="17"/>
      <c r="H277" s="17"/>
    </row>
    <row r="278" spans="6:8" ht="12.75">
      <c r="F278" s="17"/>
      <c r="H278" s="17"/>
    </row>
    <row r="279" spans="6:8" ht="12.75">
      <c r="F279" s="17"/>
      <c r="H279" s="17"/>
    </row>
    <row r="280" spans="6:8" ht="12.75">
      <c r="F280" s="17"/>
      <c r="H280" s="17"/>
    </row>
    <row r="281" spans="6:8" ht="12.75">
      <c r="F281" s="17"/>
      <c r="H281" s="17"/>
    </row>
    <row r="282" spans="6:8" ht="12.75">
      <c r="F282" s="17"/>
      <c r="H282" s="17"/>
    </row>
    <row r="283" spans="6:8" ht="12.75">
      <c r="F283" s="17"/>
      <c r="H283" s="17"/>
    </row>
    <row r="284" spans="6:8" ht="12.75">
      <c r="F284" s="17"/>
      <c r="H284" s="17"/>
    </row>
    <row r="285" spans="6:8" ht="12.75">
      <c r="F285" s="17"/>
      <c r="H285" s="17"/>
    </row>
    <row r="286" spans="6:8" ht="12.75">
      <c r="F286" s="17"/>
      <c r="H286" s="17"/>
    </row>
    <row r="287" spans="6:8" ht="12.75">
      <c r="F287" s="17"/>
      <c r="H287" s="17"/>
    </row>
    <row r="288" spans="6:8" ht="12.75">
      <c r="F288" s="17"/>
      <c r="H288" s="17"/>
    </row>
    <row r="289" spans="6:8" ht="12.75">
      <c r="F289" s="17"/>
      <c r="H289" s="17"/>
    </row>
    <row r="290" spans="6:8" ht="12.75">
      <c r="F290" s="17"/>
      <c r="H290" s="17"/>
    </row>
    <row r="291" spans="6:8" ht="12.75">
      <c r="F291" s="17"/>
      <c r="H291" s="17"/>
    </row>
    <row r="292" spans="6:8" ht="12.75">
      <c r="F292" s="17"/>
      <c r="H292" s="17"/>
    </row>
    <row r="293" spans="6:8" ht="12.75">
      <c r="F293" s="17"/>
      <c r="H293" s="17"/>
    </row>
    <row r="294" spans="6:8" ht="12.75">
      <c r="F294" s="17"/>
      <c r="H294" s="17"/>
    </row>
    <row r="295" spans="6:8" ht="12.75">
      <c r="F295" s="17"/>
      <c r="H295" s="17"/>
    </row>
    <row r="296" spans="6:8" ht="12.75">
      <c r="F296" s="17"/>
      <c r="H296" s="17"/>
    </row>
    <row r="297" spans="6:8" ht="12.75">
      <c r="F297" s="17"/>
      <c r="H297" s="17"/>
    </row>
    <row r="298" spans="6:8" ht="12.75">
      <c r="F298" s="17"/>
      <c r="H298" s="17"/>
    </row>
    <row r="299" spans="6:8" ht="12.75">
      <c r="F299" s="17"/>
      <c r="H299" s="17"/>
    </row>
    <row r="300" spans="6:8" ht="12.75">
      <c r="F300" s="17"/>
      <c r="H300" s="17"/>
    </row>
    <row r="301" spans="6:8" ht="12.75">
      <c r="F301" s="17"/>
      <c r="H301" s="17"/>
    </row>
    <row r="302" spans="6:8" ht="12.75">
      <c r="F302" s="17"/>
      <c r="H302" s="17"/>
    </row>
    <row r="303" spans="6:8" ht="12.75">
      <c r="F303" s="17"/>
      <c r="H303" s="17"/>
    </row>
    <row r="304" spans="6:8" ht="12.75">
      <c r="F304" s="17"/>
      <c r="H304" s="17"/>
    </row>
    <row r="305" spans="6:8" ht="12.75">
      <c r="F305" s="17"/>
      <c r="H305" s="17"/>
    </row>
    <row r="306" spans="6:8" ht="12.75">
      <c r="F306" s="17"/>
      <c r="H306" s="17"/>
    </row>
    <row r="307" spans="6:8" ht="12.75">
      <c r="F307" s="17"/>
      <c r="H307" s="17"/>
    </row>
    <row r="308" spans="6:8" ht="12.75">
      <c r="F308" s="17"/>
      <c r="H308" s="17"/>
    </row>
    <row r="309" spans="6:8" ht="12.75">
      <c r="F309" s="17"/>
      <c r="H309" s="17"/>
    </row>
    <row r="310" spans="6:8" ht="12.75">
      <c r="F310" s="17"/>
      <c r="H310" s="17"/>
    </row>
    <row r="311" spans="6:8" ht="12.75">
      <c r="F311" s="17"/>
      <c r="H311" s="17"/>
    </row>
    <row r="312" spans="6:8" ht="12.75">
      <c r="F312" s="17"/>
      <c r="H312" s="17"/>
    </row>
    <row r="313" spans="6:8" ht="12.75">
      <c r="F313" s="17"/>
      <c r="H313" s="17"/>
    </row>
    <row r="314" spans="6:8" ht="12.75">
      <c r="F314" s="17"/>
      <c r="H314" s="17"/>
    </row>
    <row r="315" spans="6:8" ht="12.75">
      <c r="F315" s="17"/>
      <c r="H315" s="17"/>
    </row>
    <row r="316" spans="6:8" ht="12.75">
      <c r="F316" s="17"/>
      <c r="H316" s="17"/>
    </row>
    <row r="317" spans="6:8" ht="12.75">
      <c r="F317" s="17"/>
      <c r="H317" s="17"/>
    </row>
    <row r="318" spans="6:8" ht="12.75">
      <c r="F318" s="17"/>
      <c r="H318" s="17"/>
    </row>
    <row r="319" spans="6:8" ht="12.75">
      <c r="F319" s="17"/>
      <c r="H319" s="17"/>
    </row>
    <row r="320" spans="6:8" ht="12.75">
      <c r="F320" s="17"/>
      <c r="H320" s="17"/>
    </row>
    <row r="321" spans="6:8" ht="12.75">
      <c r="F321" s="17"/>
      <c r="H321" s="17"/>
    </row>
    <row r="322" spans="6:8" ht="12.75">
      <c r="F322" s="17"/>
      <c r="H322" s="17"/>
    </row>
    <row r="323" spans="6:8" ht="12.75">
      <c r="F323" s="17"/>
      <c r="H323" s="17"/>
    </row>
    <row r="324" spans="6:8" ht="12.75">
      <c r="F324" s="17"/>
      <c r="H324" s="17"/>
    </row>
    <row r="325" spans="6:8" ht="12.75">
      <c r="F325" s="17"/>
      <c r="H325" s="17"/>
    </row>
    <row r="326" spans="6:8" ht="12.75">
      <c r="F326" s="17"/>
      <c r="H326" s="17"/>
    </row>
    <row r="327" spans="6:8" ht="12.75">
      <c r="F327" s="17"/>
      <c r="H327" s="17"/>
    </row>
    <row r="328" spans="6:8" ht="12.75">
      <c r="F328" s="17"/>
      <c r="H328" s="17"/>
    </row>
    <row r="329" spans="6:8" ht="12.75">
      <c r="F329" s="17"/>
      <c r="H329" s="17"/>
    </row>
    <row r="330" spans="6:8" ht="12.75">
      <c r="F330" s="17"/>
      <c r="H330" s="17"/>
    </row>
    <row r="331" spans="6:8" ht="12.75">
      <c r="F331" s="17"/>
      <c r="H331" s="17"/>
    </row>
    <row r="332" spans="6:8" ht="12.75">
      <c r="F332" s="17"/>
      <c r="H332" s="17"/>
    </row>
    <row r="333" spans="6:8" ht="12.75">
      <c r="F333" s="17"/>
      <c r="H333" s="17"/>
    </row>
    <row r="334" spans="6:8" ht="12.75">
      <c r="F334" s="17"/>
      <c r="H334" s="17"/>
    </row>
    <row r="335" spans="6:8" ht="12.75">
      <c r="F335" s="17"/>
      <c r="H335" s="17"/>
    </row>
    <row r="336" spans="6:8" ht="12.75">
      <c r="F336" s="17"/>
      <c r="H336" s="17"/>
    </row>
    <row r="337" spans="6:8" ht="12.75">
      <c r="F337" s="17"/>
      <c r="H337" s="17"/>
    </row>
    <row r="338" spans="6:8" ht="12.75">
      <c r="F338" s="17"/>
      <c r="H338" s="17"/>
    </row>
    <row r="339" spans="6:8" ht="12.75">
      <c r="F339" s="17"/>
      <c r="H339" s="17"/>
    </row>
    <row r="340" spans="6:8" ht="12.75">
      <c r="F340" s="17"/>
      <c r="H340" s="17"/>
    </row>
    <row r="341" spans="6:8" ht="12.75">
      <c r="F341" s="17"/>
      <c r="H341" s="17"/>
    </row>
    <row r="342" spans="6:8" ht="12.75">
      <c r="F342" s="17"/>
      <c r="H342" s="17"/>
    </row>
    <row r="343" spans="6:8" ht="12.75">
      <c r="F343" s="17"/>
      <c r="H343" s="17"/>
    </row>
    <row r="344" spans="6:8" ht="12.75">
      <c r="F344" s="17"/>
      <c r="H344" s="17"/>
    </row>
    <row r="345" spans="6:8" ht="12.75">
      <c r="F345" s="17"/>
      <c r="H345" s="17"/>
    </row>
    <row r="346" spans="6:8" ht="12.75">
      <c r="F346" s="17"/>
      <c r="H346" s="17"/>
    </row>
    <row r="347" spans="6:8" ht="12.75">
      <c r="F347" s="17"/>
      <c r="H347" s="17"/>
    </row>
    <row r="348" spans="6:8" ht="12.75">
      <c r="F348" s="17"/>
      <c r="H348" s="17"/>
    </row>
    <row r="349" spans="6:8" ht="12.75">
      <c r="F349" s="17"/>
      <c r="H349" s="17"/>
    </row>
    <row r="350" spans="6:8" ht="12.75">
      <c r="F350" s="17"/>
      <c r="H350" s="17"/>
    </row>
    <row r="351" spans="6:8" ht="12.75">
      <c r="F351" s="17"/>
      <c r="H351" s="17"/>
    </row>
    <row r="352" spans="6:8" ht="12.75">
      <c r="F352" s="17"/>
      <c r="H352" s="17"/>
    </row>
    <row r="353" spans="6:8" ht="12.75">
      <c r="F353" s="17"/>
      <c r="H353" s="17"/>
    </row>
    <row r="354" spans="6:8" ht="12.75">
      <c r="F354" s="17"/>
      <c r="H354" s="17"/>
    </row>
    <row r="355" spans="6:8" ht="12.75">
      <c r="F355" s="17"/>
      <c r="H355" s="17"/>
    </row>
    <row r="356" spans="6:8" ht="12.75">
      <c r="F356" s="17"/>
      <c r="H356" s="17"/>
    </row>
    <row r="357" spans="6:8" ht="12.75">
      <c r="F357" s="17"/>
      <c r="H357" s="17"/>
    </row>
    <row r="358" spans="6:8" ht="12.75">
      <c r="F358" s="17"/>
      <c r="H358" s="17"/>
    </row>
    <row r="359" spans="6:8" ht="12.75">
      <c r="F359" s="17"/>
      <c r="H359" s="17"/>
    </row>
    <row r="360" spans="6:8" ht="12.75">
      <c r="F360" s="17"/>
      <c r="H360" s="17"/>
    </row>
    <row r="361" spans="6:8" ht="12.75">
      <c r="F361" s="17"/>
      <c r="H361" s="17"/>
    </row>
    <row r="362" spans="6:8" ht="12.75">
      <c r="F362" s="17"/>
      <c r="H362" s="17"/>
    </row>
    <row r="363" spans="6:8" ht="12.75">
      <c r="F363" s="17"/>
      <c r="H363" s="17"/>
    </row>
    <row r="364" spans="6:8" ht="12.75">
      <c r="F364" s="17"/>
      <c r="H364" s="17"/>
    </row>
    <row r="365" spans="6:8" ht="12.75">
      <c r="F365" s="17"/>
      <c r="H365" s="17"/>
    </row>
    <row r="366" spans="6:8" ht="12.75">
      <c r="F366" s="17"/>
      <c r="H366" s="17"/>
    </row>
    <row r="367" spans="6:8" ht="12.75">
      <c r="F367" s="17"/>
      <c r="H367" s="17"/>
    </row>
    <row r="368" spans="6:8" ht="12.75">
      <c r="F368" s="17"/>
      <c r="H368" s="17"/>
    </row>
    <row r="369" spans="6:8" ht="12.75">
      <c r="F369" s="17"/>
      <c r="H369" s="17"/>
    </row>
    <row r="370" spans="6:8" ht="12.75">
      <c r="F370" s="17"/>
      <c r="H370" s="17"/>
    </row>
    <row r="371" spans="6:8" ht="12.75">
      <c r="F371" s="17"/>
      <c r="H371" s="17"/>
    </row>
    <row r="372" spans="6:8" ht="12.75">
      <c r="F372" s="17"/>
      <c r="H372" s="17"/>
    </row>
    <row r="373" spans="6:8" ht="12.75">
      <c r="F373" s="17"/>
      <c r="H373" s="17"/>
    </row>
    <row r="374" spans="6:8" ht="12.75">
      <c r="F374" s="17"/>
      <c r="H374" s="17"/>
    </row>
    <row r="375" spans="6:8" ht="12.75">
      <c r="F375" s="17"/>
      <c r="H375" s="17"/>
    </row>
    <row r="376" spans="6:8" ht="12.75">
      <c r="F376" s="17"/>
      <c r="H376" s="17"/>
    </row>
    <row r="377" spans="6:8" ht="12.75">
      <c r="F377" s="17"/>
      <c r="H377" s="17"/>
    </row>
    <row r="378" spans="6:8" ht="12.75">
      <c r="F378" s="17"/>
      <c r="H378" s="17"/>
    </row>
    <row r="379" spans="6:8" ht="12.75">
      <c r="F379" s="17"/>
      <c r="H379" s="17"/>
    </row>
    <row r="380" spans="6:8" ht="12.75">
      <c r="F380" s="17"/>
      <c r="H380" s="17"/>
    </row>
    <row r="381" spans="6:8" ht="12.75">
      <c r="F381" s="17"/>
      <c r="H381" s="17"/>
    </row>
    <row r="382" spans="6:8" ht="12.75">
      <c r="F382" s="17"/>
      <c r="H382" s="17"/>
    </row>
    <row r="383" spans="6:8" ht="12.75">
      <c r="F383" s="17"/>
      <c r="H383" s="17"/>
    </row>
    <row r="384" spans="6:8" ht="12.75">
      <c r="F384" s="17"/>
      <c r="H384" s="17"/>
    </row>
    <row r="385" spans="6:8" ht="12.75">
      <c r="F385" s="17"/>
      <c r="H385" s="17"/>
    </row>
    <row r="386" spans="6:8" ht="12.75">
      <c r="F386" s="17"/>
      <c r="H386" s="17"/>
    </row>
    <row r="387" spans="6:8" ht="12.75">
      <c r="F387" s="17"/>
      <c r="H387" s="17"/>
    </row>
    <row r="388" spans="6:8" ht="12.75">
      <c r="F388" s="17"/>
      <c r="H388" s="17"/>
    </row>
    <row r="389" spans="6:8" ht="12.75">
      <c r="F389" s="17"/>
      <c r="H389" s="17"/>
    </row>
    <row r="390" spans="6:8" ht="12.75">
      <c r="F390" s="17"/>
      <c r="H390" s="17"/>
    </row>
    <row r="391" spans="6:8" ht="12.75">
      <c r="F391" s="17"/>
      <c r="H391" s="17"/>
    </row>
    <row r="392" spans="6:8" ht="12.75">
      <c r="F392" s="17"/>
      <c r="H392" s="17"/>
    </row>
    <row r="393" spans="6:8" ht="12.75">
      <c r="F393" s="17"/>
      <c r="H393" s="17"/>
    </row>
    <row r="394" spans="6:8" ht="12.75">
      <c r="F394" s="17"/>
      <c r="H394" s="17"/>
    </row>
    <row r="395" spans="6:8" ht="12.75">
      <c r="F395" s="17"/>
      <c r="H395" s="17"/>
    </row>
    <row r="396" spans="6:8" ht="12.75">
      <c r="F396" s="17"/>
      <c r="H396" s="17"/>
    </row>
    <row r="397" spans="6:8" ht="12.75">
      <c r="F397" s="17"/>
      <c r="H397" s="17"/>
    </row>
    <row r="398" spans="6:8" ht="12.75">
      <c r="F398" s="17"/>
      <c r="H398" s="17"/>
    </row>
    <row r="399" spans="6:8" ht="12.75">
      <c r="F399" s="17"/>
      <c r="H399" s="17"/>
    </row>
    <row r="400" spans="6:8" ht="12.75">
      <c r="F400" s="17"/>
      <c r="H400" s="17"/>
    </row>
    <row r="401" spans="6:8" ht="12.75">
      <c r="F401" s="17"/>
      <c r="H401" s="17"/>
    </row>
    <row r="402" spans="6:8" ht="12.75">
      <c r="F402" s="17"/>
      <c r="H402" s="17"/>
    </row>
    <row r="403" spans="6:8" ht="12.75">
      <c r="F403" s="17"/>
      <c r="H403" s="17"/>
    </row>
    <row r="404" spans="6:8" ht="12.75">
      <c r="F404" s="17"/>
      <c r="H404" s="17"/>
    </row>
    <row r="405" spans="6:8" ht="12.75">
      <c r="F405" s="17"/>
      <c r="H405" s="17"/>
    </row>
    <row r="406" spans="6:8" ht="12.75">
      <c r="F406" s="17"/>
      <c r="H406" s="17"/>
    </row>
    <row r="407" spans="6:8" ht="12.75">
      <c r="F407" s="17"/>
      <c r="H407" s="17"/>
    </row>
    <row r="408" spans="6:8" ht="12.75">
      <c r="F408" s="17"/>
      <c r="H408" s="17"/>
    </row>
    <row r="409" spans="6:8" ht="12.75">
      <c r="F409" s="17"/>
      <c r="H409" s="17"/>
    </row>
    <row r="410" spans="6:8" ht="12.75">
      <c r="F410" s="17"/>
      <c r="H410" s="17"/>
    </row>
    <row r="411" spans="6:8" ht="12.75">
      <c r="F411" s="17"/>
      <c r="H411" s="17"/>
    </row>
    <row r="412" spans="6:8" ht="12.75">
      <c r="F412" s="17"/>
      <c r="H412" s="17"/>
    </row>
    <row r="413" spans="6:8" ht="12.75">
      <c r="F413" s="17"/>
      <c r="H413" s="17"/>
    </row>
    <row r="414" spans="6:8" ht="12.75">
      <c r="F414" s="17"/>
      <c r="H414" s="17"/>
    </row>
    <row r="415" spans="6:8" ht="12.75">
      <c r="F415" s="17"/>
      <c r="H415" s="17"/>
    </row>
    <row r="416" spans="6:8" ht="12.75">
      <c r="F416" s="17"/>
      <c r="H416" s="17"/>
    </row>
    <row r="417" spans="6:8" ht="12.75">
      <c r="F417" s="17"/>
      <c r="H417" s="17"/>
    </row>
    <row r="418" spans="6:8" ht="12.75">
      <c r="F418" s="17"/>
      <c r="H418" s="17"/>
    </row>
    <row r="419" spans="6:8" ht="12.75">
      <c r="F419" s="17"/>
      <c r="H419" s="17"/>
    </row>
    <row r="420" spans="6:8" ht="12.75">
      <c r="F420" s="17"/>
      <c r="H420" s="17"/>
    </row>
    <row r="421" spans="6:8" ht="12.75">
      <c r="F421" s="17"/>
      <c r="H421" s="17"/>
    </row>
    <row r="422" spans="6:8" ht="12.75">
      <c r="F422" s="17"/>
      <c r="H422" s="17"/>
    </row>
    <row r="423" spans="6:8" ht="12.75">
      <c r="F423" s="17"/>
      <c r="H423" s="17"/>
    </row>
    <row r="424" spans="6:8" ht="12.75">
      <c r="F424" s="17"/>
      <c r="H424" s="17"/>
    </row>
    <row r="425" spans="6:8" ht="12.75">
      <c r="F425" s="17"/>
      <c r="H425" s="17"/>
    </row>
    <row r="426" spans="6:8" ht="12.75">
      <c r="F426" s="17"/>
      <c r="H426" s="17"/>
    </row>
    <row r="427" spans="6:8" ht="12.75">
      <c r="F427" s="17"/>
      <c r="H427" s="17"/>
    </row>
    <row r="428" spans="6:8" ht="12.75">
      <c r="F428" s="17"/>
      <c r="H428" s="17"/>
    </row>
    <row r="429" spans="6:8" ht="12.75">
      <c r="F429" s="17"/>
      <c r="H429" s="17"/>
    </row>
    <row r="430" spans="6:8" ht="12.75">
      <c r="F430" s="17"/>
      <c r="H430" s="17"/>
    </row>
    <row r="431" spans="6:8" ht="12.75">
      <c r="F431" s="17"/>
      <c r="H431" s="17"/>
    </row>
    <row r="432" spans="6:8" ht="12.75">
      <c r="F432" s="17"/>
      <c r="H432" s="17"/>
    </row>
    <row r="433" spans="6:8" ht="12.75">
      <c r="F433" s="17"/>
      <c r="H433" s="17"/>
    </row>
    <row r="434" spans="6:8" ht="12.75">
      <c r="F434" s="17"/>
      <c r="H434" s="17"/>
    </row>
    <row r="435" spans="6:8" ht="12.75">
      <c r="F435" s="17"/>
      <c r="H435" s="17"/>
    </row>
    <row r="436" spans="6:8" ht="12.75">
      <c r="F436" s="17"/>
      <c r="H436" s="17"/>
    </row>
    <row r="437" spans="6:8" ht="12.75">
      <c r="F437" s="17"/>
      <c r="H437" s="17"/>
    </row>
    <row r="438" spans="6:8" ht="12.75">
      <c r="F438" s="17"/>
      <c r="H438" s="17"/>
    </row>
    <row r="439" spans="6:8" ht="12.75">
      <c r="F439" s="17"/>
      <c r="H439" s="17"/>
    </row>
    <row r="440" spans="6:8" ht="12.75">
      <c r="F440" s="17"/>
      <c r="H440" s="17"/>
    </row>
    <row r="441" spans="6:8" ht="12.75">
      <c r="F441" s="17"/>
      <c r="H441" s="17"/>
    </row>
    <row r="442" spans="6:8" ht="12.75">
      <c r="F442" s="17"/>
      <c r="H442" s="17"/>
    </row>
    <row r="443" spans="6:8" ht="12.75">
      <c r="F443" s="17"/>
      <c r="H443" s="17"/>
    </row>
    <row r="444" spans="6:8" ht="12.75">
      <c r="F444" s="17"/>
      <c r="H444" s="17"/>
    </row>
    <row r="445" spans="6:8" ht="12.75">
      <c r="F445" s="17"/>
      <c r="H445" s="17"/>
    </row>
    <row r="446" spans="6:8" ht="12.75">
      <c r="F446" s="17"/>
      <c r="H446" s="17"/>
    </row>
    <row r="447" spans="6:8" ht="12.75">
      <c r="F447" s="17"/>
      <c r="H447" s="17"/>
    </row>
    <row r="448" spans="6:8" ht="12.75">
      <c r="F448" s="17"/>
      <c r="H448" s="17"/>
    </row>
    <row r="449" spans="6:8" ht="12.75">
      <c r="F449" s="17"/>
      <c r="H449" s="17"/>
    </row>
    <row r="450" spans="6:8" ht="12.75">
      <c r="F450" s="17"/>
      <c r="H450" s="17"/>
    </row>
    <row r="451" spans="6:8" ht="12.75">
      <c r="F451" s="17"/>
      <c r="H451" s="17"/>
    </row>
    <row r="452" spans="6:8" ht="12.75">
      <c r="F452" s="17"/>
      <c r="H452" s="17"/>
    </row>
    <row r="453" spans="6:8" ht="12.75">
      <c r="F453" s="17"/>
      <c r="H453" s="17"/>
    </row>
    <row r="454" spans="6:8" ht="12.75">
      <c r="F454" s="17"/>
      <c r="H454" s="17"/>
    </row>
    <row r="455" spans="6:8" ht="12.75">
      <c r="F455" s="17"/>
      <c r="H455" s="17"/>
    </row>
    <row r="456" spans="6:8" ht="12.75">
      <c r="F456" s="17"/>
      <c r="H456" s="17"/>
    </row>
    <row r="457" spans="6:8" ht="12.75">
      <c r="F457" s="17"/>
      <c r="H457" s="17"/>
    </row>
    <row r="458" spans="6:8" ht="12.75">
      <c r="F458" s="17"/>
      <c r="H458" s="17"/>
    </row>
    <row r="459" spans="6:8" ht="12.75">
      <c r="F459" s="17"/>
      <c r="H459" s="17"/>
    </row>
    <row r="460" spans="6:8" ht="12.75">
      <c r="F460" s="17"/>
      <c r="H460" s="17"/>
    </row>
    <row r="461" spans="6:8" ht="12.75">
      <c r="F461" s="17"/>
      <c r="H461" s="17"/>
    </row>
    <row r="462" spans="6:8" ht="12.75">
      <c r="F462" s="17"/>
      <c r="H462" s="17"/>
    </row>
    <row r="463" spans="6:8" ht="12.75">
      <c r="F463" s="17"/>
      <c r="H463" s="17"/>
    </row>
    <row r="464" spans="6:8" ht="12.75">
      <c r="F464" s="17"/>
      <c r="H464" s="17"/>
    </row>
    <row r="465" spans="6:8" ht="12.75">
      <c r="F465" s="17"/>
      <c r="H465" s="17"/>
    </row>
    <row r="466" spans="6:8" ht="12.75">
      <c r="F466" s="17"/>
      <c r="H466" s="17"/>
    </row>
    <row r="467" spans="6:8" ht="12.75">
      <c r="F467" s="17"/>
      <c r="H467" s="17"/>
    </row>
    <row r="468" spans="6:8" ht="12.75">
      <c r="F468" s="17"/>
      <c r="H468" s="17"/>
    </row>
    <row r="469" spans="6:8" ht="12.75">
      <c r="F469" s="17"/>
      <c r="H469" s="17"/>
    </row>
    <row r="470" spans="6:8" ht="12.75">
      <c r="F470" s="17"/>
      <c r="H470" s="17"/>
    </row>
    <row r="471" spans="6:8" ht="12.75">
      <c r="F471" s="17"/>
      <c r="H471" s="17"/>
    </row>
    <row r="472" spans="6:8" ht="12.75">
      <c r="F472" s="17"/>
      <c r="H472" s="17"/>
    </row>
    <row r="473" spans="6:8" ht="12.75">
      <c r="F473" s="17"/>
      <c r="H473" s="17"/>
    </row>
    <row r="474" spans="6:8" ht="12.75">
      <c r="F474" s="17"/>
      <c r="H474" s="17"/>
    </row>
    <row r="475" spans="6:8" ht="12.75">
      <c r="F475" s="17"/>
      <c r="H475" s="17"/>
    </row>
    <row r="476" spans="6:8" ht="12.75">
      <c r="F476" s="17"/>
      <c r="H476" s="17"/>
    </row>
    <row r="477" spans="6:8" ht="12.75">
      <c r="F477" s="17"/>
      <c r="H477" s="17"/>
    </row>
    <row r="478" spans="6:8" ht="12.75">
      <c r="F478" s="17"/>
      <c r="H478" s="17"/>
    </row>
    <row r="479" spans="6:8" ht="12.75">
      <c r="F479" s="17"/>
      <c r="H479" s="17"/>
    </row>
    <row r="480" spans="6:8" ht="12.75">
      <c r="F480" s="17"/>
      <c r="H480" s="17"/>
    </row>
    <row r="481" spans="6:8" ht="12.75">
      <c r="F481" s="17"/>
      <c r="H481" s="17"/>
    </row>
    <row r="482" spans="6:8" ht="12.75">
      <c r="F482" s="17"/>
      <c r="H482" s="17"/>
    </row>
    <row r="483" spans="6:8" ht="12.75">
      <c r="F483" s="17"/>
      <c r="H483" s="17"/>
    </row>
    <row r="484" spans="6:8" ht="12.75">
      <c r="F484" s="17"/>
      <c r="H484" s="17"/>
    </row>
    <row r="485" spans="6:8" ht="12.75">
      <c r="F485" s="17"/>
      <c r="H485" s="17"/>
    </row>
    <row r="486" spans="6:8" ht="12.75">
      <c r="F486" s="17"/>
      <c r="H486" s="17"/>
    </row>
    <row r="487" spans="6:8" ht="12.75">
      <c r="F487" s="17"/>
      <c r="H487" s="17"/>
    </row>
    <row r="488" spans="6:8" ht="12.75">
      <c r="F488" s="17"/>
      <c r="H488" s="17"/>
    </row>
    <row r="489" spans="6:8" ht="12.75">
      <c r="F489" s="17"/>
      <c r="H489" s="17"/>
    </row>
    <row r="490" spans="6:8" ht="12.75">
      <c r="F490" s="17"/>
      <c r="H490" s="17"/>
    </row>
    <row r="491" spans="6:8" ht="12.75">
      <c r="F491" s="17"/>
      <c r="H491" s="17"/>
    </row>
    <row r="492" spans="6:8" ht="12.75">
      <c r="F492" s="17"/>
      <c r="H492" s="17"/>
    </row>
    <row r="493" spans="6:8" ht="12.75">
      <c r="F493" s="17"/>
      <c r="H493" s="17"/>
    </row>
    <row r="494" spans="6:8" ht="12.75">
      <c r="F494" s="17"/>
      <c r="H494" s="17"/>
    </row>
    <row r="495" spans="6:8" ht="12.75">
      <c r="F495" s="17"/>
      <c r="H495" s="17"/>
    </row>
    <row r="496" spans="6:8" ht="12.75">
      <c r="F496" s="17"/>
      <c r="H496" s="17"/>
    </row>
    <row r="497" spans="6:8" ht="12.75">
      <c r="F497" s="17"/>
      <c r="H497" s="17"/>
    </row>
    <row r="498" spans="6:8" ht="12.75">
      <c r="F498" s="17"/>
      <c r="H498" s="17"/>
    </row>
    <row r="499" spans="6:8" ht="12.75">
      <c r="F499" s="17"/>
      <c r="H499" s="17"/>
    </row>
    <row r="500" spans="6:8" ht="12.75">
      <c r="F500" s="17"/>
      <c r="H500" s="17"/>
    </row>
    <row r="501" spans="6:8" ht="12.75">
      <c r="F501" s="17"/>
      <c r="H501" s="17"/>
    </row>
    <row r="502" spans="6:8" ht="12.75">
      <c r="F502" s="17"/>
      <c r="H502" s="17"/>
    </row>
    <row r="503" spans="6:8" ht="12.75">
      <c r="F503" s="17"/>
      <c r="H503" s="17"/>
    </row>
    <row r="504" spans="6:8" ht="12.75">
      <c r="F504" s="17"/>
      <c r="H504" s="17"/>
    </row>
    <row r="505" spans="6:8" ht="12.75">
      <c r="F505" s="17"/>
      <c r="H505" s="17"/>
    </row>
    <row r="506" spans="6:8" ht="12.75">
      <c r="F506" s="17"/>
      <c r="H506" s="17"/>
    </row>
    <row r="507" spans="6:8" ht="12.75">
      <c r="F507" s="17"/>
      <c r="H507" s="17"/>
    </row>
    <row r="508" spans="6:8" ht="12.75">
      <c r="F508" s="17"/>
      <c r="H508" s="17"/>
    </row>
    <row r="509" spans="6:8" ht="12.75">
      <c r="F509" s="17"/>
      <c r="H509" s="17"/>
    </row>
    <row r="510" spans="6:8" ht="12.75">
      <c r="F510" s="17"/>
      <c r="H510" s="17"/>
    </row>
    <row r="511" spans="6:8" ht="12.75">
      <c r="F511" s="17"/>
      <c r="H511" s="17"/>
    </row>
    <row r="512" spans="6:8" ht="12.75">
      <c r="F512" s="17"/>
      <c r="H512" s="17"/>
    </row>
    <row r="513" spans="6:8" ht="12.75">
      <c r="F513" s="17"/>
      <c r="H513" s="17"/>
    </row>
    <row r="514" spans="6:8" ht="12.75">
      <c r="F514" s="17"/>
      <c r="H514" s="17"/>
    </row>
    <row r="515" spans="6:8" ht="12.75">
      <c r="F515" s="17"/>
      <c r="H515" s="17"/>
    </row>
    <row r="516" spans="6:8" ht="12.75">
      <c r="F516" s="17"/>
      <c r="H516" s="17"/>
    </row>
    <row r="517" spans="6:8" ht="12.75">
      <c r="F517" s="17"/>
      <c r="H517" s="17"/>
    </row>
    <row r="518" spans="6:8" ht="12.75">
      <c r="F518" s="17"/>
      <c r="H518" s="17"/>
    </row>
    <row r="519" spans="6:8" ht="12.75">
      <c r="F519" s="17"/>
      <c r="H519" s="17"/>
    </row>
    <row r="520" spans="6:8" ht="12.75">
      <c r="F520" s="17"/>
      <c r="H520" s="17"/>
    </row>
    <row r="521" spans="6:8" ht="12.75">
      <c r="F521" s="17"/>
      <c r="H521" s="17"/>
    </row>
    <row r="522" spans="6:8" ht="12.75">
      <c r="F522" s="17"/>
      <c r="H522" s="17"/>
    </row>
    <row r="523" spans="6:8" ht="12.75">
      <c r="F523" s="17"/>
      <c r="H523" s="17"/>
    </row>
    <row r="524" spans="6:8" ht="12.75">
      <c r="F524" s="17"/>
      <c r="H524" s="17"/>
    </row>
    <row r="525" spans="6:8" ht="12.75">
      <c r="F525" s="17"/>
      <c r="H525" s="17"/>
    </row>
    <row r="526" spans="6:8" ht="12.75">
      <c r="F526" s="17"/>
      <c r="H526" s="17"/>
    </row>
    <row r="527" spans="6:8" ht="12.75">
      <c r="F527" s="17"/>
      <c r="H527" s="17"/>
    </row>
    <row r="528" spans="6:8" ht="12.75">
      <c r="F528" s="17"/>
      <c r="H528" s="17"/>
    </row>
    <row r="529" spans="6:8" ht="12.75">
      <c r="F529" s="17"/>
      <c r="H529" s="17"/>
    </row>
    <row r="530" spans="6:8" ht="12.75">
      <c r="F530" s="17"/>
      <c r="H530" s="17"/>
    </row>
    <row r="531" spans="6:8" ht="12.75">
      <c r="F531" s="17"/>
      <c r="H531" s="17"/>
    </row>
    <row r="532" spans="6:8" ht="12.75">
      <c r="F532" s="17"/>
      <c r="H532" s="17"/>
    </row>
    <row r="533" spans="6:8" ht="12.75">
      <c r="F533" s="17"/>
      <c r="H533" s="17"/>
    </row>
    <row r="534" spans="6:8" ht="12.75">
      <c r="F534" s="17"/>
      <c r="H534" s="17"/>
    </row>
    <row r="535" spans="6:8" ht="12.75">
      <c r="F535" s="17"/>
      <c r="H535" s="17"/>
    </row>
    <row r="536" spans="6:8" ht="12.75">
      <c r="F536" s="17"/>
      <c r="H536" s="17"/>
    </row>
    <row r="537" spans="6:8" ht="12.75">
      <c r="F537" s="17"/>
      <c r="H537" s="17"/>
    </row>
    <row r="538" spans="6:8" ht="12.75">
      <c r="F538" s="17"/>
      <c r="H538" s="17"/>
    </row>
    <row r="539" spans="6:8" ht="12.75">
      <c r="F539" s="17"/>
      <c r="H539" s="17"/>
    </row>
    <row r="540" spans="6:8" ht="12.75">
      <c r="F540" s="17"/>
      <c r="H540" s="17"/>
    </row>
    <row r="541" spans="6:8" ht="12.75">
      <c r="F541" s="17"/>
      <c r="H541" s="17"/>
    </row>
    <row r="542" spans="6:8" ht="12.75">
      <c r="F542" s="17"/>
      <c r="H542" s="17"/>
    </row>
    <row r="543" spans="6:8" ht="12.75">
      <c r="F543" s="17"/>
      <c r="H543" s="17"/>
    </row>
    <row r="544" spans="6:8" ht="12.75">
      <c r="F544" s="17"/>
      <c r="H544" s="17"/>
    </row>
    <row r="545" spans="6:8" ht="12.75">
      <c r="F545" s="17"/>
      <c r="H545" s="17"/>
    </row>
    <row r="546" spans="6:8" ht="12.75">
      <c r="F546" s="17"/>
      <c r="H546" s="17"/>
    </row>
    <row r="547" spans="6:8" ht="12.75">
      <c r="F547" s="17"/>
      <c r="H547" s="17"/>
    </row>
    <row r="548" spans="6:8" ht="12.75">
      <c r="F548" s="17"/>
      <c r="H548" s="17"/>
    </row>
    <row r="549" spans="6:8" ht="12.75">
      <c r="F549" s="17"/>
      <c r="H549" s="17"/>
    </row>
    <row r="550" spans="6:8" ht="12.75">
      <c r="F550" s="17"/>
      <c r="H550" s="17"/>
    </row>
    <row r="551" spans="6:8" ht="12.75">
      <c r="F551" s="17"/>
      <c r="H551" s="17"/>
    </row>
    <row r="552" spans="6:8" ht="12.75">
      <c r="F552" s="17"/>
      <c r="H552" s="17"/>
    </row>
    <row r="553" spans="6:8" ht="12.75">
      <c r="F553" s="17"/>
      <c r="H553" s="17"/>
    </row>
    <row r="554" spans="6:8" ht="12.75">
      <c r="F554" s="17"/>
      <c r="H554" s="17"/>
    </row>
    <row r="555" spans="6:8" ht="12.75">
      <c r="F555" s="17"/>
      <c r="H555" s="17"/>
    </row>
    <row r="556" spans="6:8" ht="12.75">
      <c r="F556" s="17"/>
      <c r="H556" s="17"/>
    </row>
    <row r="557" spans="6:8" ht="12.75">
      <c r="F557" s="17"/>
      <c r="H557" s="17"/>
    </row>
    <row r="558" spans="6:8" ht="12.75">
      <c r="F558" s="17"/>
      <c r="H558" s="17"/>
    </row>
    <row r="559" spans="6:8" ht="12.75">
      <c r="F559" s="17"/>
      <c r="H559" s="17"/>
    </row>
    <row r="560" spans="6:8" ht="12.75">
      <c r="F560" s="17"/>
      <c r="H560" s="17"/>
    </row>
    <row r="561" spans="6:8" ht="12.75">
      <c r="F561" s="17"/>
      <c r="H561" s="17"/>
    </row>
    <row r="562" spans="6:8" ht="12.75">
      <c r="F562" s="17"/>
      <c r="H562" s="17"/>
    </row>
    <row r="563" spans="6:8" ht="12.75">
      <c r="F563" s="17"/>
      <c r="H563" s="17"/>
    </row>
    <row r="564" spans="6:8" ht="12.75">
      <c r="F564" s="17"/>
      <c r="H564" s="17"/>
    </row>
    <row r="565" spans="6:8" ht="12.75">
      <c r="F565" s="17"/>
      <c r="H565" s="17"/>
    </row>
    <row r="566" spans="6:8" ht="12.75">
      <c r="F566" s="17"/>
      <c r="H566" s="17"/>
    </row>
    <row r="567" spans="6:8" ht="12.75">
      <c r="F567" s="17"/>
      <c r="H567" s="17"/>
    </row>
    <row r="568" spans="6:8" ht="12.75">
      <c r="F568" s="17"/>
      <c r="H568" s="17"/>
    </row>
    <row r="569" spans="6:8" ht="12.75">
      <c r="F569" s="17"/>
      <c r="H569" s="17"/>
    </row>
    <row r="570" spans="6:8" ht="12.75">
      <c r="F570" s="17"/>
      <c r="H570" s="17"/>
    </row>
    <row r="571" spans="6:8" ht="12.75">
      <c r="F571" s="17"/>
      <c r="H571" s="17"/>
    </row>
    <row r="572" spans="6:8" ht="12.75">
      <c r="F572" s="17"/>
      <c r="H572" s="17"/>
    </row>
    <row r="573" spans="6:8" ht="12.75">
      <c r="F573" s="17"/>
      <c r="H573" s="17"/>
    </row>
    <row r="574" spans="6:8" ht="12.75">
      <c r="F574" s="17"/>
      <c r="H574" s="17"/>
    </row>
    <row r="575" spans="6:8" ht="12.75">
      <c r="F575" s="17"/>
      <c r="H575" s="17"/>
    </row>
    <row r="576" spans="6:8" ht="12.75">
      <c r="F576" s="17"/>
      <c r="H576" s="17"/>
    </row>
    <row r="577" spans="6:8" ht="12.75">
      <c r="F577" s="17"/>
      <c r="H577" s="17"/>
    </row>
    <row r="578" spans="6:8" ht="12.75">
      <c r="F578" s="17"/>
      <c r="H578" s="17"/>
    </row>
    <row r="579" spans="6:8" ht="12.75">
      <c r="F579" s="17"/>
      <c r="H579" s="17"/>
    </row>
    <row r="580" spans="6:8" ht="12.75">
      <c r="F580" s="17"/>
      <c r="H580" s="17"/>
    </row>
    <row r="581" spans="6:8" ht="12.75">
      <c r="F581" s="17"/>
      <c r="H581" s="17"/>
    </row>
    <row r="582" spans="6:8" ht="12.75">
      <c r="F582" s="17"/>
      <c r="H582" s="17"/>
    </row>
    <row r="583" spans="6:8" ht="12.75">
      <c r="F583" s="17"/>
      <c r="H583" s="17"/>
    </row>
    <row r="584" spans="6:8" ht="12.75">
      <c r="F584" s="17"/>
      <c r="H584" s="17"/>
    </row>
    <row r="585" spans="6:8" ht="12.75">
      <c r="F585" s="17"/>
      <c r="H585" s="17"/>
    </row>
    <row r="586" spans="6:8" ht="12.75">
      <c r="F586" s="17"/>
      <c r="H586" s="17"/>
    </row>
    <row r="587" spans="6:8" ht="12.75">
      <c r="F587" s="17"/>
      <c r="H587" s="17"/>
    </row>
    <row r="588" spans="6:8" ht="12.75">
      <c r="F588" s="17"/>
      <c r="H588" s="17"/>
    </row>
    <row r="589" spans="6:8" ht="12.75">
      <c r="F589" s="17"/>
      <c r="H589" s="17"/>
    </row>
    <row r="590" spans="6:8" ht="12.75">
      <c r="F590" s="17"/>
      <c r="H590" s="17"/>
    </row>
    <row r="591" spans="6:8" ht="12.75">
      <c r="F591" s="17"/>
      <c r="H591" s="17"/>
    </row>
    <row r="592" spans="6:8" ht="12.75">
      <c r="F592" s="17"/>
      <c r="H592" s="17"/>
    </row>
    <row r="593" spans="6:8" ht="12.75">
      <c r="F593" s="17"/>
      <c r="H593" s="17"/>
    </row>
    <row r="594" spans="6:8" ht="12.75">
      <c r="F594" s="17"/>
      <c r="H594" s="17"/>
    </row>
    <row r="595" spans="6:8" ht="12.75">
      <c r="F595" s="17"/>
      <c r="H595" s="17"/>
    </row>
    <row r="596" spans="6:8" ht="12.75">
      <c r="F596" s="17"/>
      <c r="H596" s="17"/>
    </row>
    <row r="597" spans="6:8" ht="12.75">
      <c r="F597" s="17"/>
      <c r="H597" s="17"/>
    </row>
    <row r="598" spans="6:8" ht="12.75">
      <c r="F598" s="17"/>
      <c r="H598" s="17"/>
    </row>
    <row r="599" spans="6:8" ht="12.75">
      <c r="F599" s="17"/>
      <c r="H599" s="17"/>
    </row>
    <row r="600" spans="6:8" ht="12.75">
      <c r="F600" s="17"/>
      <c r="H600" s="17"/>
    </row>
    <row r="601" spans="6:8" ht="12.75">
      <c r="F601" s="17"/>
      <c r="H601" s="17"/>
    </row>
    <row r="602" spans="6:8" ht="12.75">
      <c r="F602" s="17"/>
      <c r="H602" s="17"/>
    </row>
    <row r="603" spans="6:8" ht="12.75">
      <c r="F603" s="17"/>
      <c r="H603" s="17"/>
    </row>
    <row r="604" spans="6:8" ht="12.75">
      <c r="F604" s="17"/>
      <c r="H604" s="17"/>
    </row>
    <row r="605" spans="6:8" ht="12.75">
      <c r="F605" s="17"/>
      <c r="H605" s="17"/>
    </row>
    <row r="606" spans="6:8" ht="12.75">
      <c r="F606" s="17"/>
      <c r="H606" s="17"/>
    </row>
    <row r="607" spans="6:8" ht="12.75">
      <c r="F607" s="17"/>
      <c r="H607" s="17"/>
    </row>
    <row r="608" spans="6:8" ht="12.75">
      <c r="F608" s="17"/>
      <c r="H608" s="17"/>
    </row>
    <row r="609" spans="6:8" ht="12.75">
      <c r="F609" s="17"/>
      <c r="H609" s="17"/>
    </row>
    <row r="610" spans="6:8" ht="12.75">
      <c r="F610" s="17"/>
      <c r="H610" s="17"/>
    </row>
    <row r="611" spans="6:8" ht="12.75">
      <c r="F611" s="17"/>
      <c r="H611" s="17"/>
    </row>
    <row r="612" spans="6:8" ht="12.75">
      <c r="F612" s="17"/>
      <c r="H612" s="17"/>
    </row>
    <row r="613" spans="6:8" ht="12.75">
      <c r="F613" s="17"/>
      <c r="H613" s="17"/>
    </row>
    <row r="614" spans="6:8" ht="12.75">
      <c r="F614" s="17"/>
      <c r="H614" s="17"/>
    </row>
    <row r="615" spans="6:8" ht="12.75">
      <c r="F615" s="17"/>
      <c r="H615" s="17"/>
    </row>
    <row r="616" spans="6:8" ht="12.75">
      <c r="F616" s="17"/>
      <c r="H616" s="17"/>
    </row>
    <row r="617" spans="6:8" ht="12.75">
      <c r="F617" s="17"/>
      <c r="H617" s="17"/>
    </row>
    <row r="618" spans="6:8" ht="12.75">
      <c r="F618" s="17"/>
      <c r="H618" s="17"/>
    </row>
    <row r="619" spans="6:8" ht="12.75">
      <c r="F619" s="17"/>
      <c r="H619" s="17"/>
    </row>
    <row r="620" spans="6:8" ht="12.75">
      <c r="F620" s="17"/>
      <c r="H620" s="17"/>
    </row>
    <row r="621" spans="6:8" ht="12.75">
      <c r="F621" s="17"/>
      <c r="H621" s="17"/>
    </row>
    <row r="622" spans="6:8" ht="12.75">
      <c r="F622" s="17"/>
      <c r="H622" s="17"/>
    </row>
    <row r="623" spans="6:8" ht="12.75">
      <c r="F623" s="17"/>
      <c r="H623" s="17"/>
    </row>
    <row r="624" spans="6:8" ht="12.75">
      <c r="F624" s="17"/>
      <c r="H624" s="17"/>
    </row>
    <row r="625" spans="6:8" ht="12.75">
      <c r="F625" s="17"/>
      <c r="H625" s="17"/>
    </row>
    <row r="626" spans="6:8" ht="12.75">
      <c r="F626" s="17"/>
      <c r="H626" s="17"/>
    </row>
    <row r="627" spans="6:8" ht="12.75">
      <c r="F627" s="17"/>
      <c r="H627" s="17"/>
    </row>
    <row r="628" spans="6:8" ht="12.75">
      <c r="F628" s="17"/>
      <c r="H628" s="17"/>
    </row>
    <row r="629" spans="6:8" ht="12.75">
      <c r="F629" s="17"/>
      <c r="H629" s="17"/>
    </row>
    <row r="630" spans="6:8" ht="12.75">
      <c r="F630" s="17"/>
      <c r="H630" s="17"/>
    </row>
    <row r="631" spans="6:8" ht="12.75">
      <c r="F631" s="17"/>
      <c r="H631" s="17"/>
    </row>
    <row r="632" spans="6:8" ht="12.75">
      <c r="F632" s="17"/>
      <c r="H632" s="17"/>
    </row>
    <row r="633" spans="6:8" ht="12.75">
      <c r="F633" s="17"/>
      <c r="H633" s="17"/>
    </row>
    <row r="634" spans="6:8" ht="12.75">
      <c r="F634" s="17"/>
      <c r="H634" s="17"/>
    </row>
    <row r="635" spans="6:8" ht="12.75">
      <c r="F635" s="17"/>
      <c r="H635" s="17"/>
    </row>
    <row r="636" spans="6:8" ht="12.75">
      <c r="F636" s="17"/>
      <c r="H636" s="17"/>
    </row>
    <row r="637" spans="6:8" ht="12.75">
      <c r="F637" s="17"/>
      <c r="H637" s="17"/>
    </row>
    <row r="638" spans="6:8" ht="12.75">
      <c r="F638" s="17"/>
      <c r="H638" s="17"/>
    </row>
    <row r="639" spans="6:8" ht="12.75">
      <c r="F639" s="17"/>
      <c r="H639" s="17"/>
    </row>
    <row r="640" spans="6:8" ht="12.75">
      <c r="F640" s="17"/>
      <c r="H640" s="17"/>
    </row>
    <row r="641" spans="6:8" ht="12.75">
      <c r="F641" s="17"/>
      <c r="H641" s="17"/>
    </row>
    <row r="642" spans="6:8" ht="12.75">
      <c r="F642" s="17"/>
      <c r="H642" s="17"/>
    </row>
    <row r="643" spans="6:8" ht="12.75">
      <c r="F643" s="17"/>
      <c r="H643" s="17"/>
    </row>
    <row r="644" spans="6:8" ht="12.75">
      <c r="F644" s="17"/>
      <c r="H644" s="17"/>
    </row>
    <row r="645" spans="6:8" ht="12.75">
      <c r="F645" s="17"/>
      <c r="H645" s="17"/>
    </row>
    <row r="646" spans="6:8" ht="12.75">
      <c r="F646" s="17"/>
      <c r="H646" s="17"/>
    </row>
    <row r="647" spans="6:8" ht="12.75">
      <c r="F647" s="17"/>
      <c r="H647" s="17"/>
    </row>
    <row r="648" spans="6:8" ht="12.75">
      <c r="F648" s="17"/>
      <c r="H648" s="17"/>
    </row>
    <row r="649" spans="6:8" ht="12.75">
      <c r="F649" s="17"/>
      <c r="H649" s="17"/>
    </row>
    <row r="650" spans="6:8" ht="12.75">
      <c r="F650" s="17"/>
      <c r="H650" s="17"/>
    </row>
    <row r="651" spans="6:8" ht="12.75">
      <c r="F651" s="17"/>
      <c r="H651" s="17"/>
    </row>
    <row r="652" spans="6:8" ht="12.75">
      <c r="F652" s="17"/>
      <c r="H652" s="17"/>
    </row>
    <row r="653" spans="6:8" ht="12.75">
      <c r="F653" s="17"/>
      <c r="H653" s="17"/>
    </row>
    <row r="654" spans="6:8" ht="12.75">
      <c r="F654" s="17"/>
      <c r="H654" s="17"/>
    </row>
    <row r="655" spans="6:8" ht="12.75">
      <c r="F655" s="17"/>
      <c r="H655" s="17"/>
    </row>
    <row r="656" spans="6:8" ht="12.75">
      <c r="F656" s="17"/>
      <c r="H656" s="17"/>
    </row>
    <row r="657" spans="6:8" ht="12.75">
      <c r="F657" s="17"/>
      <c r="H657" s="17"/>
    </row>
    <row r="658" spans="6:8" ht="12.75">
      <c r="F658" s="17"/>
      <c r="H658" s="17"/>
    </row>
    <row r="659" spans="6:8" ht="12.75">
      <c r="F659" s="17"/>
      <c r="H659" s="17"/>
    </row>
    <row r="660" spans="6:8" ht="12.75">
      <c r="F660" s="17"/>
      <c r="H660" s="17"/>
    </row>
    <row r="661" spans="6:8" ht="12.75">
      <c r="F661" s="17"/>
      <c r="H661" s="17"/>
    </row>
    <row r="662" spans="6:8" ht="12.75">
      <c r="F662" s="17"/>
      <c r="H662" s="17"/>
    </row>
    <row r="663" spans="6:8" ht="12.75">
      <c r="F663" s="17"/>
      <c r="H663" s="17"/>
    </row>
    <row r="664" spans="6:8" ht="12.75">
      <c r="F664" s="17"/>
      <c r="H664" s="17"/>
    </row>
    <row r="665" spans="6:8" ht="12.75">
      <c r="F665" s="17"/>
      <c r="H665" s="17"/>
    </row>
    <row r="666" spans="6:8" ht="12.75">
      <c r="F666" s="17"/>
      <c r="H666" s="17"/>
    </row>
    <row r="667" spans="6:8" ht="12.75">
      <c r="F667" s="17"/>
      <c r="H667" s="17"/>
    </row>
    <row r="668" spans="6:8" ht="12.75">
      <c r="F668" s="17"/>
      <c r="H668" s="17"/>
    </row>
    <row r="669" spans="6:8" ht="12.75">
      <c r="F669" s="17"/>
      <c r="H669" s="17"/>
    </row>
    <row r="670" spans="6:8" ht="12.75">
      <c r="F670" s="17"/>
      <c r="H670" s="17"/>
    </row>
    <row r="671" spans="6:8" ht="12.75">
      <c r="F671" s="17"/>
      <c r="H671" s="17"/>
    </row>
    <row r="672" spans="6:8" ht="12.75">
      <c r="F672" s="17"/>
      <c r="H672" s="17"/>
    </row>
    <row r="673" spans="6:8" ht="12.75">
      <c r="F673" s="17"/>
      <c r="H673" s="17"/>
    </row>
    <row r="674" spans="6:8" ht="12.75">
      <c r="F674" s="17"/>
      <c r="H674" s="17"/>
    </row>
    <row r="675" spans="6:8" ht="12.75">
      <c r="F675" s="17"/>
      <c r="H675" s="17"/>
    </row>
    <row r="676" spans="6:8" ht="12.75">
      <c r="F676" s="17"/>
      <c r="H676" s="17"/>
    </row>
    <row r="677" spans="6:8" ht="12.75">
      <c r="F677" s="17"/>
      <c r="H677" s="17"/>
    </row>
    <row r="678" spans="6:8" ht="12.75">
      <c r="F678" s="17"/>
      <c r="H678" s="17"/>
    </row>
    <row r="679" spans="6:8" ht="12.75">
      <c r="F679" s="17"/>
      <c r="H679" s="17"/>
    </row>
    <row r="680" spans="6:8" ht="12.75">
      <c r="F680" s="17"/>
      <c r="H680" s="17"/>
    </row>
    <row r="681" spans="6:8" ht="12.75">
      <c r="F681" s="17"/>
      <c r="H681" s="17"/>
    </row>
    <row r="682" spans="6:8" ht="12.75">
      <c r="F682" s="17"/>
      <c r="H682" s="17"/>
    </row>
    <row r="683" spans="6:8" ht="12.75">
      <c r="F683" s="17"/>
      <c r="H683" s="17"/>
    </row>
    <row r="684" spans="6:8" ht="12.75">
      <c r="F684" s="17"/>
      <c r="H684" s="17"/>
    </row>
    <row r="685" spans="6:8" ht="12.75">
      <c r="F685" s="17"/>
      <c r="H685" s="17"/>
    </row>
    <row r="686" spans="6:8" ht="12.75">
      <c r="F686" s="17"/>
      <c r="H686" s="17"/>
    </row>
    <row r="687" spans="6:8" ht="12.75">
      <c r="F687" s="17"/>
      <c r="H687" s="17"/>
    </row>
    <row r="688" spans="6:8" ht="12.75">
      <c r="F688" s="17"/>
      <c r="H688" s="17"/>
    </row>
    <row r="689" spans="6:8" ht="12.75">
      <c r="F689" s="17"/>
      <c r="H689" s="17"/>
    </row>
    <row r="690" spans="6:8" ht="12.75">
      <c r="F690" s="17"/>
      <c r="H690" s="17"/>
    </row>
    <row r="691" spans="6:8" ht="12.75">
      <c r="F691" s="17"/>
      <c r="H691" s="17"/>
    </row>
    <row r="692" spans="6:8" ht="12.75">
      <c r="F692" s="17"/>
      <c r="H692" s="17"/>
    </row>
    <row r="693" spans="6:8" ht="12.75">
      <c r="F693" s="17"/>
      <c r="H693" s="17"/>
    </row>
    <row r="694" spans="6:8" ht="12.75">
      <c r="F694" s="17"/>
      <c r="H694" s="17"/>
    </row>
    <row r="695" spans="6:8" ht="12.75">
      <c r="F695" s="17"/>
      <c r="H695" s="17"/>
    </row>
    <row r="696" spans="6:8" ht="12.75">
      <c r="F696" s="17"/>
      <c r="H696" s="17"/>
    </row>
    <row r="697" spans="6:8" ht="12.75">
      <c r="F697" s="17"/>
      <c r="H697" s="17"/>
    </row>
    <row r="698" spans="6:8" ht="12.75">
      <c r="F698" s="17"/>
      <c r="H698" s="17"/>
    </row>
    <row r="699" spans="6:8" ht="12.75">
      <c r="F699" s="17"/>
      <c r="H699" s="17"/>
    </row>
    <row r="700" spans="6:8" ht="12.75">
      <c r="F700" s="17"/>
      <c r="H700" s="17"/>
    </row>
    <row r="701" spans="6:8" ht="12.75">
      <c r="F701" s="17"/>
      <c r="H701" s="17"/>
    </row>
    <row r="702" spans="6:8" ht="12.75">
      <c r="F702" s="17"/>
      <c r="H702" s="17"/>
    </row>
    <row r="703" spans="6:8" ht="12.75">
      <c r="F703" s="17"/>
      <c r="H703" s="17"/>
    </row>
    <row r="704" spans="6:8" ht="12.75">
      <c r="F704" s="17"/>
      <c r="H704" s="17"/>
    </row>
    <row r="705" spans="6:8" ht="12.75">
      <c r="F705" s="17"/>
      <c r="H705" s="17"/>
    </row>
    <row r="706" spans="6:8" ht="12.75">
      <c r="F706" s="17"/>
      <c r="H706" s="17"/>
    </row>
    <row r="707" spans="6:8" ht="12.75">
      <c r="F707" s="17"/>
      <c r="H707" s="17"/>
    </row>
    <row r="708" spans="6:8" ht="12.75">
      <c r="F708" s="17"/>
      <c r="H708" s="17"/>
    </row>
    <row r="709" spans="6:8" ht="12.75">
      <c r="F709" s="17"/>
      <c r="H709" s="17"/>
    </row>
    <row r="710" spans="6:8" ht="12.75">
      <c r="F710" s="17"/>
      <c r="H710" s="17"/>
    </row>
    <row r="711" spans="6:8" ht="12.75">
      <c r="F711" s="17"/>
      <c r="H711" s="17"/>
    </row>
    <row r="712" spans="6:8" ht="12.75">
      <c r="F712" s="17"/>
      <c r="H712" s="17"/>
    </row>
    <row r="713" spans="6:8" ht="12.75">
      <c r="F713" s="17"/>
      <c r="H713" s="17"/>
    </row>
    <row r="714" spans="6:8" ht="12.75">
      <c r="F714" s="17"/>
      <c r="H714" s="17"/>
    </row>
    <row r="715" spans="6:8" ht="12.75">
      <c r="F715" s="17"/>
      <c r="H715" s="17"/>
    </row>
    <row r="716" spans="6:8" ht="12.75">
      <c r="F716" s="17"/>
      <c r="H716" s="17"/>
    </row>
    <row r="717" spans="6:8" ht="12.75">
      <c r="F717" s="17"/>
      <c r="H717" s="17"/>
    </row>
    <row r="718" spans="6:8" ht="12.75">
      <c r="F718" s="17"/>
      <c r="H718" s="17"/>
    </row>
    <row r="719" spans="6:8" ht="12.75">
      <c r="F719" s="17"/>
      <c r="H719" s="17"/>
    </row>
    <row r="720" spans="6:8" ht="12.75">
      <c r="F720" s="17"/>
      <c r="H720" s="17"/>
    </row>
    <row r="721" spans="6:8" ht="12.75">
      <c r="F721" s="17"/>
      <c r="H721" s="17"/>
    </row>
    <row r="722" spans="6:8" ht="12.75">
      <c r="F722" s="17"/>
      <c r="H722" s="17"/>
    </row>
    <row r="723" spans="6:8" ht="12.75">
      <c r="F723" s="17"/>
      <c r="H723" s="17"/>
    </row>
    <row r="724" spans="6:8" ht="12.75">
      <c r="F724" s="17"/>
      <c r="H724" s="17"/>
    </row>
    <row r="725" spans="6:8" ht="12.75">
      <c r="F725" s="17"/>
      <c r="H725" s="17"/>
    </row>
    <row r="726" spans="6:8" ht="12.75">
      <c r="F726" s="17"/>
      <c r="H726" s="17"/>
    </row>
    <row r="727" spans="6:8" ht="12.75">
      <c r="F727" s="17"/>
      <c r="H727" s="17"/>
    </row>
    <row r="728" spans="6:8" ht="12.75">
      <c r="F728" s="17"/>
      <c r="H728" s="17"/>
    </row>
    <row r="729" spans="6:8" ht="12.75">
      <c r="F729" s="17"/>
      <c r="H729" s="17"/>
    </row>
    <row r="730" spans="6:8" ht="12.75">
      <c r="F730" s="17"/>
      <c r="H730" s="17"/>
    </row>
    <row r="731" spans="6:8" ht="12.75">
      <c r="F731" s="17"/>
      <c r="H731" s="17"/>
    </row>
    <row r="732" spans="6:8" ht="12.75">
      <c r="F732" s="17"/>
      <c r="H732" s="17"/>
    </row>
    <row r="733" spans="6:8" ht="12.75">
      <c r="F733" s="17"/>
      <c r="H733" s="17"/>
    </row>
    <row r="734" spans="6:8" ht="12.75">
      <c r="F734" s="17"/>
      <c r="H734" s="17"/>
    </row>
    <row r="735" spans="6:8" ht="12.75">
      <c r="F735" s="17"/>
      <c r="H735" s="17"/>
    </row>
    <row r="736" spans="6:8" ht="12.75">
      <c r="F736" s="17"/>
      <c r="H736" s="17"/>
    </row>
    <row r="737" spans="6:8" ht="12.75">
      <c r="F737" s="17"/>
      <c r="H737" s="17"/>
    </row>
    <row r="738" spans="6:8" ht="12.75">
      <c r="F738" s="17"/>
      <c r="H738" s="17"/>
    </row>
    <row r="739" spans="6:8" ht="12.75">
      <c r="F739" s="17"/>
      <c r="H739" s="17"/>
    </row>
    <row r="740" spans="6:8" ht="12.75">
      <c r="F740" s="17"/>
      <c r="H740" s="17"/>
    </row>
    <row r="741" spans="6:8" ht="12.75">
      <c r="F741" s="17"/>
      <c r="H741" s="17"/>
    </row>
    <row r="742" spans="6:8" ht="12.75">
      <c r="F742" s="17"/>
      <c r="H742" s="17"/>
    </row>
    <row r="743" spans="6:8" ht="12.75">
      <c r="F743" s="17"/>
      <c r="H743" s="17"/>
    </row>
    <row r="744" spans="6:8" ht="12.75">
      <c r="F744" s="17"/>
      <c r="H744" s="17"/>
    </row>
    <row r="745" spans="6:8" ht="12.75">
      <c r="F745" s="17"/>
      <c r="H745" s="17"/>
    </row>
    <row r="746" spans="6:8" ht="12.75">
      <c r="F746" s="17"/>
      <c r="H746" s="17"/>
    </row>
    <row r="747" spans="6:8" ht="12.75">
      <c r="F747" s="17"/>
      <c r="H747" s="17"/>
    </row>
    <row r="748" spans="6:8" ht="12.75">
      <c r="F748" s="17"/>
      <c r="H748" s="17"/>
    </row>
    <row r="749" spans="6:8" ht="12.75">
      <c r="F749" s="17"/>
      <c r="H749" s="17"/>
    </row>
    <row r="750" spans="6:8" ht="12.75">
      <c r="F750" s="17"/>
      <c r="H750" s="17"/>
    </row>
    <row r="751" spans="6:8" ht="12.75">
      <c r="F751" s="17"/>
      <c r="H751" s="17"/>
    </row>
    <row r="752" spans="6:8" ht="12.75">
      <c r="F752" s="17"/>
      <c r="H752" s="17"/>
    </row>
    <row r="753" spans="6:8" ht="12.75">
      <c r="F753" s="17"/>
      <c r="H753" s="17"/>
    </row>
    <row r="754" spans="6:8" ht="12.75">
      <c r="F754" s="17"/>
      <c r="H754" s="17"/>
    </row>
    <row r="755" spans="6:8" ht="12.75">
      <c r="F755" s="17"/>
      <c r="H755" s="17"/>
    </row>
    <row r="756" spans="6:8" ht="12.75">
      <c r="F756" s="17"/>
      <c r="H756" s="17"/>
    </row>
    <row r="757" spans="6:8" ht="12.75">
      <c r="F757" s="17"/>
      <c r="H757" s="17"/>
    </row>
    <row r="758" spans="6:8" ht="12.75">
      <c r="F758" s="17"/>
      <c r="H758" s="17"/>
    </row>
    <row r="759" spans="6:8" ht="12.75">
      <c r="F759" s="17"/>
      <c r="H759" s="17"/>
    </row>
    <row r="760" spans="6:8" ht="12.75">
      <c r="F760" s="17"/>
      <c r="H760" s="17"/>
    </row>
    <row r="761" spans="6:8" ht="12.75">
      <c r="F761" s="17"/>
      <c r="H761" s="17"/>
    </row>
    <row r="762" spans="6:8" ht="12.75">
      <c r="F762" s="17"/>
      <c r="H762" s="17"/>
    </row>
    <row r="763" spans="6:8" ht="12.75">
      <c r="F763" s="17"/>
      <c r="H763" s="17"/>
    </row>
    <row r="764" spans="6:8" ht="12.75">
      <c r="F764" s="17"/>
      <c r="H764" s="17"/>
    </row>
    <row r="765" spans="6:8" ht="12.75">
      <c r="F765" s="17"/>
      <c r="H765" s="17"/>
    </row>
    <row r="766" spans="6:8" ht="12.75">
      <c r="F766" s="17"/>
      <c r="H766" s="17"/>
    </row>
    <row r="767" spans="6:8" ht="12.75">
      <c r="F767" s="17"/>
      <c r="H767" s="17"/>
    </row>
    <row r="768" spans="6:8" ht="12.75">
      <c r="F768" s="17"/>
      <c r="H768" s="17"/>
    </row>
    <row r="769" spans="6:8" ht="12.75">
      <c r="F769" s="17"/>
      <c r="H769" s="17"/>
    </row>
    <row r="770" spans="6:8" ht="12.75">
      <c r="F770" s="17"/>
      <c r="H770" s="17"/>
    </row>
    <row r="771" spans="6:8" ht="12.75">
      <c r="F771" s="17"/>
      <c r="H771" s="17"/>
    </row>
    <row r="772" spans="6:8" ht="12.75">
      <c r="F772" s="17"/>
      <c r="H772" s="17"/>
    </row>
    <row r="773" spans="6:8" ht="12.75">
      <c r="F773" s="17"/>
      <c r="H773" s="17"/>
    </row>
    <row r="774" spans="6:8" ht="12.75">
      <c r="F774" s="17"/>
      <c r="H774" s="17"/>
    </row>
    <row r="775" spans="6:8" ht="12.75">
      <c r="F775" s="17"/>
      <c r="H775" s="17"/>
    </row>
    <row r="776" spans="6:8" ht="12.75">
      <c r="F776" s="17"/>
      <c r="H776" s="17"/>
    </row>
    <row r="777" spans="6:8" ht="12.75">
      <c r="F777" s="17"/>
      <c r="H777" s="17"/>
    </row>
    <row r="778" spans="6:8" ht="12.75">
      <c r="F778" s="17"/>
      <c r="H778" s="17"/>
    </row>
    <row r="779" spans="6:8" ht="12.75">
      <c r="F779" s="17"/>
      <c r="H779" s="17"/>
    </row>
    <row r="780" spans="6:8" ht="12.75">
      <c r="F780" s="17"/>
      <c r="H780" s="17"/>
    </row>
    <row r="781" spans="6:8" ht="12.75">
      <c r="F781" s="17"/>
      <c r="H781" s="17"/>
    </row>
    <row r="782" spans="6:8" ht="12.75">
      <c r="F782" s="17"/>
      <c r="H782" s="17"/>
    </row>
    <row r="783" spans="6:8" ht="12.75">
      <c r="F783" s="17"/>
      <c r="H783" s="17"/>
    </row>
    <row r="784" spans="6:8" ht="12.75">
      <c r="F784" s="17"/>
      <c r="H784" s="17"/>
    </row>
    <row r="785" spans="6:8" ht="12.75">
      <c r="F785" s="17"/>
      <c r="H785" s="17"/>
    </row>
    <row r="786" spans="6:8" ht="12.75">
      <c r="F786" s="17"/>
      <c r="H786" s="17"/>
    </row>
    <row r="787" spans="6:8" ht="12.75">
      <c r="F787" s="17"/>
      <c r="H787" s="17"/>
    </row>
    <row r="788" spans="6:8" ht="12.75">
      <c r="F788" s="17"/>
      <c r="H788" s="17"/>
    </row>
    <row r="789" spans="6:8" ht="12.75">
      <c r="F789" s="17"/>
      <c r="H789" s="17"/>
    </row>
    <row r="790" spans="6:8" ht="12.75">
      <c r="F790" s="17"/>
      <c r="H790" s="17"/>
    </row>
    <row r="791" spans="6:8" ht="12.75">
      <c r="F791" s="17"/>
      <c r="H791" s="17"/>
    </row>
    <row r="792" spans="6:8" ht="12.75">
      <c r="F792" s="17"/>
      <c r="H792" s="17"/>
    </row>
    <row r="793" spans="6:8" ht="12.75">
      <c r="F793" s="17"/>
      <c r="H793" s="17"/>
    </row>
    <row r="794" spans="6:8" ht="12.75">
      <c r="F794" s="17"/>
      <c r="H794" s="17"/>
    </row>
    <row r="795" spans="6:8" ht="12.75">
      <c r="F795" s="17"/>
      <c r="H795" s="17"/>
    </row>
    <row r="796" spans="6:8" ht="12.75">
      <c r="F796" s="17"/>
      <c r="H796" s="17"/>
    </row>
    <row r="797" spans="6:8" ht="12.75">
      <c r="F797" s="17"/>
      <c r="H797" s="17"/>
    </row>
    <row r="798" spans="6:8" ht="12.75">
      <c r="F798" s="17"/>
      <c r="H798" s="17"/>
    </row>
    <row r="799" spans="6:8" ht="12.75">
      <c r="F799" s="17"/>
      <c r="H799" s="17"/>
    </row>
    <row r="800" spans="6:8" ht="12.75">
      <c r="F800" s="17"/>
      <c r="H800" s="17"/>
    </row>
    <row r="801" spans="6:8" ht="12.75">
      <c r="F801" s="17"/>
      <c r="H801" s="17"/>
    </row>
    <row r="802" spans="6:8" ht="12.75">
      <c r="F802" s="17"/>
      <c r="H802" s="17"/>
    </row>
    <row r="803" spans="6:8" ht="12.75">
      <c r="F803" s="17"/>
      <c r="H803" s="17"/>
    </row>
    <row r="804" spans="6:8" ht="12.75">
      <c r="F804" s="17"/>
      <c r="H804" s="17"/>
    </row>
    <row r="805" spans="6:8" ht="12.75">
      <c r="F805" s="17"/>
      <c r="H805" s="17"/>
    </row>
    <row r="806" spans="6:8" ht="12.75">
      <c r="F806" s="17"/>
      <c r="H806" s="17"/>
    </row>
    <row r="807" spans="6:8" ht="12.75">
      <c r="F807" s="17"/>
      <c r="H807" s="17"/>
    </row>
    <row r="808" spans="6:8" ht="12.75">
      <c r="F808" s="17"/>
      <c r="H808" s="17"/>
    </row>
    <row r="809" spans="6:8" ht="12.75">
      <c r="F809" s="17"/>
      <c r="H809" s="17"/>
    </row>
    <row r="810" spans="6:8" ht="12.75">
      <c r="F810" s="17"/>
      <c r="H810" s="17"/>
    </row>
    <row r="811" spans="6:8" ht="12.75">
      <c r="F811" s="17"/>
      <c r="H811" s="17"/>
    </row>
    <row r="812" spans="6:8" ht="12.75">
      <c r="F812" s="17"/>
      <c r="H812" s="17"/>
    </row>
    <row r="813" spans="6:8" ht="12.75">
      <c r="F813" s="17"/>
      <c r="H813" s="17"/>
    </row>
    <row r="814" spans="6:8" ht="12.75">
      <c r="F814" s="17"/>
      <c r="H814" s="17"/>
    </row>
    <row r="815" spans="6:8" ht="12.75">
      <c r="F815" s="17"/>
      <c r="H815" s="17"/>
    </row>
    <row r="816" spans="6:8" ht="12.75">
      <c r="F816" s="17"/>
      <c r="H816" s="17"/>
    </row>
    <row r="817" spans="6:8" ht="12.75">
      <c r="F817" s="17"/>
      <c r="H817" s="17"/>
    </row>
    <row r="818" spans="6:8" ht="12.75">
      <c r="F818" s="17"/>
      <c r="H818" s="17"/>
    </row>
    <row r="819" spans="6:8" ht="12.75">
      <c r="F819" s="17"/>
      <c r="H819" s="17"/>
    </row>
    <row r="820" spans="6:8" ht="12.75">
      <c r="F820" s="17"/>
      <c r="H820" s="17"/>
    </row>
    <row r="821" spans="6:8" ht="12.75">
      <c r="F821" s="17"/>
      <c r="H821" s="17"/>
    </row>
    <row r="822" spans="6:8" ht="12.75">
      <c r="F822" s="17"/>
      <c r="H822" s="17"/>
    </row>
    <row r="823" spans="6:8" ht="12.75">
      <c r="F823" s="17"/>
      <c r="H823" s="17"/>
    </row>
    <row r="824" spans="6:8" ht="12.75">
      <c r="F824" s="17"/>
      <c r="H824" s="17"/>
    </row>
    <row r="825" spans="6:8" ht="12.75">
      <c r="F825" s="17"/>
      <c r="H825" s="17"/>
    </row>
    <row r="826" spans="6:8" ht="12.75">
      <c r="F826" s="17"/>
      <c r="H826" s="17"/>
    </row>
    <row r="827" spans="6:8" ht="12.75">
      <c r="F827" s="17"/>
      <c r="H827" s="17"/>
    </row>
    <row r="828" spans="6:8" ht="12.75">
      <c r="F828" s="17"/>
      <c r="H828" s="17"/>
    </row>
    <row r="829" spans="6:8" ht="12.75">
      <c r="F829" s="17"/>
      <c r="H829" s="17"/>
    </row>
    <row r="830" spans="6:8" ht="12.75">
      <c r="F830" s="17"/>
      <c r="H830" s="17"/>
    </row>
    <row r="831" spans="6:8" ht="12.75">
      <c r="F831" s="17"/>
      <c r="H831" s="17"/>
    </row>
    <row r="832" spans="6:8" ht="12.75">
      <c r="F832" s="17"/>
      <c r="H832" s="17"/>
    </row>
    <row r="833" spans="6:8" ht="12.75">
      <c r="F833" s="17"/>
      <c r="H833" s="17"/>
    </row>
    <row r="834" spans="6:8" ht="12.75">
      <c r="F834" s="17"/>
      <c r="H834" s="17"/>
    </row>
    <row r="835" spans="6:8" ht="12.75">
      <c r="F835" s="17"/>
      <c r="H835" s="17"/>
    </row>
    <row r="836" spans="6:8" ht="12.75">
      <c r="F836" s="17"/>
      <c r="H836" s="17"/>
    </row>
    <row r="837" spans="6:8" ht="12.75">
      <c r="F837" s="17"/>
      <c r="H837" s="17"/>
    </row>
    <row r="838" spans="6:8" ht="12.75">
      <c r="F838" s="17"/>
      <c r="H838" s="17"/>
    </row>
    <row r="839" spans="6:8" ht="12.75">
      <c r="F839" s="17"/>
      <c r="H839" s="17"/>
    </row>
    <row r="840" spans="6:8" ht="12.75">
      <c r="F840" s="17"/>
      <c r="H840" s="17"/>
    </row>
    <row r="841" spans="6:8" ht="12.75">
      <c r="F841" s="17"/>
      <c r="H841" s="17"/>
    </row>
    <row r="842" spans="6:8" ht="12.75">
      <c r="F842" s="17"/>
      <c r="H842" s="17"/>
    </row>
    <row r="843" spans="6:8" ht="12.75">
      <c r="F843" s="17"/>
      <c r="H843" s="17"/>
    </row>
    <row r="844" spans="6:8" ht="12.75">
      <c r="F844" s="17"/>
      <c r="H844" s="17"/>
    </row>
    <row r="845" spans="6:8" ht="12.75">
      <c r="F845" s="17"/>
      <c r="H845" s="17"/>
    </row>
    <row r="846" spans="6:8" ht="12.75">
      <c r="F846" s="17"/>
      <c r="H846" s="17"/>
    </row>
    <row r="847" spans="6:8" ht="12.75">
      <c r="F847" s="17"/>
      <c r="H847" s="17"/>
    </row>
    <row r="848" spans="6:8" ht="12.75">
      <c r="F848" s="17"/>
      <c r="H848" s="17"/>
    </row>
    <row r="849" spans="6:8" ht="12.75">
      <c r="F849" s="17"/>
      <c r="H849" s="17"/>
    </row>
    <row r="850" spans="6:8" ht="12.75">
      <c r="F850" s="17"/>
      <c r="H850" s="17"/>
    </row>
    <row r="851" spans="6:8" ht="12.75">
      <c r="F851" s="17"/>
      <c r="H851" s="17"/>
    </row>
    <row r="852" spans="6:8" ht="12.75">
      <c r="F852" s="17"/>
      <c r="H852" s="17"/>
    </row>
    <row r="853" spans="6:8" ht="12.75">
      <c r="F853" s="17"/>
      <c r="H853" s="17"/>
    </row>
    <row r="854" spans="6:8" ht="12.75">
      <c r="F854" s="17"/>
      <c r="H854" s="17"/>
    </row>
    <row r="855" spans="6:8" ht="12.75">
      <c r="F855" s="17"/>
      <c r="H855" s="17"/>
    </row>
    <row r="856" spans="6:8" ht="12.75">
      <c r="F856" s="17"/>
      <c r="H856" s="17"/>
    </row>
    <row r="857" spans="6:8" ht="12.75">
      <c r="F857" s="17"/>
      <c r="H857" s="17"/>
    </row>
    <row r="858" spans="6:8" ht="12.75">
      <c r="F858" s="17"/>
      <c r="H858" s="17"/>
    </row>
    <row r="859" spans="6:8" ht="12.75">
      <c r="F859" s="17"/>
      <c r="H859" s="17"/>
    </row>
    <row r="860" spans="6:8" ht="12.75">
      <c r="F860" s="17"/>
      <c r="H860" s="17"/>
    </row>
    <row r="861" spans="6:8" ht="12.75">
      <c r="F861" s="17"/>
      <c r="H861" s="17"/>
    </row>
    <row r="862" spans="6:8" ht="12.75">
      <c r="F862" s="17"/>
      <c r="H862" s="17"/>
    </row>
    <row r="863" spans="6:8" ht="12.75">
      <c r="F863" s="17"/>
      <c r="H863" s="17"/>
    </row>
    <row r="864" spans="6:8" ht="12.75">
      <c r="F864" s="17"/>
      <c r="H864" s="17"/>
    </row>
    <row r="865" spans="6:8" ht="12.75">
      <c r="F865" s="17"/>
      <c r="H865" s="17"/>
    </row>
    <row r="866" spans="6:8" ht="12.75">
      <c r="F866" s="17"/>
      <c r="H866" s="17"/>
    </row>
    <row r="867" spans="6:8" ht="12.75">
      <c r="F867" s="17"/>
      <c r="H867" s="17"/>
    </row>
    <row r="868" spans="6:8" ht="12.75">
      <c r="F868" s="17"/>
      <c r="H868" s="17"/>
    </row>
    <row r="869" spans="6:8" ht="12.75">
      <c r="F869" s="17"/>
      <c r="H869" s="17"/>
    </row>
    <row r="870" spans="6:8" ht="12.75">
      <c r="F870" s="17"/>
      <c r="H870" s="17"/>
    </row>
    <row r="871" spans="6:8" ht="12.75">
      <c r="F871" s="17"/>
      <c r="H871" s="17"/>
    </row>
    <row r="872" spans="6:8" ht="12.75">
      <c r="F872" s="17"/>
      <c r="H872" s="17"/>
    </row>
    <row r="873" spans="6:8" ht="12.75">
      <c r="F873" s="17"/>
      <c r="H873" s="17"/>
    </row>
    <row r="874" spans="6:8" ht="12.75">
      <c r="F874" s="17"/>
      <c r="H874" s="17"/>
    </row>
    <row r="875" spans="6:8" ht="12.75">
      <c r="F875" s="17"/>
      <c r="H875" s="17"/>
    </row>
    <row r="876" spans="6:8" ht="12.75">
      <c r="F876" s="17"/>
      <c r="H876" s="17"/>
    </row>
    <row r="877" spans="6:8" ht="12.75">
      <c r="F877" s="17"/>
      <c r="H877" s="17"/>
    </row>
    <row r="878" spans="6:8" ht="12.75">
      <c r="F878" s="17"/>
      <c r="H878" s="17"/>
    </row>
    <row r="879" spans="6:8" ht="12.75">
      <c r="F879" s="17"/>
      <c r="H879" s="17"/>
    </row>
    <row r="880" spans="6:8" ht="12.75">
      <c r="F880" s="17"/>
      <c r="H880" s="17"/>
    </row>
    <row r="881" spans="6:8" ht="12.75">
      <c r="F881" s="17"/>
      <c r="H881" s="17"/>
    </row>
    <row r="882" spans="6:8" ht="12.75">
      <c r="F882" s="17"/>
      <c r="H882" s="17"/>
    </row>
    <row r="883" spans="6:8" ht="12.75">
      <c r="F883" s="17"/>
      <c r="H883" s="17"/>
    </row>
    <row r="884" spans="6:8" ht="12.75">
      <c r="F884" s="17"/>
      <c r="H884" s="17"/>
    </row>
    <row r="885" spans="6:8" ht="12.75">
      <c r="F885" s="17"/>
      <c r="H885" s="17"/>
    </row>
    <row r="886" spans="6:8" ht="12.75">
      <c r="F886" s="17"/>
      <c r="H886" s="17"/>
    </row>
    <row r="887" spans="6:8" ht="12.75">
      <c r="F887" s="17"/>
      <c r="H887" s="17"/>
    </row>
    <row r="888" spans="6:8" ht="12.75">
      <c r="F888" s="17"/>
      <c r="H888" s="17"/>
    </row>
    <row r="889" spans="6:8" ht="12.75">
      <c r="F889" s="17"/>
      <c r="H889" s="17"/>
    </row>
    <row r="890" spans="6:8" ht="12.75">
      <c r="F890" s="17"/>
      <c r="H890" s="17"/>
    </row>
    <row r="891" spans="6:8" ht="12.75">
      <c r="F891" s="17"/>
      <c r="H891" s="17"/>
    </row>
    <row r="892" spans="6:8" ht="12.75">
      <c r="F892" s="17"/>
      <c r="H892" s="17"/>
    </row>
    <row r="893" spans="6:8" ht="12.75">
      <c r="F893" s="17"/>
      <c r="H893" s="17"/>
    </row>
    <row r="894" spans="6:8" ht="12.75">
      <c r="F894" s="17"/>
      <c r="H894" s="17"/>
    </row>
    <row r="895" spans="6:8" ht="12.75">
      <c r="F895" s="17"/>
      <c r="H895" s="17"/>
    </row>
    <row r="896" spans="6:8" ht="12.75">
      <c r="F896" s="17"/>
      <c r="H896" s="17"/>
    </row>
    <row r="897" spans="6:8" ht="12.75">
      <c r="F897" s="17"/>
      <c r="H897" s="17"/>
    </row>
    <row r="898" spans="6:8" ht="12.75">
      <c r="F898" s="17"/>
      <c r="H898" s="17"/>
    </row>
    <row r="899" spans="6:8" ht="12.75">
      <c r="F899" s="17"/>
      <c r="H899" s="17"/>
    </row>
    <row r="900" spans="6:8" ht="12.75">
      <c r="F900" s="17"/>
      <c r="H900" s="17"/>
    </row>
    <row r="901" spans="6:8" ht="12.75">
      <c r="F901" s="17"/>
      <c r="H901" s="17"/>
    </row>
    <row r="902" spans="6:8" ht="12.75">
      <c r="F902" s="17"/>
      <c r="H902" s="17"/>
    </row>
    <row r="903" spans="6:8" ht="12.75">
      <c r="F903" s="17"/>
      <c r="H903" s="17"/>
    </row>
    <row r="904" spans="6:8" ht="12.75">
      <c r="F904" s="17"/>
      <c r="H904" s="17"/>
    </row>
    <row r="905" spans="6:8" ht="12.75">
      <c r="F905" s="17"/>
      <c r="H905" s="17"/>
    </row>
    <row r="906" spans="6:8" ht="12.75">
      <c r="F906" s="17"/>
      <c r="H906" s="17"/>
    </row>
    <row r="907" spans="6:8" ht="12.75">
      <c r="F907" s="17"/>
      <c r="H907" s="17"/>
    </row>
    <row r="908" spans="6:8" ht="12.75">
      <c r="F908" s="17"/>
      <c r="H908" s="17"/>
    </row>
    <row r="909" spans="6:8" ht="12.75">
      <c r="F909" s="17"/>
      <c r="H909" s="17"/>
    </row>
    <row r="910" spans="6:8" ht="12.75">
      <c r="F910" s="17"/>
      <c r="H910" s="17"/>
    </row>
    <row r="911" spans="6:8" ht="12.75">
      <c r="F911" s="17"/>
      <c r="H911" s="17"/>
    </row>
    <row r="912" spans="6:8" ht="12.75">
      <c r="F912" s="17"/>
      <c r="H912" s="17"/>
    </row>
    <row r="913" spans="6:8" ht="12.75">
      <c r="F913" s="17"/>
      <c r="H913" s="17"/>
    </row>
    <row r="914" spans="6:8" ht="12.75">
      <c r="F914" s="17"/>
      <c r="H914" s="17"/>
    </row>
    <row r="915" spans="6:8" ht="12.75">
      <c r="F915" s="17"/>
      <c r="H915" s="17"/>
    </row>
    <row r="916" spans="6:8" ht="12.75">
      <c r="F916" s="17"/>
      <c r="H916" s="17"/>
    </row>
    <row r="917" spans="6:8" ht="12.75">
      <c r="F917" s="17"/>
      <c r="H917" s="17"/>
    </row>
    <row r="918" spans="6:8" ht="12.75">
      <c r="F918" s="17"/>
      <c r="H918" s="17"/>
    </row>
    <row r="919" spans="6:8" ht="12.75">
      <c r="F919" s="17"/>
      <c r="H919" s="17"/>
    </row>
    <row r="920" spans="6:8" ht="12.75">
      <c r="F920" s="17"/>
      <c r="H920" s="17"/>
    </row>
    <row r="921" spans="6:8" ht="12.75">
      <c r="F921" s="17"/>
      <c r="H921" s="17"/>
    </row>
    <row r="922" spans="6:8" ht="12.75">
      <c r="F922" s="17"/>
      <c r="H922" s="17"/>
    </row>
    <row r="923" spans="6:8" ht="12.75">
      <c r="F923" s="17"/>
      <c r="H923" s="17"/>
    </row>
    <row r="924" spans="6:8" ht="12.75">
      <c r="F924" s="17"/>
      <c r="H924" s="17"/>
    </row>
    <row r="925" spans="6:8" ht="12.75">
      <c r="F925" s="17"/>
      <c r="H925" s="17"/>
    </row>
    <row r="926" spans="6:8" ht="12.75">
      <c r="F926" s="17"/>
      <c r="H926" s="17"/>
    </row>
    <row r="927" spans="6:8" ht="12.75">
      <c r="F927" s="17"/>
      <c r="H927" s="17"/>
    </row>
    <row r="928" spans="6:8" ht="12.75">
      <c r="F928" s="17"/>
      <c r="H928" s="17"/>
    </row>
    <row r="929" spans="6:8" ht="12.75">
      <c r="F929" s="17"/>
      <c r="H929" s="17"/>
    </row>
    <row r="930" spans="6:8" ht="12.75">
      <c r="F930" s="17"/>
      <c r="H930" s="17"/>
    </row>
    <row r="931" spans="6:8" ht="12.75">
      <c r="F931" s="17"/>
      <c r="H931" s="17"/>
    </row>
    <row r="932" spans="6:8" ht="12.75">
      <c r="F932" s="17"/>
      <c r="H932" s="17"/>
    </row>
    <row r="933" spans="6:8" ht="12.75">
      <c r="F933" s="17"/>
      <c r="H933" s="17"/>
    </row>
    <row r="934" spans="6:8" ht="12.75">
      <c r="F934" s="17"/>
      <c r="H934" s="17"/>
    </row>
    <row r="935" spans="6:8" ht="12.75">
      <c r="F935" s="17"/>
      <c r="H935" s="17"/>
    </row>
    <row r="936" spans="6:8" ht="12.75">
      <c r="F936" s="17"/>
      <c r="H936" s="17"/>
    </row>
    <row r="937" spans="6:8" ht="12.75">
      <c r="F937" s="17"/>
      <c r="H937" s="17"/>
    </row>
    <row r="938" spans="6:8" ht="12.75">
      <c r="F938" s="17"/>
      <c r="H938" s="17"/>
    </row>
    <row r="939" spans="6:8" ht="12.75">
      <c r="F939" s="17"/>
      <c r="H939" s="17"/>
    </row>
    <row r="940" spans="6:8" ht="12.75">
      <c r="F940" s="17"/>
      <c r="H940" s="17"/>
    </row>
    <row r="941" spans="6:8" ht="12.75">
      <c r="F941" s="17"/>
      <c r="H941" s="17"/>
    </row>
    <row r="942" spans="6:8" ht="12.75">
      <c r="F942" s="17"/>
      <c r="H942" s="17"/>
    </row>
    <row r="943" spans="6:8" ht="12.75">
      <c r="F943" s="17"/>
      <c r="H943" s="17"/>
    </row>
    <row r="944" spans="6:8" ht="12.75">
      <c r="F944" s="17"/>
      <c r="H944" s="17"/>
    </row>
    <row r="945" spans="6:8" ht="12.75">
      <c r="F945" s="17"/>
      <c r="H945" s="17"/>
    </row>
    <row r="946" spans="6:8" ht="12.75">
      <c r="F946" s="17"/>
      <c r="H946" s="17"/>
    </row>
    <row r="947" spans="6:8" ht="12.75">
      <c r="F947" s="17"/>
      <c r="H947" s="17"/>
    </row>
    <row r="948" spans="6:8" ht="12.75">
      <c r="F948" s="17"/>
      <c r="H948" s="17"/>
    </row>
    <row r="949" spans="6:8" ht="12.75">
      <c r="F949" s="17"/>
      <c r="H949" s="17"/>
    </row>
    <row r="950" spans="6:8" ht="12.75">
      <c r="F950" s="17"/>
      <c r="H950" s="17"/>
    </row>
    <row r="951" spans="6:8" ht="12.75">
      <c r="F951" s="17"/>
      <c r="H951" s="17"/>
    </row>
    <row r="952" spans="6:8" ht="12.75">
      <c r="F952" s="17"/>
      <c r="H952" s="17"/>
    </row>
    <row r="953" spans="6:8" ht="12.75">
      <c r="F953" s="17"/>
      <c r="H953" s="17"/>
    </row>
    <row r="954" spans="6:8" ht="12.75">
      <c r="F954" s="17"/>
      <c r="H954" s="17"/>
    </row>
    <row r="955" spans="6:8" ht="12.75">
      <c r="F955" s="17"/>
      <c r="H955" s="17"/>
    </row>
    <row r="956" spans="6:8" ht="12.75">
      <c r="F956" s="17"/>
      <c r="H956" s="17"/>
    </row>
    <row r="957" spans="6:8" ht="12.75">
      <c r="F957" s="17"/>
      <c r="H957" s="17"/>
    </row>
    <row r="958" spans="6:8" ht="12.75">
      <c r="F958" s="17"/>
      <c r="H958" s="17"/>
    </row>
    <row r="959" spans="6:8" ht="12.75">
      <c r="F959" s="17"/>
      <c r="H959" s="17"/>
    </row>
    <row r="960" spans="6:8" ht="12.75">
      <c r="F960" s="17"/>
      <c r="H960" s="17"/>
    </row>
    <row r="961" spans="6:8" ht="12.75">
      <c r="F961" s="17"/>
      <c r="H961" s="17"/>
    </row>
    <row r="962" spans="6:8" ht="12.75">
      <c r="F962" s="17"/>
      <c r="H962" s="17"/>
    </row>
    <row r="963" spans="6:8" ht="12.75">
      <c r="F963" s="17"/>
      <c r="H963" s="17"/>
    </row>
    <row r="964" spans="6:8" ht="12.75">
      <c r="F964" s="17"/>
      <c r="H964" s="17"/>
    </row>
    <row r="965" spans="6:8" ht="12.75">
      <c r="F965" s="17"/>
      <c r="H965" s="17"/>
    </row>
    <row r="966" spans="6:8" ht="12.75">
      <c r="F966" s="17"/>
      <c r="H966" s="17"/>
    </row>
    <row r="967" spans="6:8" ht="12.75">
      <c r="F967" s="17"/>
      <c r="H967" s="17"/>
    </row>
    <row r="968" spans="6:8" ht="12.75">
      <c r="F968" s="17"/>
      <c r="H968" s="17"/>
    </row>
    <row r="969" spans="6:8" ht="12.75">
      <c r="F969" s="17"/>
      <c r="H969" s="17"/>
    </row>
    <row r="970" spans="6:8" ht="12.75">
      <c r="F970" s="17"/>
      <c r="H970" s="17"/>
    </row>
    <row r="971" spans="6:8" ht="12.75">
      <c r="F971" s="17"/>
      <c r="H971" s="17"/>
    </row>
    <row r="972" spans="6:8" ht="12.75">
      <c r="F972" s="17"/>
      <c r="H972" s="17"/>
    </row>
    <row r="973" spans="6:8" ht="12.75">
      <c r="F973" s="17"/>
      <c r="H973" s="17"/>
    </row>
    <row r="974" spans="6:8" ht="12.75">
      <c r="F974" s="17"/>
      <c r="H974" s="17"/>
    </row>
    <row r="975" spans="6:8" ht="12.75">
      <c r="F975" s="17"/>
      <c r="H975" s="17"/>
    </row>
    <row r="976" spans="6:8" ht="12.75">
      <c r="F976" s="17"/>
      <c r="H976" s="17"/>
    </row>
    <row r="977" spans="6:8" ht="12.75">
      <c r="F977" s="17"/>
      <c r="H977" s="17"/>
    </row>
    <row r="978" spans="6:8" ht="12.75">
      <c r="F978" s="17"/>
      <c r="H978" s="17"/>
    </row>
    <row r="979" spans="6:8" ht="12.75">
      <c r="F979" s="17"/>
      <c r="H979" s="17"/>
    </row>
    <row r="980" spans="6:8" ht="12.75">
      <c r="F980" s="17"/>
      <c r="H980" s="17"/>
    </row>
    <row r="981" spans="6:8" ht="12.75">
      <c r="F981" s="17"/>
      <c r="H981" s="17"/>
    </row>
    <row r="982" spans="6:8" ht="12.75">
      <c r="F982" s="17"/>
      <c r="H982" s="17"/>
    </row>
    <row r="983" spans="6:8" ht="12.75">
      <c r="F983" s="17"/>
      <c r="H983" s="17"/>
    </row>
    <row r="984" spans="6:8" ht="12.75">
      <c r="F984" s="17"/>
      <c r="H984" s="17"/>
    </row>
    <row r="985" spans="6:8" ht="12.75">
      <c r="F985" s="17"/>
      <c r="H985" s="17"/>
    </row>
    <row r="986" spans="6:8" ht="12.75">
      <c r="F986" s="17"/>
      <c r="H986" s="17"/>
    </row>
    <row r="987" spans="6:8" ht="12.75">
      <c r="F987" s="17"/>
      <c r="H987" s="17"/>
    </row>
    <row r="988" spans="6:8" ht="12.75">
      <c r="F988" s="17"/>
      <c r="H988" s="17"/>
    </row>
    <row r="989" spans="6:8" ht="12.75">
      <c r="F989" s="17"/>
      <c r="H989" s="17"/>
    </row>
    <row r="990" spans="6:8" ht="12.75">
      <c r="F990" s="17"/>
      <c r="H990" s="17"/>
    </row>
    <row r="991" spans="6:8" ht="12.75">
      <c r="F991" s="17"/>
      <c r="H991" s="17"/>
    </row>
    <row r="992" spans="6:8" ht="12.75">
      <c r="F992" s="17"/>
      <c r="H992" s="17"/>
    </row>
    <row r="993" spans="6:8" ht="12.75">
      <c r="F993" s="17"/>
      <c r="H993" s="17"/>
    </row>
    <row r="994" spans="6:8" ht="12.75">
      <c r="F994" s="17"/>
      <c r="H994" s="17"/>
    </row>
    <row r="995" spans="6:8" ht="12.75">
      <c r="F995" s="17"/>
      <c r="H995" s="17"/>
    </row>
    <row r="996" spans="6:8" ht="12.75">
      <c r="F996" s="17"/>
      <c r="H996" s="17"/>
    </row>
    <row r="997" spans="6:8" ht="12.75">
      <c r="F997" s="17"/>
      <c r="H997" s="17"/>
    </row>
    <row r="998" spans="6:8" ht="12.75">
      <c r="F998" s="17"/>
      <c r="H998" s="17"/>
    </row>
    <row r="999" spans="6:8" ht="12.75">
      <c r="F999" s="17"/>
      <c r="H999" s="17"/>
    </row>
    <row r="1000" spans="6:8" ht="12.75">
      <c r="F1000" s="17"/>
      <c r="H1000" s="17"/>
    </row>
    <row r="1001" spans="6:8" ht="12.75">
      <c r="F1001" s="17"/>
      <c r="H1001" s="17"/>
    </row>
    <row r="1002" spans="6:8" ht="12.75">
      <c r="F1002" s="17"/>
      <c r="H1002" s="17"/>
    </row>
    <row r="1003" spans="6:8" ht="12.75">
      <c r="F1003" s="17"/>
      <c r="H1003" s="17"/>
    </row>
    <row r="1004" spans="6:8" ht="12.75">
      <c r="F1004" s="17"/>
      <c r="H1004" s="17"/>
    </row>
    <row r="1005" spans="6:8" ht="12.75">
      <c r="F1005" s="17"/>
      <c r="H1005" s="17"/>
    </row>
    <row r="1006" spans="6:8" ht="12.75">
      <c r="F1006" s="17"/>
      <c r="H1006" s="17"/>
    </row>
    <row r="1007" spans="6:8" ht="12.75">
      <c r="F1007" s="17"/>
      <c r="H1007" s="17"/>
    </row>
    <row r="1008" spans="6:8" ht="12.75">
      <c r="F1008" s="17"/>
      <c r="H1008" s="17"/>
    </row>
    <row r="1009" spans="6:8" ht="12.75">
      <c r="F1009" s="17"/>
      <c r="H1009" s="17"/>
    </row>
    <row r="1010" spans="6:8" ht="12.75">
      <c r="F1010" s="17"/>
      <c r="H1010" s="17"/>
    </row>
    <row r="1011" spans="6:8" ht="12.75">
      <c r="F1011" s="17"/>
      <c r="H1011" s="17"/>
    </row>
    <row r="1012" spans="6:8" ht="12.75">
      <c r="F1012" s="17"/>
      <c r="H1012" s="17"/>
    </row>
    <row r="1013" spans="6:8" ht="12.75">
      <c r="F1013" s="17"/>
      <c r="H1013" s="17"/>
    </row>
    <row r="1014" spans="6:8" ht="12.75">
      <c r="F1014" s="17"/>
      <c r="H1014" s="17"/>
    </row>
    <row r="1015" spans="6:8" ht="12.75">
      <c r="F1015" s="17"/>
      <c r="H1015" s="17"/>
    </row>
    <row r="1016" spans="6:8" ht="12.75">
      <c r="F1016" s="17"/>
      <c r="H1016" s="17"/>
    </row>
    <row r="1017" spans="6:8" ht="12.75">
      <c r="F1017" s="17"/>
      <c r="H1017" s="17"/>
    </row>
    <row r="1018" spans="6:8" ht="12.75">
      <c r="F1018" s="17"/>
      <c r="H1018" s="17"/>
    </row>
    <row r="1019" spans="6:8" ht="12.75">
      <c r="F1019" s="17"/>
      <c r="H1019" s="17"/>
    </row>
    <row r="1020" spans="6:8" ht="12.75">
      <c r="F1020" s="17"/>
      <c r="H1020" s="17"/>
    </row>
    <row r="1021" spans="6:8" ht="12.75">
      <c r="F1021" s="17"/>
      <c r="H1021" s="17"/>
    </row>
    <row r="1022" spans="6:8" ht="12.75">
      <c r="F1022" s="17"/>
      <c r="H1022" s="17"/>
    </row>
    <row r="1023" spans="6:8" ht="12.75">
      <c r="F1023" s="17"/>
      <c r="H1023" s="17"/>
    </row>
    <row r="1024" spans="6:8" ht="12.75">
      <c r="F1024" s="17"/>
      <c r="H1024" s="17"/>
    </row>
    <row r="1025" spans="6:8" ht="12.75">
      <c r="F1025" s="17"/>
      <c r="H1025" s="17"/>
    </row>
    <row r="1026" spans="6:8" ht="12.75">
      <c r="F1026" s="17"/>
      <c r="H1026" s="17"/>
    </row>
    <row r="1027" spans="6:8" ht="12.75">
      <c r="F1027" s="17"/>
      <c r="H1027" s="17"/>
    </row>
    <row r="1028" spans="6:8" ht="12.75">
      <c r="F1028" s="17"/>
      <c r="H1028" s="17"/>
    </row>
    <row r="1029" spans="6:8" ht="12.75">
      <c r="F1029" s="17"/>
      <c r="H1029" s="17"/>
    </row>
    <row r="1030" spans="6:8" ht="12.75">
      <c r="F1030" s="17"/>
      <c r="H1030" s="17"/>
    </row>
    <row r="1031" spans="6:8" ht="12.75">
      <c r="F1031" s="17"/>
      <c r="H1031" s="17"/>
    </row>
    <row r="1032" spans="6:8" ht="12.75">
      <c r="F1032" s="17"/>
      <c r="H1032" s="17"/>
    </row>
    <row r="1033" spans="6:8" ht="12.75">
      <c r="F1033" s="17"/>
      <c r="H1033" s="17"/>
    </row>
    <row r="1034" spans="6:8" ht="12.75">
      <c r="F1034" s="17"/>
      <c r="H1034" s="17"/>
    </row>
    <row r="1035" spans="6:8" ht="12.75">
      <c r="F1035" s="17"/>
      <c r="H1035" s="17"/>
    </row>
    <row r="1036" spans="6:8" ht="12.75">
      <c r="F1036" s="17"/>
      <c r="H1036" s="17"/>
    </row>
    <row r="1037" spans="6:8" ht="12.75">
      <c r="F1037" s="17"/>
      <c r="H1037" s="17"/>
    </row>
    <row r="1038" spans="6:8" ht="12.75">
      <c r="F1038" s="17"/>
      <c r="H1038" s="17"/>
    </row>
    <row r="1039" spans="6:8" ht="12.75">
      <c r="F1039" s="17"/>
      <c r="H1039" s="17"/>
    </row>
    <row r="1040" spans="6:8" ht="12.75">
      <c r="F1040" s="17"/>
      <c r="H1040" s="17"/>
    </row>
    <row r="1041" spans="6:8" ht="12.75">
      <c r="F1041" s="17"/>
      <c r="H1041" s="17"/>
    </row>
    <row r="1042" spans="6:8" ht="12.75">
      <c r="F1042" s="17"/>
      <c r="H1042" s="17"/>
    </row>
    <row r="1043" spans="6:8" ht="12.75">
      <c r="F1043" s="17"/>
      <c r="H1043" s="17"/>
    </row>
    <row r="1044" spans="6:8" ht="12.75">
      <c r="F1044" s="17"/>
      <c r="H1044" s="17"/>
    </row>
    <row r="1045" spans="6:8" ht="12.75">
      <c r="F1045" s="17"/>
      <c r="H1045" s="17"/>
    </row>
    <row r="1046" spans="6:8" ht="12.75">
      <c r="F1046" s="17"/>
      <c r="H1046" s="17"/>
    </row>
    <row r="1047" spans="6:8" ht="12.75">
      <c r="F1047" s="17"/>
      <c r="H1047" s="17"/>
    </row>
    <row r="1048" spans="6:8" ht="12.75">
      <c r="F1048" s="17"/>
      <c r="H1048" s="17"/>
    </row>
    <row r="1049" spans="6:8" ht="12.75">
      <c r="F1049" s="17"/>
      <c r="H1049" s="17"/>
    </row>
    <row r="1050" spans="6:8" ht="12.75">
      <c r="F1050" s="17"/>
      <c r="H1050" s="17"/>
    </row>
    <row r="1051" spans="6:8" ht="12.75">
      <c r="F1051" s="17"/>
      <c r="H1051" s="17"/>
    </row>
    <row r="1052" spans="6:8" ht="12.75">
      <c r="F1052" s="17"/>
      <c r="H1052" s="17"/>
    </row>
    <row r="1053" spans="6:8" ht="12.75">
      <c r="F1053" s="17"/>
      <c r="H1053" s="17"/>
    </row>
    <row r="1054" spans="6:8" ht="12.75">
      <c r="F1054" s="17"/>
      <c r="H1054" s="17"/>
    </row>
    <row r="1055" spans="6:8" ht="12.75">
      <c r="F1055" s="17"/>
      <c r="H1055" s="17"/>
    </row>
    <row r="1056" spans="6:8" ht="12.75">
      <c r="F1056" s="17"/>
      <c r="H1056" s="17"/>
    </row>
    <row r="1057" spans="6:8" ht="12.75">
      <c r="F1057" s="17"/>
      <c r="H1057" s="17"/>
    </row>
    <row r="1058" spans="6:8" ht="12.75">
      <c r="F1058" s="17"/>
      <c r="H1058" s="17"/>
    </row>
    <row r="1059" spans="6:8" ht="12.75">
      <c r="F1059" s="17"/>
      <c r="H1059" s="17"/>
    </row>
    <row r="1060" spans="6:8" ht="12.75">
      <c r="F1060" s="17"/>
      <c r="H1060" s="17"/>
    </row>
    <row r="1061" spans="6:8" ht="12.75">
      <c r="F1061" s="17"/>
      <c r="H1061" s="17"/>
    </row>
    <row r="1062" spans="6:8" ht="12.75">
      <c r="F1062" s="17"/>
      <c r="H1062" s="17"/>
    </row>
    <row r="1063" spans="6:8" ht="12.75">
      <c r="F1063" s="17"/>
      <c r="H1063" s="17"/>
    </row>
    <row r="1064" spans="6:8" ht="12.75">
      <c r="F1064" s="17"/>
      <c r="H1064" s="17"/>
    </row>
    <row r="1065" spans="6:8" ht="12.75">
      <c r="F1065" s="17"/>
      <c r="H1065" s="17"/>
    </row>
    <row r="1066" spans="6:8" ht="12.75">
      <c r="F1066" s="17"/>
      <c r="H1066" s="17"/>
    </row>
    <row r="1067" spans="6:8" ht="12.75">
      <c r="F1067" s="17"/>
      <c r="H1067" s="17"/>
    </row>
    <row r="1068" spans="6:8" ht="12.75">
      <c r="F1068" s="17"/>
      <c r="H1068" s="17"/>
    </row>
    <row r="1069" spans="6:8" ht="12.75">
      <c r="F1069" s="17"/>
      <c r="H1069" s="17"/>
    </row>
    <row r="1070" spans="6:8" ht="12.75">
      <c r="F1070" s="17"/>
      <c r="H1070" s="17"/>
    </row>
    <row r="1071" spans="6:8" ht="12.75">
      <c r="F1071" s="17"/>
      <c r="H1071" s="17"/>
    </row>
    <row r="1072" spans="6:8" ht="12.75">
      <c r="F1072" s="17"/>
      <c r="H1072" s="17"/>
    </row>
    <row r="1073" spans="6:8" ht="12.75">
      <c r="F1073" s="17"/>
      <c r="H1073" s="17"/>
    </row>
    <row r="1074" spans="6:8" ht="12.75">
      <c r="F1074" s="17"/>
      <c r="H1074" s="17"/>
    </row>
    <row r="1075" spans="6:8" ht="12.75">
      <c r="F1075" s="17"/>
      <c r="H1075" s="17"/>
    </row>
    <row r="1076" spans="6:8" ht="12.75">
      <c r="F1076" s="17"/>
      <c r="H1076" s="17"/>
    </row>
    <row r="1077" spans="6:8" ht="12.75">
      <c r="F1077" s="17"/>
      <c r="H1077" s="17"/>
    </row>
    <row r="1078" spans="6:8" ht="12.75">
      <c r="F1078" s="17"/>
      <c r="H1078" s="17"/>
    </row>
    <row r="1079" spans="6:8" ht="12.75">
      <c r="F1079" s="17"/>
      <c r="H1079" s="17"/>
    </row>
    <row r="1080" spans="6:8" ht="12.75">
      <c r="F1080" s="17"/>
      <c r="H1080" s="17"/>
    </row>
    <row r="1081" spans="6:8" ht="12.75">
      <c r="F1081" s="17"/>
      <c r="H1081" s="17"/>
    </row>
    <row r="1082" spans="6:8" ht="12.75">
      <c r="F1082" s="17"/>
      <c r="H1082" s="17"/>
    </row>
    <row r="1083" spans="6:8" ht="12.75">
      <c r="F1083" s="17"/>
      <c r="H1083" s="17"/>
    </row>
    <row r="1084" spans="6:8" ht="12.75">
      <c r="F1084" s="17"/>
      <c r="H1084" s="17"/>
    </row>
    <row r="1085" spans="6:8" ht="12.75">
      <c r="F1085" s="17"/>
      <c r="H1085" s="17"/>
    </row>
    <row r="1086" spans="6:8" ht="12.75">
      <c r="F1086" s="17"/>
      <c r="H1086" s="17"/>
    </row>
    <row r="1087" spans="6:8" ht="12.75">
      <c r="F1087" s="17"/>
      <c r="H1087" s="17"/>
    </row>
    <row r="1088" spans="6:8" ht="12.75">
      <c r="F1088" s="17"/>
      <c r="H1088" s="17"/>
    </row>
    <row r="1089" spans="6:8" ht="12.75">
      <c r="F1089" s="17"/>
      <c r="H1089" s="17"/>
    </row>
    <row r="1090" spans="6:8" ht="12.75">
      <c r="F1090" s="17"/>
      <c r="H1090" s="17"/>
    </row>
    <row r="1091" spans="6:8" ht="12.75">
      <c r="F1091" s="17"/>
      <c r="H1091" s="17"/>
    </row>
    <row r="1092" spans="6:8" ht="12.75">
      <c r="F1092" s="17"/>
      <c r="H1092" s="17"/>
    </row>
    <row r="1093" spans="6:8" ht="12.75">
      <c r="F1093" s="17"/>
      <c r="H1093" s="17"/>
    </row>
    <row r="1094" spans="6:8" ht="12.75">
      <c r="F1094" s="17"/>
      <c r="H1094" s="17"/>
    </row>
    <row r="1095" spans="6:8" ht="12.75">
      <c r="F1095" s="17"/>
      <c r="H1095" s="17"/>
    </row>
    <row r="1096" spans="6:8" ht="12.75">
      <c r="F1096" s="17"/>
      <c r="H1096" s="17"/>
    </row>
    <row r="1097" spans="6:8" ht="12.75">
      <c r="F1097" s="17"/>
      <c r="H1097" s="17"/>
    </row>
    <row r="1098" spans="6:8" ht="12.75">
      <c r="F1098" s="17"/>
      <c r="H1098" s="17"/>
    </row>
    <row r="1099" spans="6:8" ht="12.75">
      <c r="F1099" s="17"/>
      <c r="H1099" s="17"/>
    </row>
    <row r="1100" spans="6:8" ht="12.75">
      <c r="F1100" s="17"/>
      <c r="H1100" s="17"/>
    </row>
    <row r="1101" spans="6:8" ht="12.75">
      <c r="F1101" s="17"/>
      <c r="H1101" s="17"/>
    </row>
    <row r="1102" spans="6:8" ht="12.75">
      <c r="F1102" s="17"/>
      <c r="H1102" s="17"/>
    </row>
    <row r="1103" spans="6:8" ht="12.75">
      <c r="F1103" s="17"/>
      <c r="H1103" s="17"/>
    </row>
    <row r="1104" spans="6:8" ht="12.75">
      <c r="F1104" s="17"/>
      <c r="H1104" s="17"/>
    </row>
    <row r="1105" spans="6:8" ht="12.75">
      <c r="F1105" s="17"/>
      <c r="H1105" s="17"/>
    </row>
    <row r="1106" spans="6:8" ht="12.75">
      <c r="F1106" s="17"/>
      <c r="H1106" s="17"/>
    </row>
    <row r="1107" spans="6:8" ht="12.75">
      <c r="F1107" s="17"/>
      <c r="H1107" s="17"/>
    </row>
    <row r="1108" spans="6:8" ht="12.75">
      <c r="F1108" s="17"/>
      <c r="H1108" s="17"/>
    </row>
    <row r="1109" spans="6:8" ht="12.75">
      <c r="F1109" s="17"/>
      <c r="H1109" s="17"/>
    </row>
    <row r="1110" spans="6:8" ht="12.75">
      <c r="F1110" s="17"/>
      <c r="H1110" s="17"/>
    </row>
    <row r="1111" spans="6:8" ht="12.75">
      <c r="F1111" s="17"/>
      <c r="H1111" s="17"/>
    </row>
    <row r="1112" spans="6:8" ht="12.75">
      <c r="F1112" s="17"/>
      <c r="H1112" s="17"/>
    </row>
    <row r="1113" spans="6:8" ht="12.75">
      <c r="F1113" s="17"/>
      <c r="H1113" s="17"/>
    </row>
    <row r="1114" spans="6:8" ht="12.75">
      <c r="F1114" s="17"/>
      <c r="H1114" s="17"/>
    </row>
    <row r="1115" spans="6:8" ht="12.75">
      <c r="F1115" s="17"/>
      <c r="H1115" s="17"/>
    </row>
    <row r="1116" spans="6:8" ht="12.75">
      <c r="F1116" s="17"/>
      <c r="H1116" s="17"/>
    </row>
    <row r="1117" spans="6:8" ht="12.75">
      <c r="F1117" s="17"/>
      <c r="H1117" s="17"/>
    </row>
    <row r="1118" spans="6:8" ht="12.75">
      <c r="F1118" s="17"/>
      <c r="H1118" s="17"/>
    </row>
    <row r="1119" spans="6:8" ht="12.75">
      <c r="F1119" s="17"/>
      <c r="H1119" s="17"/>
    </row>
    <row r="1120" spans="6:8" ht="12.75">
      <c r="F1120" s="17"/>
      <c r="H1120" s="17"/>
    </row>
    <row r="1121" spans="6:8" ht="12.75">
      <c r="F1121" s="17"/>
      <c r="H1121" s="17"/>
    </row>
    <row r="1122" spans="6:8" ht="12.75">
      <c r="F1122" s="17"/>
      <c r="H1122" s="17"/>
    </row>
    <row r="1123" spans="6:8" ht="12.75">
      <c r="F1123" s="17"/>
      <c r="H1123" s="17"/>
    </row>
    <row r="1124" spans="6:8" ht="12.75">
      <c r="F1124" s="17"/>
      <c r="H1124" s="17"/>
    </row>
    <row r="1125" spans="6:8" ht="12.75">
      <c r="F1125" s="17"/>
      <c r="H1125" s="17"/>
    </row>
    <row r="1126" spans="6:8" ht="12.75">
      <c r="F1126" s="17"/>
      <c r="H1126" s="17"/>
    </row>
    <row r="1127" spans="6:8" ht="12.75">
      <c r="F1127" s="17"/>
      <c r="H1127" s="17"/>
    </row>
    <row r="1128" spans="6:8" ht="12.75">
      <c r="F1128" s="17"/>
      <c r="H1128" s="17"/>
    </row>
    <row r="1129" spans="6:8" ht="12.75">
      <c r="F1129" s="17"/>
      <c r="H1129" s="17"/>
    </row>
    <row r="1130" spans="6:8" ht="12.75">
      <c r="F1130" s="17"/>
      <c r="H1130" s="17"/>
    </row>
    <row r="1131" spans="6:8" ht="12.75">
      <c r="F1131" s="17"/>
      <c r="H1131" s="17"/>
    </row>
    <row r="1132" spans="6:8" ht="12.75">
      <c r="F1132" s="17"/>
      <c r="H1132" s="17"/>
    </row>
    <row r="1133" spans="6:8" ht="12.75">
      <c r="F1133" s="17"/>
      <c r="H1133" s="17"/>
    </row>
    <row r="1134" spans="6:8" ht="12.75">
      <c r="F1134" s="17"/>
      <c r="H1134" s="17"/>
    </row>
    <row r="1135" spans="6:8" ht="12.75">
      <c r="F1135" s="17"/>
      <c r="H1135" s="17"/>
    </row>
    <row r="1136" spans="6:8" ht="12.75">
      <c r="F1136" s="17"/>
      <c r="H1136" s="17"/>
    </row>
    <row r="1137" spans="6:8" ht="12.75">
      <c r="F1137" s="17"/>
      <c r="H1137" s="17"/>
    </row>
    <row r="1138" spans="6:8" ht="12.75">
      <c r="F1138" s="17"/>
      <c r="H1138" s="17"/>
    </row>
    <row r="1139" spans="6:8" ht="12.75">
      <c r="F1139" s="17"/>
      <c r="H1139" s="17"/>
    </row>
    <row r="1140" spans="6:8" ht="12.75">
      <c r="F1140" s="17"/>
      <c r="H1140" s="17"/>
    </row>
    <row r="1141" spans="6:8" ht="12.75">
      <c r="F1141" s="17"/>
      <c r="H1141" s="17"/>
    </row>
    <row r="1142" spans="6:8" ht="12.75">
      <c r="F1142" s="17"/>
      <c r="H1142" s="17"/>
    </row>
    <row r="1143" spans="6:8" ht="12.75">
      <c r="F1143" s="17"/>
      <c r="H1143" s="17"/>
    </row>
    <row r="1144" spans="6:8" ht="12.75">
      <c r="F1144" s="17"/>
      <c r="H1144" s="17"/>
    </row>
    <row r="1145" spans="6:8" ht="12.75">
      <c r="F1145" s="17"/>
      <c r="H1145" s="17"/>
    </row>
    <row r="1146" spans="6:8" ht="12.75">
      <c r="F1146" s="17"/>
      <c r="H1146" s="17"/>
    </row>
    <row r="1147" spans="6:8" ht="12.75">
      <c r="F1147" s="17"/>
      <c r="H1147" s="17"/>
    </row>
    <row r="1148" spans="6:8" ht="12.75">
      <c r="F1148" s="17"/>
      <c r="H1148" s="17"/>
    </row>
    <row r="1149" spans="6:8" ht="12.75">
      <c r="F1149" s="17"/>
      <c r="H1149" s="17"/>
    </row>
    <row r="1150" spans="6:8" ht="12.75">
      <c r="F1150" s="17"/>
      <c r="H1150" s="17"/>
    </row>
    <row r="1151" spans="6:8" ht="12.75">
      <c r="F1151" s="17"/>
      <c r="H1151" s="17"/>
    </row>
    <row r="1152" spans="6:8" ht="12.75">
      <c r="F1152" s="17"/>
      <c r="H1152" s="17"/>
    </row>
    <row r="1153" spans="6:8" ht="12.75">
      <c r="F1153" s="17"/>
      <c r="H1153" s="17"/>
    </row>
    <row r="1154" spans="6:8" ht="12.75">
      <c r="F1154" s="17"/>
      <c r="H1154" s="17"/>
    </row>
    <row r="1155" spans="6:8" ht="12.75">
      <c r="F1155" s="17"/>
      <c r="H1155" s="17"/>
    </row>
    <row r="1156" spans="6:8" ht="12.75">
      <c r="F1156" s="17"/>
      <c r="H1156" s="17"/>
    </row>
    <row r="1157" spans="6:8" ht="12.75">
      <c r="F1157" s="17"/>
      <c r="H1157" s="17"/>
    </row>
    <row r="1158" spans="6:8" ht="12.75">
      <c r="F1158" s="17"/>
      <c r="H1158" s="17"/>
    </row>
    <row r="1159" spans="6:8" ht="12.75">
      <c r="F1159" s="17"/>
      <c r="H1159" s="17"/>
    </row>
    <row r="1160" spans="6:8" ht="12.75">
      <c r="F1160" s="17"/>
      <c r="H1160" s="17"/>
    </row>
    <row r="1161" spans="6:8" ht="12.75">
      <c r="F1161" s="17"/>
      <c r="H1161" s="17"/>
    </row>
    <row r="1162" spans="6:8" ht="12.75">
      <c r="F1162" s="17"/>
      <c r="H1162" s="17"/>
    </row>
    <row r="1163" spans="6:8" ht="12.75">
      <c r="F1163" s="17"/>
      <c r="H1163" s="17"/>
    </row>
    <row r="1164" spans="6:8" ht="12.75">
      <c r="F1164" s="17"/>
      <c r="H1164" s="17"/>
    </row>
    <row r="1165" spans="6:8" ht="12.75">
      <c r="F1165" s="17"/>
      <c r="H1165" s="17"/>
    </row>
    <row r="1166" spans="6:8" ht="12.75">
      <c r="F1166" s="17"/>
      <c r="H1166" s="17"/>
    </row>
    <row r="1167" spans="6:8" ht="12.75">
      <c r="F1167" s="17"/>
      <c r="H1167" s="17"/>
    </row>
    <row r="1168" spans="6:8" ht="12.75">
      <c r="F1168" s="17"/>
      <c r="H1168" s="17"/>
    </row>
    <row r="1169" spans="6:8" ht="12.75">
      <c r="F1169" s="17"/>
      <c r="H1169" s="17"/>
    </row>
    <row r="1170" spans="6:8" ht="12.75">
      <c r="F1170" s="17"/>
      <c r="H1170" s="17"/>
    </row>
    <row r="1171" spans="6:8" ht="12.75">
      <c r="F1171" s="17"/>
      <c r="H1171" s="17"/>
    </row>
    <row r="1172" spans="6:8" ht="12.75">
      <c r="F1172" s="17"/>
      <c r="H1172" s="17"/>
    </row>
    <row r="1173" spans="6:8" ht="12.75">
      <c r="F1173" s="17"/>
      <c r="H1173" s="17"/>
    </row>
    <row r="1174" spans="6:8" ht="12.75">
      <c r="F1174" s="17"/>
      <c r="H1174" s="17"/>
    </row>
    <row r="1175" spans="6:8" ht="12.75">
      <c r="F1175" s="17"/>
      <c r="H1175" s="17"/>
    </row>
    <row r="1176" spans="6:8" ht="12.75">
      <c r="F1176" s="17"/>
      <c r="H1176" s="17"/>
    </row>
    <row r="1177" spans="6:8" ht="12.75">
      <c r="F1177" s="17"/>
      <c r="H1177" s="17"/>
    </row>
    <row r="1178" spans="6:8" ht="12.75">
      <c r="F1178" s="17"/>
      <c r="H1178" s="17"/>
    </row>
    <row r="1179" spans="6:8" ht="12.75">
      <c r="F1179" s="17"/>
      <c r="H1179" s="17"/>
    </row>
    <row r="1180" spans="6:8" ht="12.75">
      <c r="F1180" s="17"/>
      <c r="H1180" s="17"/>
    </row>
    <row r="1181" spans="6:8" ht="12.75">
      <c r="F1181" s="17"/>
      <c r="H1181" s="17"/>
    </row>
    <row r="1182" spans="6:8" ht="12.75">
      <c r="F1182" s="17"/>
      <c r="H1182" s="17"/>
    </row>
    <row r="1183" spans="6:8" ht="12.75">
      <c r="F1183" s="17"/>
      <c r="H1183" s="17"/>
    </row>
    <row r="1184" spans="6:8" ht="12.75">
      <c r="F1184" s="17"/>
      <c r="H1184" s="17"/>
    </row>
    <row r="1185" spans="6:8" ht="12.75">
      <c r="F1185" s="17"/>
      <c r="H1185" s="17"/>
    </row>
    <row r="1186" spans="6:8" ht="12.75">
      <c r="F1186" s="17"/>
      <c r="H1186" s="17"/>
    </row>
    <row r="1187" spans="6:8" ht="12.75">
      <c r="F1187" s="17"/>
      <c r="H1187" s="17"/>
    </row>
    <row r="1188" spans="6:8" ht="12.75">
      <c r="F1188" s="17"/>
      <c r="H1188" s="17"/>
    </row>
    <row r="1189" spans="6:8" ht="12.75">
      <c r="F1189" s="17"/>
      <c r="H1189" s="17"/>
    </row>
    <row r="1190" spans="6:8" ht="12.75">
      <c r="F1190" s="17"/>
      <c r="H1190" s="17"/>
    </row>
    <row r="1191" spans="6:8" ht="12.75">
      <c r="F1191" s="17"/>
      <c r="H1191" s="17"/>
    </row>
    <row r="1192" spans="6:8" ht="12.75">
      <c r="F1192" s="17"/>
      <c r="H1192" s="17"/>
    </row>
    <row r="1193" spans="6:8" ht="12.75">
      <c r="F1193" s="17"/>
      <c r="H1193" s="17"/>
    </row>
    <row r="1194" spans="6:8" ht="12.75">
      <c r="F1194" s="17"/>
      <c r="H1194" s="17"/>
    </row>
    <row r="1195" spans="6:8" ht="12.75">
      <c r="F1195" s="17"/>
      <c r="H1195" s="17"/>
    </row>
    <row r="1196" spans="6:8" ht="12.75">
      <c r="F1196" s="17"/>
      <c r="H1196" s="17"/>
    </row>
    <row r="1197" spans="6:8" ht="12.75">
      <c r="F1197" s="17"/>
      <c r="H1197" s="17"/>
    </row>
    <row r="1198" spans="6:8" ht="12.75">
      <c r="F1198" s="17"/>
      <c r="H1198" s="17"/>
    </row>
    <row r="1199" spans="6:8" ht="12.75">
      <c r="F1199" s="17"/>
      <c r="H1199" s="17"/>
    </row>
    <row r="1200" spans="6:8" ht="12.75">
      <c r="F1200" s="17"/>
      <c r="H1200" s="17"/>
    </row>
    <row r="1201" spans="6:8" ht="12.75">
      <c r="F1201" s="17"/>
      <c r="H1201" s="17"/>
    </row>
    <row r="1202" spans="6:8" ht="12.75">
      <c r="F1202" s="17"/>
      <c r="H1202" s="17"/>
    </row>
    <row r="1203" spans="6:8" ht="12.75">
      <c r="F1203" s="17"/>
      <c r="H1203" s="17"/>
    </row>
    <row r="1204" spans="6:8" ht="12.75">
      <c r="F1204" s="17"/>
      <c r="H1204" s="17"/>
    </row>
    <row r="1205" spans="6:8" ht="12.75">
      <c r="F1205" s="17"/>
      <c r="H1205" s="17"/>
    </row>
    <row r="1206" spans="6:8" ht="12.75">
      <c r="F1206" s="17"/>
      <c r="H1206" s="17"/>
    </row>
    <row r="1207" spans="6:8" ht="12.75">
      <c r="F1207" s="17"/>
      <c r="H1207" s="17"/>
    </row>
    <row r="1208" spans="6:8" ht="12.75">
      <c r="F1208" s="17"/>
      <c r="H1208" s="17"/>
    </row>
    <row r="1209" spans="6:8" ht="12.75">
      <c r="F1209" s="17"/>
      <c r="H1209" s="17"/>
    </row>
    <row r="1210" spans="6:8" ht="12.75">
      <c r="F1210" s="17"/>
      <c r="H1210" s="17"/>
    </row>
    <row r="1211" spans="6:8" ht="12.75">
      <c r="F1211" s="17"/>
      <c r="H1211" s="17"/>
    </row>
    <row r="1212" spans="6:8" ht="12.75">
      <c r="F1212" s="17"/>
      <c r="H1212" s="17"/>
    </row>
    <row r="1213" spans="6:8" ht="12.75">
      <c r="F1213" s="17"/>
      <c r="H1213" s="17"/>
    </row>
    <row r="1214" spans="6:8" ht="12.75">
      <c r="F1214" s="17"/>
      <c r="H1214" s="17"/>
    </row>
    <row r="1215" spans="6:8" ht="12.75">
      <c r="F1215" s="17"/>
      <c r="H1215" s="17"/>
    </row>
    <row r="1216" spans="6:8" ht="12.75">
      <c r="F1216" s="17"/>
      <c r="H1216" s="17"/>
    </row>
    <row r="1217" spans="6:8" ht="12.75">
      <c r="F1217" s="17"/>
      <c r="H1217" s="17"/>
    </row>
    <row r="1218" spans="6:8" ht="12.75">
      <c r="F1218" s="17"/>
      <c r="H1218" s="17"/>
    </row>
    <row r="1219" spans="6:8" ht="12.75">
      <c r="F1219" s="17"/>
      <c r="H1219" s="17"/>
    </row>
    <row r="1220" spans="6:8" ht="12.75">
      <c r="F1220" s="17"/>
      <c r="H1220" s="17"/>
    </row>
    <row r="1221" spans="6:8" ht="12.75">
      <c r="F1221" s="17"/>
      <c r="H1221" s="17"/>
    </row>
    <row r="1222" spans="6:8" ht="12.75">
      <c r="F1222" s="17"/>
      <c r="H1222" s="17"/>
    </row>
    <row r="1223" spans="6:8" ht="12.75">
      <c r="F1223" s="17"/>
      <c r="H1223" s="17"/>
    </row>
    <row r="1224" spans="6:8" ht="12.75">
      <c r="F1224" s="17"/>
      <c r="H1224" s="17"/>
    </row>
    <row r="1225" spans="6:8" ht="12.75">
      <c r="F1225" s="17"/>
      <c r="H1225" s="17"/>
    </row>
    <row r="1226" spans="6:8" ht="12.75">
      <c r="F1226" s="17"/>
      <c r="H1226" s="17"/>
    </row>
    <row r="1227" spans="6:8" ht="12.75">
      <c r="F1227" s="17"/>
      <c r="H1227" s="17"/>
    </row>
    <row r="1228" spans="6:8" ht="12.75">
      <c r="F1228" s="17"/>
      <c r="H1228" s="17"/>
    </row>
    <row r="1229" spans="6:8" ht="12.75">
      <c r="F1229" s="17"/>
      <c r="H1229" s="17"/>
    </row>
    <row r="1230" spans="6:8" ht="12.75">
      <c r="F1230" s="17"/>
      <c r="H1230" s="17"/>
    </row>
    <row r="1231" spans="6:8" ht="12.75">
      <c r="F1231" s="17"/>
      <c r="H1231" s="17"/>
    </row>
    <row r="1232" spans="6:8" ht="12.75">
      <c r="F1232" s="17"/>
      <c r="H1232" s="17"/>
    </row>
    <row r="1233" spans="6:8" ht="12.75">
      <c r="F1233" s="17"/>
      <c r="H1233" s="17"/>
    </row>
    <row r="1234" spans="6:8" ht="12.75">
      <c r="F1234" s="17"/>
      <c r="H1234" s="17"/>
    </row>
    <row r="1235" spans="6:8" ht="12.75">
      <c r="F1235" s="17"/>
      <c r="H1235" s="17"/>
    </row>
    <row r="1236" spans="6:8" ht="12.75">
      <c r="F1236" s="17"/>
      <c r="H1236" s="17"/>
    </row>
    <row r="1237" spans="6:8" ht="12.75">
      <c r="F1237" s="17"/>
      <c r="H1237" s="17"/>
    </row>
    <row r="1238" spans="6:8" ht="12.75">
      <c r="F1238" s="17"/>
      <c r="H1238" s="17"/>
    </row>
    <row r="1239" spans="6:8" ht="12.75">
      <c r="F1239" s="17"/>
      <c r="H1239" s="17"/>
    </row>
    <row r="1240" spans="6:8" ht="12.75">
      <c r="F1240" s="17"/>
      <c r="H1240" s="17"/>
    </row>
    <row r="1241" spans="6:8" ht="12.75">
      <c r="F1241" s="17"/>
      <c r="H1241" s="17"/>
    </row>
    <row r="1242" spans="6:8" ht="12.75">
      <c r="F1242" s="17"/>
      <c r="H1242" s="17"/>
    </row>
    <row r="1243" spans="6:8" ht="12.75">
      <c r="F1243" s="17"/>
      <c r="H1243" s="17"/>
    </row>
    <row r="1244" spans="6:8" ht="12.75">
      <c r="F1244" s="17"/>
      <c r="H1244" s="17"/>
    </row>
    <row r="1245" spans="6:8" ht="12.75">
      <c r="F1245" s="17"/>
      <c r="H1245" s="17"/>
    </row>
    <row r="1246" spans="6:8" ht="12.75">
      <c r="F1246" s="17"/>
      <c r="H1246" s="17"/>
    </row>
    <row r="1247" spans="6:8" ht="12.75">
      <c r="F1247" s="17"/>
      <c r="H1247" s="17"/>
    </row>
    <row r="1248" spans="6:8" ht="12.75">
      <c r="F1248" s="17"/>
      <c r="H1248" s="17"/>
    </row>
    <row r="1249" spans="6:8" ht="12.75">
      <c r="F1249" s="17"/>
      <c r="H1249" s="17"/>
    </row>
    <row r="1250" spans="6:8" ht="12.75">
      <c r="F1250" s="17"/>
      <c r="H1250" s="17"/>
    </row>
    <row r="1251" spans="6:8" ht="12.75">
      <c r="F1251" s="17"/>
      <c r="H1251" s="17"/>
    </row>
    <row r="1252" spans="6:8" ht="12.75">
      <c r="F1252" s="17"/>
      <c r="H1252" s="17"/>
    </row>
    <row r="1253" spans="6:8" ht="12.75">
      <c r="F1253" s="17"/>
      <c r="H1253" s="17"/>
    </row>
    <row r="1254" spans="6:8" ht="12.75">
      <c r="F1254" s="17"/>
      <c r="H1254" s="17"/>
    </row>
    <row r="1255" spans="6:8" ht="12.75">
      <c r="F1255" s="17"/>
      <c r="H1255" s="17"/>
    </row>
    <row r="1256" spans="6:8" ht="12.75">
      <c r="F1256" s="17"/>
      <c r="H1256" s="17"/>
    </row>
    <row r="1257" spans="6:8" ht="12.75">
      <c r="F1257" s="17"/>
      <c r="H1257" s="17"/>
    </row>
    <row r="1258" spans="6:8" ht="12.75">
      <c r="F1258" s="17"/>
      <c r="H1258" s="17"/>
    </row>
    <row r="1259" spans="6:8" ht="12.75">
      <c r="F1259" s="17"/>
      <c r="H1259" s="17"/>
    </row>
    <row r="1260" spans="6:8" ht="12.75">
      <c r="F1260" s="17"/>
      <c r="H1260" s="17"/>
    </row>
    <row r="1261" spans="6:8" ht="12.75">
      <c r="F1261" s="17"/>
      <c r="H1261" s="17"/>
    </row>
    <row r="1262" spans="6:8" ht="12.75">
      <c r="F1262" s="17"/>
      <c r="H1262" s="17"/>
    </row>
    <row r="1263" spans="6:8" ht="12.75">
      <c r="F1263" s="17"/>
      <c r="H1263" s="17"/>
    </row>
    <row r="1264" spans="6:8" ht="12.75">
      <c r="F1264" s="17"/>
      <c r="H1264" s="17"/>
    </row>
    <row r="1265" spans="6:8" ht="12.75">
      <c r="F1265" s="17"/>
      <c r="H1265" s="17"/>
    </row>
    <row r="1266" spans="6:8" ht="12.75">
      <c r="F1266" s="17"/>
      <c r="H1266" s="17"/>
    </row>
    <row r="1267" spans="6:8" ht="12.75">
      <c r="F1267" s="17"/>
      <c r="H1267" s="17"/>
    </row>
    <row r="1268" spans="6:8" ht="12.75">
      <c r="F1268" s="17"/>
      <c r="H1268" s="17"/>
    </row>
    <row r="1269" spans="6:8" ht="12.75">
      <c r="F1269" s="17"/>
      <c r="H1269" s="17"/>
    </row>
    <row r="1270" spans="6:8" ht="12.75">
      <c r="F1270" s="17"/>
      <c r="H1270" s="17"/>
    </row>
    <row r="1271" spans="6:8" ht="12.75">
      <c r="F1271" s="17"/>
      <c r="H1271" s="17"/>
    </row>
    <row r="1272" spans="6:8" ht="12.75">
      <c r="F1272" s="17"/>
      <c r="H1272" s="17"/>
    </row>
    <row r="1273" spans="6:8" ht="12.75">
      <c r="F1273" s="17"/>
      <c r="H1273" s="17"/>
    </row>
    <row r="1274" spans="6:8" ht="12.75">
      <c r="F1274" s="17"/>
      <c r="H1274" s="17"/>
    </row>
    <row r="1275" spans="6:8" ht="12.75">
      <c r="F1275" s="17"/>
      <c r="H1275" s="17"/>
    </row>
    <row r="1276" spans="6:8" ht="12.75">
      <c r="F1276" s="17"/>
      <c r="H1276" s="17"/>
    </row>
    <row r="1277" spans="6:8" ht="12.75">
      <c r="F1277" s="17"/>
      <c r="H1277" s="17"/>
    </row>
    <row r="1278" spans="6:8" ht="12.75">
      <c r="F1278" s="17"/>
      <c r="H1278" s="17"/>
    </row>
    <row r="1279" spans="6:8" ht="12.75">
      <c r="F1279" s="17"/>
      <c r="H1279" s="17"/>
    </row>
    <row r="1280" spans="6:8" ht="12.75">
      <c r="F1280" s="17"/>
      <c r="H1280" s="17"/>
    </row>
    <row r="1281" spans="6:8" ht="12.75">
      <c r="F1281" s="17"/>
      <c r="H1281" s="17"/>
    </row>
    <row r="1282" spans="6:8" ht="12.75">
      <c r="F1282" s="17"/>
      <c r="H1282" s="17"/>
    </row>
    <row r="1283" spans="6:8" ht="12.75">
      <c r="F1283" s="17"/>
      <c r="H1283" s="17"/>
    </row>
    <row r="1284" spans="6:8" ht="12.75">
      <c r="F1284" s="17"/>
      <c r="H1284" s="17"/>
    </row>
    <row r="1285" spans="6:8" ht="12.75">
      <c r="F1285" s="17"/>
      <c r="H1285" s="17"/>
    </row>
    <row r="1286" spans="6:8" ht="12.75">
      <c r="F1286" s="17"/>
      <c r="H1286" s="17"/>
    </row>
    <row r="1287" spans="6:8" ht="12.75">
      <c r="F1287" s="17"/>
      <c r="H1287" s="17"/>
    </row>
    <row r="1288" spans="6:8" ht="12.75">
      <c r="F1288" s="17"/>
      <c r="H1288" s="17"/>
    </row>
    <row r="1289" spans="6:8" ht="12.75">
      <c r="F1289" s="17"/>
      <c r="H1289" s="17"/>
    </row>
    <row r="1290" spans="6:8" ht="12.75">
      <c r="F1290" s="17"/>
      <c r="H1290" s="17"/>
    </row>
    <row r="1291" spans="6:8" ht="12.75">
      <c r="F1291" s="17"/>
      <c r="H1291" s="17"/>
    </row>
    <row r="1292" spans="6:8" ht="12.75">
      <c r="F1292" s="17"/>
      <c r="H1292" s="17"/>
    </row>
    <row r="1293" spans="6:8" ht="12.75">
      <c r="F1293" s="17"/>
      <c r="H1293" s="17"/>
    </row>
    <row r="1294" spans="6:8" ht="12.75">
      <c r="F1294" s="17"/>
      <c r="H1294" s="17"/>
    </row>
    <row r="1295" spans="6:8" ht="12.75">
      <c r="F1295" s="17"/>
      <c r="H1295" s="17"/>
    </row>
    <row r="1296" spans="6:8" ht="12.75">
      <c r="F1296" s="17"/>
      <c r="H1296" s="17"/>
    </row>
    <row r="1297" spans="6:8" ht="12.75">
      <c r="F1297" s="17"/>
      <c r="H1297" s="17"/>
    </row>
    <row r="1298" spans="6:8" ht="12.75">
      <c r="F1298" s="17"/>
      <c r="H1298" s="17"/>
    </row>
    <row r="1299" spans="6:8" ht="12.75">
      <c r="F1299" s="17"/>
      <c r="H1299" s="17"/>
    </row>
    <row r="1300" spans="6:8" ht="12.75">
      <c r="F1300" s="17"/>
      <c r="H1300" s="17"/>
    </row>
    <row r="1301" spans="6:8" ht="12.75">
      <c r="F1301" s="17"/>
      <c r="H1301" s="17"/>
    </row>
    <row r="1302" spans="6:8" ht="12.75">
      <c r="F1302" s="17"/>
      <c r="H1302" s="17"/>
    </row>
    <row r="1303" spans="6:8" ht="12.75">
      <c r="F1303" s="17"/>
      <c r="H1303" s="17"/>
    </row>
    <row r="1304" spans="6:8" ht="12.75">
      <c r="F1304" s="17"/>
      <c r="H1304" s="17"/>
    </row>
    <row r="1305" spans="6:8" ht="12.75">
      <c r="F1305" s="17"/>
      <c r="H1305" s="17"/>
    </row>
    <row r="1306" spans="6:8" ht="12.75">
      <c r="F1306" s="17"/>
      <c r="H1306" s="17"/>
    </row>
    <row r="1307" spans="6:8" ht="12.75">
      <c r="F1307" s="17"/>
      <c r="H1307" s="17"/>
    </row>
    <row r="1308" spans="6:8" ht="12.75">
      <c r="F1308" s="17"/>
      <c r="H1308" s="17"/>
    </row>
    <row r="1309" spans="6:8" ht="12.75">
      <c r="F1309" s="17"/>
      <c r="H1309" s="17"/>
    </row>
    <row r="1310" spans="6:8" ht="12.75">
      <c r="F1310" s="17"/>
      <c r="H1310" s="17"/>
    </row>
    <row r="1311" spans="6:8" ht="12.75">
      <c r="F1311" s="17"/>
      <c r="H1311" s="17"/>
    </row>
    <row r="1312" spans="6:8" ht="12.75">
      <c r="F1312" s="17"/>
      <c r="H1312" s="17"/>
    </row>
    <row r="1313" spans="6:8" ht="12.75">
      <c r="F1313" s="17"/>
      <c r="H1313" s="17"/>
    </row>
    <row r="1314" spans="6:8" ht="12.75">
      <c r="F1314" s="17"/>
      <c r="H1314" s="17"/>
    </row>
    <row r="1315" spans="6:8" ht="12.75">
      <c r="F1315" s="17"/>
      <c r="H1315" s="17"/>
    </row>
    <row r="1316" spans="6:8" ht="12.75">
      <c r="F1316" s="17"/>
      <c r="H1316" s="17"/>
    </row>
    <row r="1317" spans="6:8" ht="12.75">
      <c r="F1317" s="17"/>
      <c r="H1317" s="17"/>
    </row>
    <row r="1318" spans="6:8" ht="12.75">
      <c r="F1318" s="17"/>
      <c r="H1318" s="17"/>
    </row>
    <row r="1319" spans="6:8" ht="12.75">
      <c r="F1319" s="17"/>
      <c r="H1319" s="17"/>
    </row>
    <row r="1320" spans="6:8" ht="12.75">
      <c r="F1320" s="17"/>
      <c r="H1320" s="17"/>
    </row>
    <row r="1321" spans="6:8" ht="12.75">
      <c r="F1321" s="17"/>
      <c r="H1321" s="17"/>
    </row>
    <row r="1322" spans="6:8" ht="12.75">
      <c r="F1322" s="17"/>
      <c r="H1322" s="17"/>
    </row>
    <row r="1323" spans="6:8" ht="12.75">
      <c r="F1323" s="17"/>
      <c r="H1323" s="17"/>
    </row>
    <row r="1324" spans="6:8" ht="12.75">
      <c r="F1324" s="17"/>
      <c r="H1324" s="17"/>
    </row>
    <row r="1325" spans="6:8" ht="12.75">
      <c r="F1325" s="17"/>
      <c r="H1325" s="17"/>
    </row>
    <row r="1326" spans="6:8" ht="12.75">
      <c r="F1326" s="17"/>
      <c r="H1326" s="17"/>
    </row>
    <row r="1327" spans="6:8" ht="12.75">
      <c r="F1327" s="17"/>
      <c r="H1327" s="17"/>
    </row>
    <row r="1328" spans="6:8" ht="12.75">
      <c r="F1328" s="17"/>
      <c r="H1328" s="17"/>
    </row>
    <row r="1329" spans="6:8" ht="12.75">
      <c r="F1329" s="17"/>
      <c r="H1329" s="17"/>
    </row>
    <row r="1330" spans="6:8" ht="12.75">
      <c r="F1330" s="17"/>
      <c r="H1330" s="17"/>
    </row>
    <row r="1331" spans="6:8" ht="12.75">
      <c r="F1331" s="17"/>
      <c r="H1331" s="17"/>
    </row>
    <row r="1332" spans="6:8" ht="12.75">
      <c r="F1332" s="17"/>
      <c r="H1332" s="17"/>
    </row>
    <row r="1333" spans="6:8" ht="12.75">
      <c r="F1333" s="17"/>
      <c r="H1333" s="17"/>
    </row>
  </sheetData>
  <mergeCells count="4">
    <mergeCell ref="E7:E8"/>
    <mergeCell ref="F7:F8"/>
    <mergeCell ref="I7:I8"/>
    <mergeCell ref="H7:H8"/>
  </mergeCells>
  <printOptions horizontalCentered="1"/>
  <pageMargins left="0.4724409448818898" right="0.4330708661417323" top="0.4724409448818898" bottom="0.5905511811023623" header="0.5118110236220472" footer="0.5118110236220472"/>
  <pageSetup firstPageNumber="3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zoomScale="75" zoomScaleNormal="75" workbookViewId="0" topLeftCell="A1">
      <selection activeCell="J93" sqref="J93"/>
    </sheetView>
  </sheetViews>
  <sheetFormatPr defaultColWidth="9.00390625" defaultRowHeight="12.75"/>
  <cols>
    <col min="1" max="1" width="6.375" style="0" customWidth="1"/>
    <col min="2" max="2" width="8.625" style="0" customWidth="1"/>
    <col min="3" max="3" width="7.25390625" style="0" customWidth="1"/>
    <col min="4" max="4" width="55.875" style="0" customWidth="1"/>
    <col min="5" max="5" width="23.00390625" style="0" customWidth="1"/>
    <col min="6" max="6" width="17.75390625" style="0" customWidth="1"/>
    <col min="7" max="7" width="17.25390625" style="0" customWidth="1"/>
    <col min="8" max="8" width="20.25390625" style="0" customWidth="1"/>
    <col min="9" max="9" width="11.875" style="0" customWidth="1"/>
    <col min="10" max="10" width="12.375" style="0" customWidth="1"/>
    <col min="11" max="11" width="11.625" style="0" customWidth="1"/>
    <col min="12" max="12" width="11.00390625" style="0" customWidth="1"/>
  </cols>
  <sheetData>
    <row r="1" ht="15" customHeight="1">
      <c r="G1" s="24" t="s">
        <v>59</v>
      </c>
    </row>
    <row r="2" ht="15" customHeight="1">
      <c r="G2" s="101" t="s">
        <v>215</v>
      </c>
    </row>
    <row r="3" ht="15" customHeight="1">
      <c r="G3" s="102" t="s">
        <v>34</v>
      </c>
    </row>
    <row r="4" spans="4:7" ht="15" customHeight="1">
      <c r="D4" s="93" t="s">
        <v>97</v>
      </c>
      <c r="G4" s="102" t="s">
        <v>216</v>
      </c>
    </row>
    <row r="5" spans="4:7" ht="15" customHeight="1">
      <c r="D5" s="93"/>
      <c r="G5" s="102"/>
    </row>
    <row r="6" ht="12" customHeight="1"/>
    <row r="7" ht="15" customHeight="1" thickBot="1">
      <c r="H7" s="32" t="s">
        <v>1</v>
      </c>
    </row>
    <row r="8" spans="1:8" ht="81" customHeight="1" thickBot="1" thickTop="1">
      <c r="A8" s="3" t="s">
        <v>11</v>
      </c>
      <c r="B8" s="3" t="s">
        <v>2</v>
      </c>
      <c r="C8" s="3" t="s">
        <v>33</v>
      </c>
      <c r="D8" s="4" t="s">
        <v>91</v>
      </c>
      <c r="E8" s="4" t="s">
        <v>202</v>
      </c>
      <c r="F8" s="4" t="s">
        <v>21</v>
      </c>
      <c r="G8" s="4" t="s">
        <v>20</v>
      </c>
      <c r="H8" s="4" t="s">
        <v>25</v>
      </c>
    </row>
    <row r="9" spans="1:19" s="11" customFormat="1" ht="16.5" customHeight="1" thickBot="1" thickTop="1">
      <c r="A9" s="8">
        <v>1</v>
      </c>
      <c r="B9" s="8">
        <v>2</v>
      </c>
      <c r="C9" s="8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/>
      <c r="J9"/>
      <c r="K9"/>
      <c r="L9"/>
      <c r="M9"/>
      <c r="N9"/>
      <c r="O9"/>
      <c r="P9"/>
      <c r="Q9"/>
      <c r="R9"/>
      <c r="S9"/>
    </row>
    <row r="10" spans="1:11" ht="19.5" customHeight="1" thickBot="1" thickTop="1">
      <c r="A10" s="14"/>
      <c r="B10" s="15"/>
      <c r="C10" s="15"/>
      <c r="D10" s="31" t="s">
        <v>5</v>
      </c>
      <c r="E10" s="19">
        <f>E12+E63+E64</f>
        <v>777577131</v>
      </c>
      <c r="F10" s="19">
        <f>F12+F63+F64</f>
        <v>405600</v>
      </c>
      <c r="G10" s="19">
        <f>G12+G63+G64</f>
        <v>5564589</v>
      </c>
      <c r="H10" s="19">
        <f>E10+G10-F10</f>
        <v>782736120</v>
      </c>
      <c r="J10" s="17"/>
      <c r="K10" s="17"/>
    </row>
    <row r="11" spans="1:8" ht="12.75">
      <c r="A11" s="9"/>
      <c r="B11" s="9"/>
      <c r="C11" s="9"/>
      <c r="D11" s="9" t="s">
        <v>3</v>
      </c>
      <c r="E11" s="20"/>
      <c r="F11" s="20"/>
      <c r="G11" s="20"/>
      <c r="H11" s="21"/>
    </row>
    <row r="12" spans="1:10" s="335" customFormat="1" ht="19.5" customHeight="1" thickBot="1">
      <c r="A12" s="13"/>
      <c r="B12" s="13"/>
      <c r="C12" s="13"/>
      <c r="D12" s="513" t="s">
        <v>6</v>
      </c>
      <c r="E12" s="514">
        <v>695664395</v>
      </c>
      <c r="F12" s="514">
        <f>F30+F44+F25+F39+F50+F13+F57</f>
        <v>330000</v>
      </c>
      <c r="G12" s="514">
        <f>G30+G44+G25+G39+G50+G13+G57</f>
        <v>5488989</v>
      </c>
      <c r="H12" s="514">
        <f aca="true" t="shared" si="0" ref="H12:H84">E12+G12-F12</f>
        <v>700823384</v>
      </c>
      <c r="I12" s="515"/>
      <c r="J12" s="515"/>
    </row>
    <row r="13" spans="1:8" s="335" customFormat="1" ht="18.75" customHeight="1" thickTop="1">
      <c r="A13" s="303">
        <v>600</v>
      </c>
      <c r="B13" s="379"/>
      <c r="C13" s="379"/>
      <c r="D13" s="380" t="s">
        <v>138</v>
      </c>
      <c r="E13" s="334">
        <v>59574724</v>
      </c>
      <c r="F13" s="334"/>
      <c r="G13" s="334">
        <f>G14+G18+G22</f>
        <v>3330000</v>
      </c>
      <c r="H13" s="334">
        <f t="shared" si="0"/>
        <v>62904724</v>
      </c>
    </row>
    <row r="14" spans="1:19" s="337" customFormat="1" ht="20.25" customHeight="1">
      <c r="A14" s="247"/>
      <c r="B14" s="13">
        <v>60015</v>
      </c>
      <c r="C14" s="13"/>
      <c r="D14" s="13" t="s">
        <v>143</v>
      </c>
      <c r="E14" s="336">
        <v>35560000</v>
      </c>
      <c r="F14" s="336"/>
      <c r="G14" s="336">
        <f>G15</f>
        <v>2800000</v>
      </c>
      <c r="H14" s="336">
        <f t="shared" si="0"/>
        <v>38360000</v>
      </c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</row>
    <row r="15" spans="1:8" s="335" customFormat="1" ht="20.25" customHeight="1">
      <c r="A15" s="247"/>
      <c r="B15" s="247"/>
      <c r="C15" s="381"/>
      <c r="D15" s="304" t="s">
        <v>144</v>
      </c>
      <c r="E15" s="516">
        <v>4900000</v>
      </c>
      <c r="F15" s="516"/>
      <c r="G15" s="516">
        <f>SUM(G16:G17)</f>
        <v>2800000</v>
      </c>
      <c r="H15" s="516">
        <f t="shared" si="0"/>
        <v>7700000</v>
      </c>
    </row>
    <row r="16" spans="1:8" s="518" customFormat="1" ht="19.5" customHeight="1">
      <c r="A16" s="180"/>
      <c r="B16" s="180"/>
      <c r="C16" s="184">
        <v>4260</v>
      </c>
      <c r="D16" s="184" t="s">
        <v>76</v>
      </c>
      <c r="E16" s="517">
        <v>250000</v>
      </c>
      <c r="F16" s="517"/>
      <c r="G16" s="517">
        <v>80000</v>
      </c>
      <c r="H16" s="517">
        <f t="shared" si="0"/>
        <v>330000</v>
      </c>
    </row>
    <row r="17" spans="1:8" s="518" customFormat="1" ht="19.5" customHeight="1">
      <c r="A17" s="180"/>
      <c r="B17" s="184"/>
      <c r="C17" s="184">
        <v>4300</v>
      </c>
      <c r="D17" s="307" t="s">
        <v>70</v>
      </c>
      <c r="E17" s="517">
        <v>4640000</v>
      </c>
      <c r="F17" s="517"/>
      <c r="G17" s="517">
        <v>2720000</v>
      </c>
      <c r="H17" s="517">
        <f t="shared" si="0"/>
        <v>7360000</v>
      </c>
    </row>
    <row r="18" spans="1:19" s="337" customFormat="1" ht="20.25" customHeight="1">
      <c r="A18" s="247"/>
      <c r="B18" s="13">
        <v>60016</v>
      </c>
      <c r="C18" s="13"/>
      <c r="D18" s="13" t="s">
        <v>139</v>
      </c>
      <c r="E18" s="336">
        <v>6405000</v>
      </c>
      <c r="F18" s="336"/>
      <c r="G18" s="336">
        <f>G19</f>
        <v>430000</v>
      </c>
      <c r="H18" s="336">
        <f t="shared" si="0"/>
        <v>6835000</v>
      </c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</row>
    <row r="19" spans="1:8" s="335" customFormat="1" ht="20.25" customHeight="1">
      <c r="A19" s="247"/>
      <c r="B19" s="247"/>
      <c r="C19" s="381"/>
      <c r="D19" s="304" t="s">
        <v>144</v>
      </c>
      <c r="E19" s="516">
        <v>2270000</v>
      </c>
      <c r="F19" s="516"/>
      <c r="G19" s="516">
        <f>SUM(G20:G21)</f>
        <v>430000</v>
      </c>
      <c r="H19" s="516">
        <f>E19+G19-F19</f>
        <v>2700000</v>
      </c>
    </row>
    <row r="20" spans="1:8" s="518" customFormat="1" ht="19.5" customHeight="1">
      <c r="A20" s="180"/>
      <c r="B20" s="180"/>
      <c r="C20" s="184">
        <v>4260</v>
      </c>
      <c r="D20" s="184" t="s">
        <v>76</v>
      </c>
      <c r="E20" s="517">
        <v>7000</v>
      </c>
      <c r="F20" s="517"/>
      <c r="G20" s="517">
        <v>2000</v>
      </c>
      <c r="H20" s="517">
        <f>E20+G20-F20</f>
        <v>9000</v>
      </c>
    </row>
    <row r="21" spans="1:8" s="518" customFormat="1" ht="19.5" customHeight="1">
      <c r="A21" s="180"/>
      <c r="B21" s="184"/>
      <c r="C21" s="184">
        <v>4300</v>
      </c>
      <c r="D21" s="307" t="s">
        <v>70</v>
      </c>
      <c r="E21" s="517">
        <v>2253000</v>
      </c>
      <c r="F21" s="517"/>
      <c r="G21" s="517">
        <v>428000</v>
      </c>
      <c r="H21" s="517">
        <f>E21+G21-F21</f>
        <v>2681000</v>
      </c>
    </row>
    <row r="22" spans="1:19" s="337" customFormat="1" ht="20.25" customHeight="1">
      <c r="A22" s="247"/>
      <c r="B22" s="13">
        <v>60017</v>
      </c>
      <c r="C22" s="13"/>
      <c r="D22" s="13" t="s">
        <v>145</v>
      </c>
      <c r="E22" s="336">
        <v>430000</v>
      </c>
      <c r="F22" s="336"/>
      <c r="G22" s="336">
        <f>G23</f>
        <v>100000</v>
      </c>
      <c r="H22" s="336">
        <f t="shared" si="0"/>
        <v>530000</v>
      </c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</row>
    <row r="23" spans="1:8" s="335" customFormat="1" ht="20.25" customHeight="1">
      <c r="A23" s="247"/>
      <c r="B23" s="247"/>
      <c r="C23" s="247"/>
      <c r="D23" s="304" t="s">
        <v>144</v>
      </c>
      <c r="E23" s="516">
        <v>200000</v>
      </c>
      <c r="F23" s="516"/>
      <c r="G23" s="516">
        <f>G24</f>
        <v>100000</v>
      </c>
      <c r="H23" s="516">
        <f t="shared" si="0"/>
        <v>300000</v>
      </c>
    </row>
    <row r="24" spans="1:8" s="518" customFormat="1" ht="19.5" customHeight="1">
      <c r="A24" s="184"/>
      <c r="B24" s="367"/>
      <c r="C24" s="184">
        <v>4300</v>
      </c>
      <c r="D24" s="184" t="s">
        <v>70</v>
      </c>
      <c r="E24" s="517">
        <v>200000</v>
      </c>
      <c r="F24" s="517"/>
      <c r="G24" s="517">
        <v>100000</v>
      </c>
      <c r="H24" s="517">
        <f t="shared" si="0"/>
        <v>300000</v>
      </c>
    </row>
    <row r="25" spans="1:8" s="335" customFormat="1" ht="18.75" customHeight="1">
      <c r="A25" s="311">
        <v>700</v>
      </c>
      <c r="B25" s="311"/>
      <c r="C25" s="311"/>
      <c r="D25" s="311" t="s">
        <v>63</v>
      </c>
      <c r="E25" s="334">
        <v>9451000</v>
      </c>
      <c r="F25" s="334"/>
      <c r="G25" s="334">
        <f>G26</f>
        <v>300000</v>
      </c>
      <c r="H25" s="334">
        <f t="shared" si="0"/>
        <v>9751000</v>
      </c>
    </row>
    <row r="26" spans="1:19" s="337" customFormat="1" ht="20.25" customHeight="1">
      <c r="A26" s="247"/>
      <c r="B26" s="312">
        <v>70001</v>
      </c>
      <c r="C26" s="312"/>
      <c r="D26" s="312" t="s">
        <v>110</v>
      </c>
      <c r="E26" s="336">
        <v>4000000</v>
      </c>
      <c r="F26" s="336"/>
      <c r="G26" s="336">
        <f>G27</f>
        <v>300000</v>
      </c>
      <c r="H26" s="336">
        <f t="shared" si="0"/>
        <v>4300000</v>
      </c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</row>
    <row r="27" spans="1:8" s="335" customFormat="1" ht="20.25" customHeight="1">
      <c r="A27" s="247"/>
      <c r="B27" s="247"/>
      <c r="C27" s="247"/>
      <c r="D27" s="323" t="s">
        <v>112</v>
      </c>
      <c r="E27" s="516">
        <v>4000000</v>
      </c>
      <c r="F27" s="516"/>
      <c r="G27" s="516">
        <f>G29</f>
        <v>300000</v>
      </c>
      <c r="H27" s="516">
        <f t="shared" si="0"/>
        <v>4300000</v>
      </c>
    </row>
    <row r="28" spans="1:8" s="518" customFormat="1" ht="20.25" customHeight="1">
      <c r="A28" s="184"/>
      <c r="B28" s="184"/>
      <c r="C28" s="184"/>
      <c r="D28" s="463" t="s">
        <v>204</v>
      </c>
      <c r="E28" s="519"/>
      <c r="F28" s="519"/>
      <c r="G28" s="519">
        <f>200000+100000</f>
        <v>300000</v>
      </c>
      <c r="H28" s="519">
        <f t="shared" si="0"/>
        <v>300000</v>
      </c>
    </row>
    <row r="29" spans="1:8" s="518" customFormat="1" ht="41.25" customHeight="1">
      <c r="A29" s="180"/>
      <c r="B29" s="180"/>
      <c r="C29" s="307">
        <v>6210</v>
      </c>
      <c r="D29" s="324" t="s">
        <v>111</v>
      </c>
      <c r="E29" s="517"/>
      <c r="F29" s="517"/>
      <c r="G29" s="517">
        <f>G28</f>
        <v>300000</v>
      </c>
      <c r="H29" s="517">
        <f t="shared" si="0"/>
        <v>300000</v>
      </c>
    </row>
    <row r="30" spans="1:8" s="335" customFormat="1" ht="18.75" customHeight="1">
      <c r="A30" s="303">
        <v>750</v>
      </c>
      <c r="B30" s="303"/>
      <c r="C30" s="303"/>
      <c r="D30" s="303" t="s">
        <v>100</v>
      </c>
      <c r="E30" s="334">
        <v>53455000</v>
      </c>
      <c r="F30" s="334">
        <f>F31</f>
        <v>300000</v>
      </c>
      <c r="G30" s="334">
        <f>G31</f>
        <v>300000</v>
      </c>
      <c r="H30" s="334">
        <f t="shared" si="0"/>
        <v>53455000</v>
      </c>
    </row>
    <row r="31" spans="1:19" s="337" customFormat="1" ht="20.25" customHeight="1">
      <c r="A31" s="247"/>
      <c r="B31" s="13">
        <v>75023</v>
      </c>
      <c r="C31" s="13"/>
      <c r="D31" s="13" t="s">
        <v>101</v>
      </c>
      <c r="E31" s="336">
        <v>49785000</v>
      </c>
      <c r="F31" s="336">
        <f>F32+F34+F36</f>
        <v>300000</v>
      </c>
      <c r="G31" s="336">
        <f>G32+G34+G36</f>
        <v>300000</v>
      </c>
      <c r="H31" s="336">
        <f t="shared" si="0"/>
        <v>49785000</v>
      </c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</row>
    <row r="32" spans="1:8" s="335" customFormat="1" ht="20.25" customHeight="1">
      <c r="A32" s="247"/>
      <c r="B32" s="381"/>
      <c r="C32" s="247"/>
      <c r="D32" s="304" t="s">
        <v>102</v>
      </c>
      <c r="E32" s="516">
        <v>31400000</v>
      </c>
      <c r="F32" s="516"/>
      <c r="G32" s="516">
        <f>G33</f>
        <v>256500</v>
      </c>
      <c r="H32" s="516">
        <f t="shared" si="0"/>
        <v>31656500</v>
      </c>
    </row>
    <row r="33" spans="1:8" s="518" customFormat="1" ht="19.5" customHeight="1">
      <c r="A33" s="180"/>
      <c r="B33" s="180"/>
      <c r="C33" s="184">
        <v>4010</v>
      </c>
      <c r="D33" s="305" t="s">
        <v>75</v>
      </c>
      <c r="E33" s="517">
        <v>28700000</v>
      </c>
      <c r="F33" s="517"/>
      <c r="G33" s="517">
        <v>256500</v>
      </c>
      <c r="H33" s="517">
        <f t="shared" si="0"/>
        <v>28956500</v>
      </c>
    </row>
    <row r="34" spans="1:8" s="335" customFormat="1" ht="20.25" customHeight="1">
      <c r="A34" s="247"/>
      <c r="B34" s="247"/>
      <c r="C34" s="247"/>
      <c r="D34" s="306" t="s">
        <v>27</v>
      </c>
      <c r="E34" s="516">
        <v>10456000</v>
      </c>
      <c r="F34" s="516">
        <f>F35</f>
        <v>300000</v>
      </c>
      <c r="G34" s="516"/>
      <c r="H34" s="516">
        <f t="shared" si="0"/>
        <v>10156000</v>
      </c>
    </row>
    <row r="35" spans="1:8" s="518" customFormat="1" ht="19.5" customHeight="1">
      <c r="A35" s="180"/>
      <c r="B35" s="180"/>
      <c r="C35" s="184">
        <v>4300</v>
      </c>
      <c r="D35" s="307" t="s">
        <v>70</v>
      </c>
      <c r="E35" s="517">
        <v>6460000</v>
      </c>
      <c r="F35" s="517">
        <v>300000</v>
      </c>
      <c r="G35" s="517"/>
      <c r="H35" s="517">
        <f t="shared" si="0"/>
        <v>6160000</v>
      </c>
    </row>
    <row r="36" spans="1:8" s="335" customFormat="1" ht="20.25" customHeight="1">
      <c r="A36" s="247"/>
      <c r="B36" s="247"/>
      <c r="C36" s="247"/>
      <c r="D36" s="308" t="s">
        <v>103</v>
      </c>
      <c r="E36" s="516">
        <v>5742000</v>
      </c>
      <c r="F36" s="516"/>
      <c r="G36" s="516">
        <f>SUM(G37:G38)</f>
        <v>43500</v>
      </c>
      <c r="H36" s="516">
        <f t="shared" si="0"/>
        <v>5785500</v>
      </c>
    </row>
    <row r="37" spans="1:8" s="518" customFormat="1" ht="19.5" customHeight="1">
      <c r="A37" s="180"/>
      <c r="B37" s="180"/>
      <c r="C37" s="184">
        <v>4110</v>
      </c>
      <c r="D37" s="307" t="s">
        <v>104</v>
      </c>
      <c r="E37" s="517">
        <v>5000000</v>
      </c>
      <c r="F37" s="517"/>
      <c r="G37" s="517">
        <v>38000</v>
      </c>
      <c r="H37" s="517">
        <f t="shared" si="0"/>
        <v>5038000</v>
      </c>
    </row>
    <row r="38" spans="1:8" s="518" customFormat="1" ht="19.5" customHeight="1">
      <c r="A38" s="184"/>
      <c r="B38" s="184"/>
      <c r="C38" s="184">
        <v>4120</v>
      </c>
      <c r="D38" s="307" t="s">
        <v>105</v>
      </c>
      <c r="E38" s="517">
        <v>742000</v>
      </c>
      <c r="F38" s="517"/>
      <c r="G38" s="517">
        <v>5500</v>
      </c>
      <c r="H38" s="517">
        <f t="shared" si="0"/>
        <v>747500</v>
      </c>
    </row>
    <row r="39" spans="1:8" s="335" customFormat="1" ht="23.25" customHeight="1">
      <c r="A39" s="327">
        <v>754</v>
      </c>
      <c r="B39" s="311"/>
      <c r="C39" s="311"/>
      <c r="D39" s="328" t="s">
        <v>116</v>
      </c>
      <c r="E39" s="334">
        <v>5558000</v>
      </c>
      <c r="F39" s="334"/>
      <c r="G39" s="334">
        <f>G40</f>
        <v>250000</v>
      </c>
      <c r="H39" s="334">
        <f t="shared" si="0"/>
        <v>5808000</v>
      </c>
    </row>
    <row r="40" spans="1:19" s="337" customFormat="1" ht="20.25" customHeight="1">
      <c r="A40" s="247"/>
      <c r="B40" s="13">
        <v>75411</v>
      </c>
      <c r="C40" s="13"/>
      <c r="D40" s="13" t="s">
        <v>117</v>
      </c>
      <c r="E40" s="330">
        <v>50000</v>
      </c>
      <c r="F40" s="330"/>
      <c r="G40" s="330">
        <f>G41</f>
        <v>250000</v>
      </c>
      <c r="H40" s="330">
        <f t="shared" si="0"/>
        <v>300000</v>
      </c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</row>
    <row r="41" spans="1:8" s="335" customFormat="1" ht="20.25" customHeight="1">
      <c r="A41" s="247"/>
      <c r="B41" s="247"/>
      <c r="C41" s="247"/>
      <c r="D41" s="329" t="s">
        <v>118</v>
      </c>
      <c r="E41" s="331">
        <v>50000</v>
      </c>
      <c r="F41" s="331"/>
      <c r="G41" s="331">
        <f>G43</f>
        <v>250000</v>
      </c>
      <c r="H41" s="331">
        <f t="shared" si="0"/>
        <v>300000</v>
      </c>
    </row>
    <row r="42" spans="1:8" s="518" customFormat="1" ht="19.5" customHeight="1">
      <c r="A42" s="180"/>
      <c r="B42" s="247"/>
      <c r="C42" s="247"/>
      <c r="D42" s="325" t="s">
        <v>119</v>
      </c>
      <c r="E42" s="332">
        <v>50000</v>
      </c>
      <c r="F42" s="332"/>
      <c r="G42" s="332">
        <v>250000</v>
      </c>
      <c r="H42" s="332">
        <f t="shared" si="0"/>
        <v>300000</v>
      </c>
    </row>
    <row r="43" spans="1:8" s="335" customFormat="1" ht="18.75" customHeight="1">
      <c r="A43" s="247"/>
      <c r="B43" s="247"/>
      <c r="C43" s="180">
        <v>6060</v>
      </c>
      <c r="D43" s="309" t="s">
        <v>72</v>
      </c>
      <c r="E43" s="333">
        <v>50000</v>
      </c>
      <c r="F43" s="333"/>
      <c r="G43" s="333">
        <f>G42</f>
        <v>250000</v>
      </c>
      <c r="H43" s="333">
        <f t="shared" si="0"/>
        <v>300000</v>
      </c>
    </row>
    <row r="44" spans="1:8" s="335" customFormat="1" ht="18.75" customHeight="1">
      <c r="A44" s="303">
        <v>801</v>
      </c>
      <c r="B44" s="303"/>
      <c r="C44" s="303"/>
      <c r="D44" s="303" t="s">
        <v>22</v>
      </c>
      <c r="E44" s="334">
        <v>321387000</v>
      </c>
      <c r="F44" s="334"/>
      <c r="G44" s="334">
        <f>G45</f>
        <v>1178989</v>
      </c>
      <c r="H44" s="334">
        <f t="shared" si="0"/>
        <v>322565989</v>
      </c>
    </row>
    <row r="45" spans="1:19" s="337" customFormat="1" ht="20.25" customHeight="1">
      <c r="A45" s="247"/>
      <c r="B45" s="13">
        <v>80101</v>
      </c>
      <c r="C45" s="13"/>
      <c r="D45" s="13" t="s">
        <v>28</v>
      </c>
      <c r="E45" s="336">
        <v>88790000</v>
      </c>
      <c r="F45" s="336"/>
      <c r="G45" s="336">
        <f>G46</f>
        <v>1178989</v>
      </c>
      <c r="H45" s="336">
        <f t="shared" si="0"/>
        <v>89968989</v>
      </c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</row>
    <row r="46" spans="1:8" s="335" customFormat="1" ht="19.5" customHeight="1">
      <c r="A46" s="247"/>
      <c r="B46" s="247"/>
      <c r="C46" s="247"/>
      <c r="D46" s="308" t="s">
        <v>109</v>
      </c>
      <c r="E46" s="313">
        <v>8181210</v>
      </c>
      <c r="F46" s="314"/>
      <c r="G46" s="314">
        <f>G49</f>
        <v>1178989</v>
      </c>
      <c r="H46" s="314">
        <f t="shared" si="0"/>
        <v>9360199</v>
      </c>
    </row>
    <row r="47" spans="1:8" s="518" customFormat="1" ht="19.5" customHeight="1">
      <c r="A47" s="180"/>
      <c r="B47" s="180"/>
      <c r="C47" s="180"/>
      <c r="D47" s="300" t="s">
        <v>107</v>
      </c>
      <c r="E47" s="520">
        <v>1400000</v>
      </c>
      <c r="F47" s="520"/>
      <c r="G47" s="520">
        <v>598989</v>
      </c>
      <c r="H47" s="520">
        <f t="shared" si="0"/>
        <v>1998989</v>
      </c>
    </row>
    <row r="48" spans="1:8" s="518" customFormat="1" ht="19.5" customHeight="1">
      <c r="A48" s="180"/>
      <c r="B48" s="180"/>
      <c r="C48" s="180"/>
      <c r="D48" s="299" t="s">
        <v>108</v>
      </c>
      <c r="E48" s="521">
        <v>420000</v>
      </c>
      <c r="F48" s="521"/>
      <c r="G48" s="521">
        <v>580000</v>
      </c>
      <c r="H48" s="521">
        <f t="shared" si="0"/>
        <v>1000000</v>
      </c>
    </row>
    <row r="49" spans="1:8" s="518" customFormat="1" ht="19.5" customHeight="1">
      <c r="A49" s="184"/>
      <c r="B49" s="184"/>
      <c r="C49" s="184">
        <v>6050</v>
      </c>
      <c r="D49" s="316" t="s">
        <v>74</v>
      </c>
      <c r="E49" s="522">
        <v>8177000</v>
      </c>
      <c r="F49" s="522"/>
      <c r="G49" s="522">
        <f>SUM(G47:G48)</f>
        <v>1178989</v>
      </c>
      <c r="H49" s="522">
        <f t="shared" si="0"/>
        <v>9355989</v>
      </c>
    </row>
    <row r="50" spans="1:8" s="335" customFormat="1" ht="18.75" customHeight="1">
      <c r="A50" s="311">
        <v>921</v>
      </c>
      <c r="B50" s="311"/>
      <c r="C50" s="311"/>
      <c r="D50" s="311" t="s">
        <v>32</v>
      </c>
      <c r="E50" s="334">
        <v>13699000</v>
      </c>
      <c r="F50" s="334">
        <f>F51</f>
        <v>30000</v>
      </c>
      <c r="G50" s="334">
        <f>G51</f>
        <v>30000</v>
      </c>
      <c r="H50" s="334">
        <f t="shared" si="0"/>
        <v>13699000</v>
      </c>
    </row>
    <row r="51" spans="1:19" s="337" customFormat="1" ht="20.25" customHeight="1">
      <c r="A51" s="353"/>
      <c r="B51" s="354">
        <v>92105</v>
      </c>
      <c r="C51" s="354"/>
      <c r="D51" s="354" t="s">
        <v>64</v>
      </c>
      <c r="E51" s="336">
        <v>992000</v>
      </c>
      <c r="F51" s="336">
        <f>F52</f>
        <v>30000</v>
      </c>
      <c r="G51" s="336">
        <f>G52</f>
        <v>30000</v>
      </c>
      <c r="H51" s="336">
        <f t="shared" si="0"/>
        <v>992000</v>
      </c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</row>
    <row r="52" spans="1:8" s="335" customFormat="1" ht="19.5" customHeight="1">
      <c r="A52" s="353"/>
      <c r="B52" s="355"/>
      <c r="C52" s="355"/>
      <c r="D52" s="543" t="s">
        <v>128</v>
      </c>
      <c r="E52" s="544">
        <v>749000</v>
      </c>
      <c r="F52" s="544">
        <f>F53+F55</f>
        <v>30000</v>
      </c>
      <c r="G52" s="544">
        <f>G53+G55</f>
        <v>30000</v>
      </c>
      <c r="H52" s="544">
        <f t="shared" si="0"/>
        <v>749000</v>
      </c>
    </row>
    <row r="53" spans="1:8" s="518" customFormat="1" ht="19.5" customHeight="1">
      <c r="A53" s="180"/>
      <c r="B53" s="180"/>
      <c r="C53" s="353"/>
      <c r="D53" s="545" t="s">
        <v>125</v>
      </c>
      <c r="E53" s="546">
        <v>408000</v>
      </c>
      <c r="F53" s="546">
        <f>F54</f>
        <v>30000</v>
      </c>
      <c r="G53" s="546"/>
      <c r="H53" s="546">
        <f t="shared" si="0"/>
        <v>378000</v>
      </c>
    </row>
    <row r="54" spans="1:8" s="518" customFormat="1" ht="42.75" customHeight="1">
      <c r="A54" s="184"/>
      <c r="B54" s="184"/>
      <c r="C54" s="305">
        <v>2820</v>
      </c>
      <c r="D54" s="324" t="s">
        <v>129</v>
      </c>
      <c r="E54" s="356">
        <v>250000</v>
      </c>
      <c r="F54" s="356">
        <v>30000</v>
      </c>
      <c r="G54" s="356"/>
      <c r="H54" s="356">
        <f t="shared" si="0"/>
        <v>220000</v>
      </c>
    </row>
    <row r="55" spans="1:8" s="518" customFormat="1" ht="19.5" customHeight="1">
      <c r="A55" s="180"/>
      <c r="B55" s="180"/>
      <c r="C55" s="353"/>
      <c r="D55" s="323" t="s">
        <v>127</v>
      </c>
      <c r="E55" s="547">
        <v>31000</v>
      </c>
      <c r="F55" s="547"/>
      <c r="G55" s="547">
        <f>G56</f>
        <v>30000</v>
      </c>
      <c r="H55" s="547">
        <f t="shared" si="0"/>
        <v>61000</v>
      </c>
    </row>
    <row r="56" spans="1:8" s="518" customFormat="1" ht="28.5" customHeight="1">
      <c r="A56" s="184"/>
      <c r="B56" s="184"/>
      <c r="C56" s="305">
        <v>2810</v>
      </c>
      <c r="D56" s="324" t="s">
        <v>126</v>
      </c>
      <c r="E56" s="356"/>
      <c r="F56" s="356"/>
      <c r="G56" s="356">
        <v>30000</v>
      </c>
      <c r="H56" s="356">
        <f t="shared" si="0"/>
        <v>30000</v>
      </c>
    </row>
    <row r="57" spans="1:8" s="335" customFormat="1" ht="18.75" customHeight="1">
      <c r="A57" s="311">
        <v>926</v>
      </c>
      <c r="B57" s="311"/>
      <c r="C57" s="311"/>
      <c r="D57" s="311" t="s">
        <v>148</v>
      </c>
      <c r="E57" s="334">
        <v>14806000</v>
      </c>
      <c r="F57" s="334"/>
      <c r="G57" s="334">
        <f>G58</f>
        <v>100000</v>
      </c>
      <c r="H57" s="334">
        <f t="shared" si="0"/>
        <v>14906000</v>
      </c>
    </row>
    <row r="58" spans="1:19" s="337" customFormat="1" ht="20.25" customHeight="1">
      <c r="A58" s="247"/>
      <c r="B58" s="13">
        <v>92604</v>
      </c>
      <c r="C58" s="13"/>
      <c r="D58" s="13" t="s">
        <v>151</v>
      </c>
      <c r="E58" s="336">
        <v>12450000</v>
      </c>
      <c r="F58" s="336"/>
      <c r="G58" s="336">
        <f>G59</f>
        <v>100000</v>
      </c>
      <c r="H58" s="336">
        <f t="shared" si="0"/>
        <v>12550000</v>
      </c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</row>
    <row r="59" spans="1:8" s="335" customFormat="1" ht="19.5" customHeight="1">
      <c r="A59" s="247"/>
      <c r="B59" s="381"/>
      <c r="C59" s="381"/>
      <c r="D59" s="304" t="s">
        <v>201</v>
      </c>
      <c r="E59" s="313">
        <v>12450000</v>
      </c>
      <c r="F59" s="314"/>
      <c r="G59" s="314">
        <f>G60</f>
        <v>100000</v>
      </c>
      <c r="H59" s="314">
        <f t="shared" si="0"/>
        <v>12550000</v>
      </c>
    </row>
    <row r="60" spans="1:8" s="518" customFormat="1" ht="19.5" customHeight="1">
      <c r="A60" s="180"/>
      <c r="B60" s="180"/>
      <c r="C60" s="180"/>
      <c r="D60" s="389" t="s">
        <v>109</v>
      </c>
      <c r="E60" s="520">
        <v>10800000</v>
      </c>
      <c r="F60" s="520"/>
      <c r="G60" s="520">
        <f>G62</f>
        <v>100000</v>
      </c>
      <c r="H60" s="520">
        <f t="shared" si="0"/>
        <v>10900000</v>
      </c>
    </row>
    <row r="61" spans="1:8" s="518" customFormat="1" ht="25.5" customHeight="1">
      <c r="A61" s="180"/>
      <c r="B61" s="180"/>
      <c r="C61" s="180"/>
      <c r="D61" s="299" t="s">
        <v>185</v>
      </c>
      <c r="E61" s="521">
        <v>7500000</v>
      </c>
      <c r="F61" s="521"/>
      <c r="G61" s="521">
        <v>100000</v>
      </c>
      <c r="H61" s="521">
        <f t="shared" si="0"/>
        <v>7600000</v>
      </c>
    </row>
    <row r="62" spans="1:8" s="518" customFormat="1" ht="42" customHeight="1">
      <c r="A62" s="180"/>
      <c r="B62" s="180"/>
      <c r="C62" s="184">
        <v>6210</v>
      </c>
      <c r="D62" s="307" t="s">
        <v>111</v>
      </c>
      <c r="E62" s="522">
        <v>10800000</v>
      </c>
      <c r="F62" s="522"/>
      <c r="G62" s="522">
        <f>G61</f>
        <v>100000</v>
      </c>
      <c r="H62" s="522">
        <f t="shared" si="0"/>
        <v>10900000</v>
      </c>
    </row>
    <row r="63" spans="1:19" s="527" customFormat="1" ht="28.5" customHeight="1" thickBot="1">
      <c r="A63" s="523"/>
      <c r="B63" s="524"/>
      <c r="C63" s="524"/>
      <c r="D63" s="525" t="s">
        <v>26</v>
      </c>
      <c r="E63" s="526">
        <v>2578000</v>
      </c>
      <c r="F63" s="526"/>
      <c r="G63" s="526"/>
      <c r="H63" s="526">
        <f t="shared" si="0"/>
        <v>2578000</v>
      </c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</row>
    <row r="64" spans="1:8" s="337" customFormat="1" ht="18.75" customHeight="1" thickBot="1" thickTop="1">
      <c r="A64" s="523"/>
      <c r="B64" s="523"/>
      <c r="C64" s="523"/>
      <c r="D64" s="528" t="s">
        <v>7</v>
      </c>
      <c r="E64" s="529">
        <f>E66+E67</f>
        <v>79334736</v>
      </c>
      <c r="F64" s="529">
        <f>F65+F67</f>
        <v>75600</v>
      </c>
      <c r="G64" s="529">
        <f>G65+G67</f>
        <v>75600</v>
      </c>
      <c r="H64" s="529">
        <f t="shared" si="0"/>
        <v>79334736</v>
      </c>
    </row>
    <row r="65" spans="1:8" s="335" customFormat="1" ht="16.5" customHeight="1" thickTop="1">
      <c r="A65" s="530"/>
      <c r="B65" s="530"/>
      <c r="C65" s="530"/>
      <c r="D65" s="531" t="s">
        <v>93</v>
      </c>
      <c r="E65" s="532"/>
      <c r="F65" s="532"/>
      <c r="G65" s="532"/>
      <c r="H65" s="532"/>
    </row>
    <row r="66" spans="1:19" s="518" customFormat="1" ht="18.75" customHeight="1">
      <c r="A66" s="533"/>
      <c r="B66" s="524"/>
      <c r="C66" s="524"/>
      <c r="D66" s="534" t="s">
        <v>0</v>
      </c>
      <c r="E66" s="535">
        <v>58981467</v>
      </c>
      <c r="F66" s="535"/>
      <c r="G66" s="535"/>
      <c r="H66" s="536">
        <f t="shared" si="0"/>
        <v>58981467</v>
      </c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</row>
    <row r="67" spans="1:19" s="518" customFormat="1" ht="27.75" customHeight="1">
      <c r="A67" s="537"/>
      <c r="B67" s="538"/>
      <c r="C67" s="538"/>
      <c r="D67" s="539" t="s">
        <v>94</v>
      </c>
      <c r="E67" s="540">
        <v>20353269</v>
      </c>
      <c r="F67" s="540">
        <f>F68</f>
        <v>75600</v>
      </c>
      <c r="G67" s="540">
        <f>G68</f>
        <v>75600</v>
      </c>
      <c r="H67" s="540">
        <f t="shared" si="0"/>
        <v>20353269</v>
      </c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</row>
    <row r="68" spans="1:8" s="335" customFormat="1" ht="18.75" customHeight="1">
      <c r="A68" s="311">
        <v>852</v>
      </c>
      <c r="B68" s="311"/>
      <c r="C68" s="311"/>
      <c r="D68" s="311" t="s">
        <v>23</v>
      </c>
      <c r="E68" s="334">
        <v>2374000</v>
      </c>
      <c r="F68" s="334">
        <f>F69</f>
        <v>75600</v>
      </c>
      <c r="G68" s="334">
        <f>G69</f>
        <v>75600</v>
      </c>
      <c r="H68" s="334">
        <f t="shared" si="0"/>
        <v>2374000</v>
      </c>
    </row>
    <row r="69" spans="1:19" s="337" customFormat="1" ht="20.25" customHeight="1">
      <c r="A69" s="247"/>
      <c r="B69" s="312">
        <v>85203</v>
      </c>
      <c r="C69" s="312"/>
      <c r="D69" s="312" t="s">
        <v>130</v>
      </c>
      <c r="E69" s="336">
        <v>2123000</v>
      </c>
      <c r="F69" s="336">
        <f>F70+F83</f>
        <v>75600</v>
      </c>
      <c r="G69" s="336">
        <f>G70+G83</f>
        <v>75600</v>
      </c>
      <c r="H69" s="336">
        <f t="shared" si="0"/>
        <v>2123000</v>
      </c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</row>
    <row r="70" spans="1:8" s="335" customFormat="1" ht="37.5" customHeight="1">
      <c r="A70" s="247"/>
      <c r="B70" s="381"/>
      <c r="C70" s="381"/>
      <c r="D70" s="511" t="s">
        <v>186</v>
      </c>
      <c r="E70" s="541"/>
      <c r="F70" s="541"/>
      <c r="G70" s="541">
        <f>G71+G73+G80</f>
        <v>75600</v>
      </c>
      <c r="H70" s="541">
        <f t="shared" si="0"/>
        <v>75600</v>
      </c>
    </row>
    <row r="71" spans="1:8" s="335" customFormat="1" ht="20.25" customHeight="1">
      <c r="A71" s="247"/>
      <c r="B71" s="247"/>
      <c r="C71" s="247"/>
      <c r="D71" s="370" t="s">
        <v>102</v>
      </c>
      <c r="E71" s="542"/>
      <c r="F71" s="542"/>
      <c r="G71" s="542">
        <f>G72</f>
        <v>40000</v>
      </c>
      <c r="H71" s="542">
        <f t="shared" si="0"/>
        <v>40000</v>
      </c>
    </row>
    <row r="72" spans="1:8" s="335" customFormat="1" ht="18.75" customHeight="1">
      <c r="A72" s="247"/>
      <c r="B72" s="247"/>
      <c r="C72" s="184">
        <v>4010</v>
      </c>
      <c r="D72" s="305" t="s">
        <v>75</v>
      </c>
      <c r="E72" s="342"/>
      <c r="F72" s="342"/>
      <c r="G72" s="342">
        <v>40000</v>
      </c>
      <c r="H72" s="342">
        <f t="shared" si="0"/>
        <v>40000</v>
      </c>
    </row>
    <row r="73" spans="1:8" s="335" customFormat="1" ht="20.25" customHeight="1">
      <c r="A73" s="247"/>
      <c r="B73" s="247"/>
      <c r="C73" s="381"/>
      <c r="D73" s="304" t="s">
        <v>27</v>
      </c>
      <c r="E73" s="516"/>
      <c r="F73" s="516"/>
      <c r="G73" s="516">
        <f>SUM(G74:G78)</f>
        <v>27520</v>
      </c>
      <c r="H73" s="516">
        <f t="shared" si="0"/>
        <v>27520</v>
      </c>
    </row>
    <row r="74" spans="1:8" s="335" customFormat="1" ht="19.5" customHeight="1">
      <c r="A74" s="247"/>
      <c r="B74" s="247"/>
      <c r="C74" s="184">
        <v>4210</v>
      </c>
      <c r="D74" s="184" t="s">
        <v>71</v>
      </c>
      <c r="E74" s="342"/>
      <c r="F74" s="342"/>
      <c r="G74" s="342">
        <v>6000</v>
      </c>
      <c r="H74" s="342">
        <f t="shared" si="0"/>
        <v>6000</v>
      </c>
    </row>
    <row r="75" spans="1:8" s="335" customFormat="1" ht="19.5" customHeight="1">
      <c r="A75" s="247"/>
      <c r="B75" s="247"/>
      <c r="C75" s="184">
        <v>4220</v>
      </c>
      <c r="D75" s="184" t="s">
        <v>132</v>
      </c>
      <c r="E75" s="343"/>
      <c r="F75" s="366"/>
      <c r="G75" s="366">
        <v>10500</v>
      </c>
      <c r="H75" s="366">
        <f t="shared" si="0"/>
        <v>10500</v>
      </c>
    </row>
    <row r="76" spans="1:8" s="335" customFormat="1" ht="19.5" customHeight="1">
      <c r="A76" s="247"/>
      <c r="B76" s="247"/>
      <c r="C76" s="365">
        <v>4260</v>
      </c>
      <c r="D76" s="365" t="s">
        <v>76</v>
      </c>
      <c r="E76" s="343"/>
      <c r="F76" s="366"/>
      <c r="G76" s="366">
        <v>8550</v>
      </c>
      <c r="H76" s="366">
        <f t="shared" si="0"/>
        <v>8550</v>
      </c>
    </row>
    <row r="77" spans="1:8" s="335" customFormat="1" ht="19.5" customHeight="1">
      <c r="A77" s="247"/>
      <c r="B77" s="247"/>
      <c r="C77" s="365">
        <v>4300</v>
      </c>
      <c r="D77" s="365" t="s">
        <v>70</v>
      </c>
      <c r="E77" s="366"/>
      <c r="F77" s="366"/>
      <c r="G77" s="366">
        <v>1000</v>
      </c>
      <c r="H77" s="366">
        <f t="shared" si="0"/>
        <v>1000</v>
      </c>
    </row>
    <row r="78" spans="1:8" s="335" customFormat="1" ht="19.5" customHeight="1">
      <c r="A78" s="247"/>
      <c r="B78" s="247"/>
      <c r="C78" s="464">
        <v>4440</v>
      </c>
      <c r="D78" s="464" t="s">
        <v>77</v>
      </c>
      <c r="E78" s="465"/>
      <c r="F78" s="466"/>
      <c r="G78" s="466">
        <v>1470</v>
      </c>
      <c r="H78" s="466">
        <f t="shared" si="0"/>
        <v>1470</v>
      </c>
    </row>
    <row r="79" spans="1:8" s="335" customFormat="1" ht="19.5" customHeight="1">
      <c r="A79" s="467"/>
      <c r="B79" s="467"/>
      <c r="C79" s="468"/>
      <c r="D79" s="468"/>
      <c r="E79" s="469"/>
      <c r="F79" s="469"/>
      <c r="G79" s="469"/>
      <c r="H79" s="469"/>
    </row>
    <row r="80" spans="1:8" s="335" customFormat="1" ht="19.5" customHeight="1">
      <c r="A80" s="247"/>
      <c r="B80" s="247"/>
      <c r="C80" s="247"/>
      <c r="D80" s="306" t="s">
        <v>103</v>
      </c>
      <c r="E80" s="313"/>
      <c r="F80" s="313"/>
      <c r="G80" s="313">
        <f>SUM(G81:G82)</f>
        <v>8080</v>
      </c>
      <c r="H80" s="313">
        <f t="shared" si="0"/>
        <v>8080</v>
      </c>
    </row>
    <row r="81" spans="1:8" s="335" customFormat="1" ht="19.5" customHeight="1">
      <c r="A81" s="247"/>
      <c r="B81" s="247"/>
      <c r="C81" s="184">
        <v>4110</v>
      </c>
      <c r="D81" s="368" t="s">
        <v>104</v>
      </c>
      <c r="E81" s="343"/>
      <c r="F81" s="343"/>
      <c r="G81" s="343">
        <v>7100</v>
      </c>
      <c r="H81" s="343">
        <f t="shared" si="0"/>
        <v>7100</v>
      </c>
    </row>
    <row r="82" spans="1:8" s="335" customFormat="1" ht="19.5" customHeight="1">
      <c r="A82" s="247"/>
      <c r="B82" s="247"/>
      <c r="C82" s="365">
        <v>4120</v>
      </c>
      <c r="D82" s="365" t="s">
        <v>105</v>
      </c>
      <c r="E82" s="366"/>
      <c r="F82" s="366"/>
      <c r="G82" s="366">
        <v>980</v>
      </c>
      <c r="H82" s="366">
        <f t="shared" si="0"/>
        <v>980</v>
      </c>
    </row>
    <row r="83" spans="1:8" s="335" customFormat="1" ht="43.5" customHeight="1">
      <c r="A83" s="247"/>
      <c r="B83" s="247"/>
      <c r="C83" s="247"/>
      <c r="D83" s="511" t="s">
        <v>187</v>
      </c>
      <c r="E83" s="512">
        <v>2112000</v>
      </c>
      <c r="F83" s="512">
        <f>F84</f>
        <v>75600</v>
      </c>
      <c r="G83" s="512"/>
      <c r="H83" s="512">
        <f t="shared" si="0"/>
        <v>2036400</v>
      </c>
    </row>
    <row r="84" spans="1:8" s="518" customFormat="1" ht="44.25" customHeight="1">
      <c r="A84" s="184"/>
      <c r="B84" s="184"/>
      <c r="C84" s="184">
        <v>2820</v>
      </c>
      <c r="D84" s="307" t="s">
        <v>129</v>
      </c>
      <c r="E84" s="342">
        <v>2112000</v>
      </c>
      <c r="F84" s="342">
        <v>75600</v>
      </c>
      <c r="G84" s="342"/>
      <c r="H84" s="342">
        <f t="shared" si="0"/>
        <v>2036400</v>
      </c>
    </row>
    <row r="89" spans="4:7" ht="12.75">
      <c r="D89" s="570" t="s">
        <v>221</v>
      </c>
      <c r="E89" s="25"/>
      <c r="F89" s="103"/>
      <c r="G89" s="571" t="s">
        <v>223</v>
      </c>
    </row>
    <row r="90" spans="4:7" ht="12.75">
      <c r="D90" s="570"/>
      <c r="E90" s="25"/>
      <c r="F90" s="103"/>
      <c r="G90" s="571" t="s">
        <v>224</v>
      </c>
    </row>
    <row r="91" spans="4:7" ht="12.75">
      <c r="D91" s="570" t="s">
        <v>222</v>
      </c>
      <c r="E91" s="25"/>
      <c r="F91" s="103"/>
      <c r="G91" s="571" t="s">
        <v>225</v>
      </c>
    </row>
  </sheetData>
  <printOptions horizontalCentered="1"/>
  <pageMargins left="0.5905511811023623" right="0.5905511811023623" top="0.7874015748031497" bottom="0.7874015748031497" header="0.5118110236220472" footer="0.5118110236220472"/>
  <pageSetup firstPageNumber="5" useFirstPageNumber="1"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"/>
  <sheetViews>
    <sheetView zoomScale="75" zoomScaleNormal="75" workbookViewId="0" topLeftCell="A1">
      <selection activeCell="G168" sqref="G168"/>
    </sheetView>
  </sheetViews>
  <sheetFormatPr defaultColWidth="9.00390625" defaultRowHeight="12.75"/>
  <cols>
    <col min="1" max="1" width="6.75390625" style="1" customWidth="1"/>
    <col min="2" max="2" width="7.875" style="222" customWidth="1"/>
    <col min="3" max="3" width="6.75390625" style="222" customWidth="1"/>
    <col min="4" max="4" width="66.375" style="1" customWidth="1"/>
    <col min="5" max="8" width="15.75390625" style="1" customWidth="1"/>
    <col min="9" max="9" width="11.00390625" style="1" bestFit="1" customWidth="1"/>
    <col min="10" max="12" width="10.375" style="1" bestFit="1" customWidth="1"/>
    <col min="13" max="16384" width="9.125" style="1" customWidth="1"/>
  </cols>
  <sheetData>
    <row r="1" spans="5:8" ht="15" customHeight="1">
      <c r="E1" s="162"/>
      <c r="F1" s="162"/>
      <c r="G1" s="162" t="s">
        <v>60</v>
      </c>
      <c r="H1" s="162"/>
    </row>
    <row r="2" spans="1:8" ht="15" customHeight="1">
      <c r="A2" s="93" t="s">
        <v>35</v>
      </c>
      <c r="B2" s="223"/>
      <c r="E2" s="162"/>
      <c r="F2" s="162"/>
      <c r="G2" s="162" t="s">
        <v>215</v>
      </c>
      <c r="H2" s="162"/>
    </row>
    <row r="3" spans="1:8" ht="15" customHeight="1">
      <c r="A3" s="93" t="s">
        <v>205</v>
      </c>
      <c r="B3" s="223"/>
      <c r="E3" s="162"/>
      <c r="F3" s="162"/>
      <c r="G3" s="162" t="s">
        <v>34</v>
      </c>
      <c r="H3" s="162"/>
    </row>
    <row r="4" spans="4:8" ht="15" customHeight="1">
      <c r="D4" s="2"/>
      <c r="E4" s="40"/>
      <c r="F4" s="162"/>
      <c r="G4" s="40" t="s">
        <v>217</v>
      </c>
      <c r="H4" s="162"/>
    </row>
    <row r="5" spans="4:8" ht="11.25" customHeight="1">
      <c r="D5" s="2"/>
      <c r="E5" s="40"/>
      <c r="F5" s="162"/>
      <c r="G5" s="40"/>
      <c r="H5" s="162"/>
    </row>
    <row r="6" spans="6:8" ht="15" customHeight="1" thickBot="1">
      <c r="F6" s="107"/>
      <c r="H6" s="107" t="s">
        <v>1</v>
      </c>
    </row>
    <row r="7" spans="1:8" ht="18.75" customHeight="1" thickTop="1">
      <c r="A7" s="561" t="s">
        <v>36</v>
      </c>
      <c r="B7" s="563" t="s">
        <v>2</v>
      </c>
      <c r="C7" s="561" t="s">
        <v>33</v>
      </c>
      <c r="D7" s="553" t="s">
        <v>37</v>
      </c>
      <c r="E7" s="559" t="s">
        <v>38</v>
      </c>
      <c r="F7" s="560"/>
      <c r="G7" s="559" t="s">
        <v>4</v>
      </c>
      <c r="H7" s="560" t="s">
        <v>4</v>
      </c>
    </row>
    <row r="8" spans="1:8" ht="18.75" customHeight="1" thickBot="1">
      <c r="A8" s="562"/>
      <c r="B8" s="564"/>
      <c r="C8" s="562"/>
      <c r="D8" s="565"/>
      <c r="E8" s="163" t="s">
        <v>21</v>
      </c>
      <c r="F8" s="163" t="s">
        <v>20</v>
      </c>
      <c r="G8" s="163" t="s">
        <v>21</v>
      </c>
      <c r="H8" s="163" t="s">
        <v>20</v>
      </c>
    </row>
    <row r="9" spans="1:9" s="227" customFormat="1" ht="15.75" customHeight="1" thickBot="1" thickTop="1">
      <c r="A9" s="8">
        <v>1</v>
      </c>
      <c r="B9" s="8">
        <v>2</v>
      </c>
      <c r="C9" s="8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213"/>
    </row>
    <row r="10" spans="1:13" ht="19.5" customHeight="1" thickBot="1" thickTop="1">
      <c r="A10" s="224"/>
      <c r="B10" s="225"/>
      <c r="C10" s="225"/>
      <c r="D10" s="164" t="s">
        <v>39</v>
      </c>
      <c r="E10" s="165">
        <f>E11+E112+E128+E138+E145</f>
        <v>4721102</v>
      </c>
      <c r="F10" s="165">
        <f>F11+F112+F128+F138+F145</f>
        <v>4722139</v>
      </c>
      <c r="G10" s="165">
        <f>G11+G112+G128+G138+G145</f>
        <v>405600</v>
      </c>
      <c r="H10" s="165">
        <f>H11+H112+H128+H138+H145</f>
        <v>5564589</v>
      </c>
      <c r="I10" s="213"/>
      <c r="J10" s="213"/>
      <c r="K10" s="213"/>
      <c r="L10" s="213"/>
      <c r="M10" s="213"/>
    </row>
    <row r="11" spans="1:9" ht="18" customHeight="1">
      <c r="A11" s="35"/>
      <c r="B11" s="168"/>
      <c r="C11" s="168"/>
      <c r="D11" s="169" t="s">
        <v>40</v>
      </c>
      <c r="E11" s="170">
        <f>E12+E44+E70+E97+E81</f>
        <v>4716702</v>
      </c>
      <c r="F11" s="170">
        <f>F12+F44+F70+F97+F81</f>
        <v>4722139</v>
      </c>
      <c r="G11" s="170">
        <f>G12+G44+G70+G97+G81</f>
        <v>330000</v>
      </c>
      <c r="H11" s="170">
        <f>H12+H44+H70+H97+H81</f>
        <v>5238989</v>
      </c>
      <c r="I11" s="213"/>
    </row>
    <row r="12" spans="1:8" s="2" customFormat="1" ht="19.5" customHeight="1">
      <c r="A12" s="35"/>
      <c r="B12" s="168"/>
      <c r="C12" s="168"/>
      <c r="D12" s="169" t="s">
        <v>41</v>
      </c>
      <c r="E12" s="170">
        <f>E13+E30</f>
        <v>4716702</v>
      </c>
      <c r="F12" s="170">
        <f>F13+F30</f>
        <v>1392139</v>
      </c>
      <c r="G12" s="170"/>
      <c r="H12" s="170"/>
    </row>
    <row r="13" spans="1:10" s="40" customFormat="1" ht="19.5" customHeight="1">
      <c r="A13" s="66"/>
      <c r="B13" s="66"/>
      <c r="C13" s="66"/>
      <c r="D13" s="171" t="s">
        <v>42</v>
      </c>
      <c r="E13" s="28">
        <f>E14+E19+E24</f>
        <v>4221090</v>
      </c>
      <c r="F13" s="28">
        <f>F14+F19+F24</f>
        <v>1103006</v>
      </c>
      <c r="G13" s="28"/>
      <c r="H13" s="28"/>
      <c r="I13" s="39"/>
      <c r="J13" s="39"/>
    </row>
    <row r="14" spans="1:8" ht="19.5" customHeight="1" thickBot="1">
      <c r="A14" s="98"/>
      <c r="B14" s="27"/>
      <c r="C14" s="27"/>
      <c r="D14" s="172" t="s">
        <v>15</v>
      </c>
      <c r="E14" s="23"/>
      <c r="F14" s="23">
        <f>F15</f>
        <v>1003006</v>
      </c>
      <c r="G14" s="23"/>
      <c r="H14" s="23"/>
    </row>
    <row r="15" spans="1:15" s="40" customFormat="1" ht="41.25" customHeight="1" thickTop="1">
      <c r="A15" s="95">
        <v>756</v>
      </c>
      <c r="B15" s="12"/>
      <c r="C15" s="133"/>
      <c r="D15" s="100" t="s">
        <v>30</v>
      </c>
      <c r="E15" s="125"/>
      <c r="F15" s="125">
        <f>F16</f>
        <v>1003006</v>
      </c>
      <c r="G15" s="125"/>
      <c r="H15" s="125"/>
      <c r="I15" s="226"/>
      <c r="J15" s="226"/>
      <c r="K15" s="226"/>
      <c r="L15" s="1"/>
      <c r="M15" s="1"/>
      <c r="N15" s="1"/>
      <c r="O15" s="1"/>
    </row>
    <row r="16" spans="1:11" s="40" customFormat="1" ht="19.5" customHeight="1">
      <c r="A16" s="375"/>
      <c r="B16" s="235">
        <v>75621</v>
      </c>
      <c r="C16" s="236"/>
      <c r="D16" s="110" t="s">
        <v>155</v>
      </c>
      <c r="E16" s="175"/>
      <c r="F16" s="175">
        <f>F17</f>
        <v>1003006</v>
      </c>
      <c r="G16" s="175"/>
      <c r="H16" s="175"/>
      <c r="I16" s="39"/>
      <c r="J16" s="39"/>
      <c r="K16" s="39"/>
    </row>
    <row r="17" spans="1:11" s="40" customFormat="1" ht="19.5" customHeight="1">
      <c r="A17" s="62"/>
      <c r="B17" s="232"/>
      <c r="C17" s="395"/>
      <c r="D17" s="396" t="s">
        <v>156</v>
      </c>
      <c r="E17" s="128"/>
      <c r="F17" s="128">
        <f>F18</f>
        <v>1003006</v>
      </c>
      <c r="G17" s="128"/>
      <c r="H17" s="128"/>
      <c r="I17" s="39"/>
      <c r="J17" s="39"/>
      <c r="K17" s="39"/>
    </row>
    <row r="18" spans="1:8" s="140" customFormat="1" ht="19.5" customHeight="1">
      <c r="A18" s="141"/>
      <c r="B18" s="142"/>
      <c r="C18" s="177" t="s">
        <v>157</v>
      </c>
      <c r="D18" s="147" t="s">
        <v>158</v>
      </c>
      <c r="E18" s="137"/>
      <c r="F18" s="137">
        <v>1003006</v>
      </c>
      <c r="G18" s="137"/>
      <c r="H18" s="137"/>
    </row>
    <row r="19" spans="1:8" s="140" customFormat="1" ht="19.5" customHeight="1" thickBot="1">
      <c r="A19" s="74"/>
      <c r="B19" s="123"/>
      <c r="C19" s="123"/>
      <c r="D19" s="114" t="s">
        <v>16</v>
      </c>
      <c r="E19" s="189">
        <f>E20</f>
        <v>4221090</v>
      </c>
      <c r="F19" s="220"/>
      <c r="G19" s="114"/>
      <c r="H19" s="187"/>
    </row>
    <row r="20" spans="1:8" s="140" customFormat="1" ht="19.5" customHeight="1" thickTop="1">
      <c r="A20" s="95">
        <v>758</v>
      </c>
      <c r="B20" s="12"/>
      <c r="C20" s="133"/>
      <c r="D20" s="117" t="s">
        <v>65</v>
      </c>
      <c r="E20" s="119">
        <f>E21</f>
        <v>4221090</v>
      </c>
      <c r="F20" s="229"/>
      <c r="G20" s="117"/>
      <c r="H20" s="29"/>
    </row>
    <row r="21" spans="1:8" s="140" customFormat="1" ht="30" customHeight="1">
      <c r="A21" s="377"/>
      <c r="B21" s="126">
        <v>75801</v>
      </c>
      <c r="C21" s="134"/>
      <c r="D21" s="118" t="s">
        <v>66</v>
      </c>
      <c r="E21" s="120">
        <f>E22</f>
        <v>4221090</v>
      </c>
      <c r="F21" s="122"/>
      <c r="G21" s="118"/>
      <c r="H21" s="174"/>
    </row>
    <row r="22" spans="1:8" s="140" customFormat="1" ht="19.5" customHeight="1">
      <c r="A22" s="62"/>
      <c r="B22" s="63"/>
      <c r="C22" s="63"/>
      <c r="D22" s="397" t="s">
        <v>67</v>
      </c>
      <c r="E22" s="146">
        <f>E23</f>
        <v>4221090</v>
      </c>
      <c r="F22" s="146"/>
      <c r="G22" s="145"/>
      <c r="H22" s="145"/>
    </row>
    <row r="23" spans="1:8" s="140" customFormat="1" ht="19.5" customHeight="1">
      <c r="A23" s="141"/>
      <c r="B23" s="294"/>
      <c r="C23" s="22">
        <v>2920</v>
      </c>
      <c r="D23" s="147" t="s">
        <v>68</v>
      </c>
      <c r="E23" s="190">
        <v>4221090</v>
      </c>
      <c r="F23" s="362"/>
      <c r="G23" s="147"/>
      <c r="H23" s="188"/>
    </row>
    <row r="24" spans="1:8" s="296" customFormat="1" ht="19.5" customHeight="1" thickBot="1">
      <c r="A24" s="98"/>
      <c r="B24" s="295"/>
      <c r="C24" s="27"/>
      <c r="D24" s="207" t="s">
        <v>17</v>
      </c>
      <c r="E24" s="234"/>
      <c r="F24" s="390">
        <f>F25</f>
        <v>100000</v>
      </c>
      <c r="G24" s="207"/>
      <c r="H24" s="26"/>
    </row>
    <row r="25" spans="1:8" s="140" customFormat="1" ht="19.5" customHeight="1" thickTop="1">
      <c r="A25" s="117">
        <v>926</v>
      </c>
      <c r="B25" s="117"/>
      <c r="C25" s="117"/>
      <c r="D25" s="117" t="s">
        <v>148</v>
      </c>
      <c r="E25" s="119"/>
      <c r="F25" s="229">
        <f>F26</f>
        <v>100000</v>
      </c>
      <c r="G25" s="117"/>
      <c r="H25" s="29"/>
    </row>
    <row r="26" spans="1:8" s="140" customFormat="1" ht="19.5" customHeight="1">
      <c r="A26" s="62"/>
      <c r="B26" s="126">
        <v>92601</v>
      </c>
      <c r="C26" s="134"/>
      <c r="D26" s="118" t="s">
        <v>149</v>
      </c>
      <c r="E26" s="120"/>
      <c r="F26" s="122">
        <f>F27</f>
        <v>100000</v>
      </c>
      <c r="G26" s="118"/>
      <c r="H26" s="174"/>
    </row>
    <row r="27" spans="1:8" s="140" customFormat="1" ht="40.5" customHeight="1">
      <c r="A27" s="62"/>
      <c r="B27" s="63"/>
      <c r="C27" s="63"/>
      <c r="D27" s="145" t="s">
        <v>150</v>
      </c>
      <c r="E27" s="146"/>
      <c r="F27" s="146">
        <f>F28</f>
        <v>100000</v>
      </c>
      <c r="G27" s="145"/>
      <c r="H27" s="145"/>
    </row>
    <row r="28" spans="1:8" s="140" customFormat="1" ht="30.75" customHeight="1">
      <c r="A28" s="141"/>
      <c r="B28" s="142"/>
      <c r="C28" s="294">
        <v>6290</v>
      </c>
      <c r="D28" s="228" t="s">
        <v>69</v>
      </c>
      <c r="E28" s="470"/>
      <c r="F28" s="429">
        <v>100000</v>
      </c>
      <c r="G28" s="228"/>
      <c r="H28" s="471"/>
    </row>
    <row r="29" spans="1:8" s="140" customFormat="1" ht="15" customHeight="1">
      <c r="A29" s="472"/>
      <c r="B29" s="473"/>
      <c r="C29" s="474"/>
      <c r="D29" s="475"/>
      <c r="E29" s="476"/>
      <c r="F29" s="476"/>
      <c r="G29" s="475"/>
      <c r="H29" s="475"/>
    </row>
    <row r="30" spans="1:10" s="40" customFormat="1" ht="16.5" customHeight="1">
      <c r="A30" s="66"/>
      <c r="B30" s="66"/>
      <c r="C30" s="66"/>
      <c r="D30" s="171" t="s">
        <v>45</v>
      </c>
      <c r="E30" s="191">
        <f>E31+E36</f>
        <v>495612</v>
      </c>
      <c r="F30" s="191">
        <f>F31+F36</f>
        <v>289133</v>
      </c>
      <c r="G30" s="191"/>
      <c r="H30" s="191"/>
      <c r="I30" s="39"/>
      <c r="J30" s="39"/>
    </row>
    <row r="31" spans="1:8" ht="19.5" customHeight="1" thickBot="1">
      <c r="A31" s="98"/>
      <c r="B31" s="27"/>
      <c r="C31" s="27"/>
      <c r="D31" s="172" t="s">
        <v>15</v>
      </c>
      <c r="E31" s="23"/>
      <c r="F31" s="23">
        <f>F32</f>
        <v>288706</v>
      </c>
      <c r="G31" s="23"/>
      <c r="H31" s="23"/>
    </row>
    <row r="32" spans="1:10" s="40" customFormat="1" ht="44.25" customHeight="1" thickTop="1">
      <c r="A32" s="373">
        <v>756</v>
      </c>
      <c r="B32" s="29"/>
      <c r="C32" s="117"/>
      <c r="D32" s="100" t="s">
        <v>30</v>
      </c>
      <c r="E32" s="403"/>
      <c r="F32" s="403">
        <f>F33</f>
        <v>288706</v>
      </c>
      <c r="G32" s="399"/>
      <c r="H32" s="400"/>
      <c r="I32" s="39"/>
      <c r="J32" s="39"/>
    </row>
    <row r="33" spans="1:11" s="40" customFormat="1" ht="19.5" customHeight="1">
      <c r="A33" s="375"/>
      <c r="B33" s="235">
        <v>75622</v>
      </c>
      <c r="C33" s="236"/>
      <c r="D33" s="110" t="s">
        <v>159</v>
      </c>
      <c r="E33" s="175"/>
      <c r="F33" s="175">
        <f>F34</f>
        <v>288706</v>
      </c>
      <c r="G33" s="175"/>
      <c r="H33" s="175"/>
      <c r="I33" s="39"/>
      <c r="J33" s="39"/>
      <c r="K33" s="39"/>
    </row>
    <row r="34" spans="1:10" s="40" customFormat="1" ht="19.5" customHeight="1">
      <c r="A34" s="62"/>
      <c r="B34" s="232"/>
      <c r="C34" s="395"/>
      <c r="D34" s="148" t="s">
        <v>160</v>
      </c>
      <c r="E34" s="149"/>
      <c r="F34" s="149">
        <f>F35</f>
        <v>288706</v>
      </c>
      <c r="G34" s="150"/>
      <c r="H34" s="401"/>
      <c r="I34" s="39"/>
      <c r="J34" s="39"/>
    </row>
    <row r="35" spans="1:10" s="40" customFormat="1" ht="19.5" customHeight="1">
      <c r="A35" s="141"/>
      <c r="B35" s="142"/>
      <c r="C35" s="177" t="s">
        <v>157</v>
      </c>
      <c r="D35" s="374" t="s">
        <v>161</v>
      </c>
      <c r="E35" s="151"/>
      <c r="F35" s="151">
        <v>288706</v>
      </c>
      <c r="G35" s="152"/>
      <c r="H35" s="402"/>
      <c r="I35" s="39"/>
      <c r="J35" s="39"/>
    </row>
    <row r="36" spans="1:8" s="140" customFormat="1" ht="19.5" customHeight="1" thickBot="1">
      <c r="A36" s="74"/>
      <c r="B36" s="123"/>
      <c r="C36" s="123"/>
      <c r="D36" s="114" t="s">
        <v>16</v>
      </c>
      <c r="E36" s="189">
        <f>E37</f>
        <v>495612</v>
      </c>
      <c r="F36" s="220">
        <f>F37</f>
        <v>427</v>
      </c>
      <c r="G36" s="114"/>
      <c r="H36" s="187"/>
    </row>
    <row r="37" spans="1:8" s="140" customFormat="1" ht="19.5" customHeight="1" thickTop="1">
      <c r="A37" s="95">
        <v>758</v>
      </c>
      <c r="B37" s="12"/>
      <c r="C37" s="133"/>
      <c r="D37" s="117" t="s">
        <v>65</v>
      </c>
      <c r="E37" s="119">
        <f>E38+E41</f>
        <v>495612</v>
      </c>
      <c r="F37" s="119">
        <f>F38+F41</f>
        <v>427</v>
      </c>
      <c r="G37" s="117"/>
      <c r="H37" s="29"/>
    </row>
    <row r="38" spans="1:8" s="140" customFormat="1" ht="24.75" customHeight="1">
      <c r="A38" s="173"/>
      <c r="B38" s="235">
        <v>75801</v>
      </c>
      <c r="C38" s="236"/>
      <c r="D38" s="110" t="s">
        <v>66</v>
      </c>
      <c r="E38" s="120">
        <f>E39</f>
        <v>495612</v>
      </c>
      <c r="F38" s="122"/>
      <c r="G38" s="118"/>
      <c r="H38" s="174"/>
    </row>
    <row r="39" spans="1:8" s="140" customFormat="1" ht="19.5" customHeight="1">
      <c r="A39" s="62"/>
      <c r="B39" s="186"/>
      <c r="C39" s="186"/>
      <c r="D39" s="396" t="s">
        <v>67</v>
      </c>
      <c r="E39" s="146">
        <f>E40</f>
        <v>495612</v>
      </c>
      <c r="F39" s="146"/>
      <c r="G39" s="145"/>
      <c r="H39" s="145"/>
    </row>
    <row r="40" spans="1:8" s="140" customFormat="1" ht="19.5" customHeight="1">
      <c r="A40" s="141"/>
      <c r="B40" s="22"/>
      <c r="C40" s="135">
        <v>2920</v>
      </c>
      <c r="D40" s="147" t="s">
        <v>68</v>
      </c>
      <c r="E40" s="190">
        <v>495612</v>
      </c>
      <c r="F40" s="362"/>
      <c r="G40" s="147"/>
      <c r="H40" s="188"/>
    </row>
    <row r="41" spans="1:8" s="140" customFormat="1" ht="19.5" customHeight="1">
      <c r="A41" s="62"/>
      <c r="B41" s="126">
        <v>75832</v>
      </c>
      <c r="C41" s="134"/>
      <c r="D41" s="118" t="s">
        <v>162</v>
      </c>
      <c r="E41" s="120"/>
      <c r="F41" s="122">
        <f>F42</f>
        <v>427</v>
      </c>
      <c r="G41" s="118"/>
      <c r="H41" s="174"/>
    </row>
    <row r="42" spans="1:8" s="140" customFormat="1" ht="19.5" customHeight="1">
      <c r="A42" s="62"/>
      <c r="B42" s="186"/>
      <c r="C42" s="186"/>
      <c r="D42" s="396" t="s">
        <v>163</v>
      </c>
      <c r="E42" s="146"/>
      <c r="F42" s="146">
        <f>F43</f>
        <v>427</v>
      </c>
      <c r="G42" s="145"/>
      <c r="H42" s="145"/>
    </row>
    <row r="43" spans="1:8" s="140" customFormat="1" ht="19.5" customHeight="1">
      <c r="A43" s="141"/>
      <c r="B43" s="22"/>
      <c r="C43" s="135">
        <v>2920</v>
      </c>
      <c r="D43" s="147" t="s">
        <v>68</v>
      </c>
      <c r="E43" s="190"/>
      <c r="F43" s="362">
        <v>427</v>
      </c>
      <c r="G43" s="147"/>
      <c r="H43" s="188"/>
    </row>
    <row r="44" spans="1:8" s="179" customFormat="1" ht="19.5" customHeight="1">
      <c r="A44" s="169"/>
      <c r="B44" s="178"/>
      <c r="C44" s="178"/>
      <c r="D44" s="169" t="s">
        <v>146</v>
      </c>
      <c r="E44" s="170"/>
      <c r="F44" s="170">
        <f>F45+F51</f>
        <v>3330000</v>
      </c>
      <c r="G44" s="170"/>
      <c r="H44" s="170">
        <f>H57</f>
        <v>3330000</v>
      </c>
    </row>
    <row r="45" spans="1:10" s="40" customFormat="1" ht="19.5" customHeight="1">
      <c r="A45" s="66"/>
      <c r="B45" s="66"/>
      <c r="C45" s="66"/>
      <c r="D45" s="171" t="s">
        <v>42</v>
      </c>
      <c r="E45" s="28"/>
      <c r="F45" s="28">
        <f>F46</f>
        <v>530000</v>
      </c>
      <c r="G45" s="28"/>
      <c r="H45" s="28"/>
      <c r="I45" s="39"/>
      <c r="J45" s="39"/>
    </row>
    <row r="46" spans="1:8" ht="19.5" customHeight="1" thickBot="1">
      <c r="A46" s="98"/>
      <c r="B46" s="27"/>
      <c r="C46" s="27"/>
      <c r="D46" s="172" t="s">
        <v>15</v>
      </c>
      <c r="E46" s="23"/>
      <c r="F46" s="23">
        <f>F47</f>
        <v>530000</v>
      </c>
      <c r="G46" s="23"/>
      <c r="H46" s="23"/>
    </row>
    <row r="47" spans="1:15" s="40" customFormat="1" ht="20.25" customHeight="1" thickTop="1">
      <c r="A47" s="95">
        <v>600</v>
      </c>
      <c r="B47" s="12"/>
      <c r="C47" s="12"/>
      <c r="D47" s="12" t="s">
        <v>138</v>
      </c>
      <c r="E47" s="125"/>
      <c r="F47" s="125">
        <f>F48</f>
        <v>530000</v>
      </c>
      <c r="G47" s="125"/>
      <c r="H47" s="125"/>
      <c r="I47" s="226"/>
      <c r="J47" s="226"/>
      <c r="K47" s="226"/>
      <c r="L47" s="1"/>
      <c r="M47" s="1"/>
      <c r="N47" s="1"/>
      <c r="O47" s="1"/>
    </row>
    <row r="48" spans="1:11" s="40" customFormat="1" ht="20.25" customHeight="1">
      <c r="A48" s="375"/>
      <c r="B48" s="126">
        <v>60016</v>
      </c>
      <c r="C48" s="126"/>
      <c r="D48" s="126" t="s">
        <v>139</v>
      </c>
      <c r="E48" s="175"/>
      <c r="F48" s="175">
        <f>F49</f>
        <v>530000</v>
      </c>
      <c r="G48" s="175"/>
      <c r="H48" s="175"/>
      <c r="I48" s="39"/>
      <c r="J48" s="39"/>
      <c r="K48" s="39"/>
    </row>
    <row r="49" spans="1:11" s="40" customFormat="1" ht="20.25" customHeight="1">
      <c r="A49" s="62"/>
      <c r="B49" s="63"/>
      <c r="C49" s="63"/>
      <c r="D49" s="145" t="s">
        <v>140</v>
      </c>
      <c r="E49" s="128"/>
      <c r="F49" s="128">
        <f>F50</f>
        <v>530000</v>
      </c>
      <c r="G49" s="128"/>
      <c r="H49" s="128"/>
      <c r="I49" s="39"/>
      <c r="J49" s="39"/>
      <c r="K49" s="39"/>
    </row>
    <row r="50" spans="1:8" s="140" customFormat="1" ht="20.25" customHeight="1">
      <c r="A50" s="141"/>
      <c r="B50" s="142"/>
      <c r="C50" s="177" t="s">
        <v>141</v>
      </c>
      <c r="D50" s="374" t="s">
        <v>142</v>
      </c>
      <c r="E50" s="137"/>
      <c r="F50" s="137">
        <v>530000</v>
      </c>
      <c r="G50" s="137"/>
      <c r="H50" s="137"/>
    </row>
    <row r="51" spans="1:10" s="40" customFormat="1" ht="20.25" customHeight="1">
      <c r="A51" s="66"/>
      <c r="B51" s="66"/>
      <c r="C51" s="66"/>
      <c r="D51" s="171" t="s">
        <v>45</v>
      </c>
      <c r="E51" s="191"/>
      <c r="F51" s="191">
        <f>F52</f>
        <v>2800000</v>
      </c>
      <c r="G51" s="191"/>
      <c r="H51" s="191"/>
      <c r="I51" s="39"/>
      <c r="J51" s="39"/>
    </row>
    <row r="52" spans="1:8" ht="20.25" customHeight="1" thickBot="1">
      <c r="A52" s="98"/>
      <c r="B52" s="27"/>
      <c r="C52" s="27"/>
      <c r="D52" s="172" t="s">
        <v>15</v>
      </c>
      <c r="E52" s="23"/>
      <c r="F52" s="23">
        <f>F53</f>
        <v>2800000</v>
      </c>
      <c r="G52" s="23"/>
      <c r="H52" s="23"/>
    </row>
    <row r="53" spans="1:15" s="40" customFormat="1" ht="20.25" customHeight="1" thickTop="1">
      <c r="A53" s="95">
        <v>600</v>
      </c>
      <c r="B53" s="12"/>
      <c r="C53" s="376"/>
      <c r="D53" s="376" t="s">
        <v>138</v>
      </c>
      <c r="E53" s="125"/>
      <c r="F53" s="125">
        <f>F54</f>
        <v>2800000</v>
      </c>
      <c r="G53" s="125"/>
      <c r="H53" s="125"/>
      <c r="I53" s="226"/>
      <c r="J53" s="226"/>
      <c r="K53" s="226"/>
      <c r="L53" s="1"/>
      <c r="M53" s="1"/>
      <c r="N53" s="1"/>
      <c r="O53" s="1"/>
    </row>
    <row r="54" spans="1:11" s="40" customFormat="1" ht="20.25" customHeight="1">
      <c r="A54" s="377"/>
      <c r="B54" s="126">
        <v>60015</v>
      </c>
      <c r="C54" s="378"/>
      <c r="D54" s="378" t="s">
        <v>143</v>
      </c>
      <c r="E54" s="175"/>
      <c r="F54" s="175">
        <f>F55</f>
        <v>2800000</v>
      </c>
      <c r="G54" s="175"/>
      <c r="H54" s="175"/>
      <c r="I54" s="39"/>
      <c r="J54" s="39"/>
      <c r="K54" s="39"/>
    </row>
    <row r="55" spans="1:11" s="40" customFormat="1" ht="20.25" customHeight="1">
      <c r="A55" s="62"/>
      <c r="B55" s="104"/>
      <c r="C55" s="176"/>
      <c r="D55" s="148" t="s">
        <v>140</v>
      </c>
      <c r="E55" s="128"/>
      <c r="F55" s="128">
        <f>F56</f>
        <v>2800000</v>
      </c>
      <c r="G55" s="128"/>
      <c r="H55" s="128"/>
      <c r="I55" s="39"/>
      <c r="J55" s="39"/>
      <c r="K55" s="39"/>
    </row>
    <row r="56" spans="1:8" s="140" customFormat="1" ht="20.25" customHeight="1">
      <c r="A56" s="135"/>
      <c r="B56" s="136"/>
      <c r="C56" s="177" t="s">
        <v>141</v>
      </c>
      <c r="D56" s="374" t="s">
        <v>142</v>
      </c>
      <c r="E56" s="137"/>
      <c r="F56" s="137">
        <v>2800000</v>
      </c>
      <c r="G56" s="137"/>
      <c r="H56" s="137"/>
    </row>
    <row r="57" spans="1:8" s="7" customFormat="1" ht="19.5" customHeight="1" thickBot="1">
      <c r="A57" s="98"/>
      <c r="B57" s="27"/>
      <c r="C57" s="27"/>
      <c r="D57" s="16" t="s">
        <v>6</v>
      </c>
      <c r="E57" s="23"/>
      <c r="F57" s="23"/>
      <c r="G57" s="23"/>
      <c r="H57" s="23">
        <f>H58</f>
        <v>3330000</v>
      </c>
    </row>
    <row r="58" spans="1:8" ht="19.5" customHeight="1" thickTop="1">
      <c r="A58" s="310">
        <v>600</v>
      </c>
      <c r="B58" s="383"/>
      <c r="C58" s="383"/>
      <c r="D58" s="384" t="s">
        <v>138</v>
      </c>
      <c r="E58" s="385"/>
      <c r="F58" s="385"/>
      <c r="G58" s="385"/>
      <c r="H58" s="18">
        <f>H59+H63+H67</f>
        <v>3330000</v>
      </c>
    </row>
    <row r="59" spans="1:8" ht="19.5" customHeight="1">
      <c r="A59" s="36"/>
      <c r="B59" s="34">
        <v>60015</v>
      </c>
      <c r="C59" s="34"/>
      <c r="D59" s="34" t="s">
        <v>143</v>
      </c>
      <c r="E59" s="339"/>
      <c r="F59" s="339"/>
      <c r="G59" s="339"/>
      <c r="H59" s="30">
        <f>H60</f>
        <v>2800000</v>
      </c>
    </row>
    <row r="60" spans="1:11" s="40" customFormat="1" ht="19.5" customHeight="1">
      <c r="A60" s="36"/>
      <c r="B60" s="111"/>
      <c r="C60" s="111"/>
      <c r="D60" s="112" t="s">
        <v>144</v>
      </c>
      <c r="E60" s="386"/>
      <c r="F60" s="386"/>
      <c r="G60" s="386"/>
      <c r="H60" s="109">
        <f>SUM(H61:H62)</f>
        <v>2800000</v>
      </c>
      <c r="I60" s="39"/>
      <c r="J60" s="39"/>
      <c r="K60" s="39"/>
    </row>
    <row r="61" spans="1:11" s="40" customFormat="1" ht="19.5" customHeight="1">
      <c r="A61" s="36"/>
      <c r="B61" s="36"/>
      <c r="C61" s="155">
        <v>4260</v>
      </c>
      <c r="D61" s="155" t="s">
        <v>76</v>
      </c>
      <c r="E61" s="461"/>
      <c r="F61" s="461"/>
      <c r="G61" s="461"/>
      <c r="H61" s="462">
        <v>80000</v>
      </c>
      <c r="I61" s="39"/>
      <c r="J61" s="39"/>
      <c r="K61" s="39"/>
    </row>
    <row r="62" spans="1:8" s="140" customFormat="1" ht="19.5" customHeight="1">
      <c r="A62" s="382"/>
      <c r="B62" s="387"/>
      <c r="C62" s="155">
        <v>4300</v>
      </c>
      <c r="D62" s="159" t="s">
        <v>70</v>
      </c>
      <c r="E62" s="388"/>
      <c r="F62" s="388"/>
      <c r="G62" s="388"/>
      <c r="H62" s="462">
        <v>2720000</v>
      </c>
    </row>
    <row r="63" spans="1:8" s="140" customFormat="1" ht="19.5" customHeight="1">
      <c r="A63" s="36"/>
      <c r="B63" s="34">
        <v>60016</v>
      </c>
      <c r="C63" s="34"/>
      <c r="D63" s="34" t="s">
        <v>139</v>
      </c>
      <c r="E63" s="339"/>
      <c r="F63" s="339"/>
      <c r="G63" s="339"/>
      <c r="H63" s="30">
        <f>H64</f>
        <v>430000</v>
      </c>
    </row>
    <row r="64" spans="1:11" s="40" customFormat="1" ht="19.5" customHeight="1">
      <c r="A64" s="36"/>
      <c r="B64" s="111"/>
      <c r="C64" s="111"/>
      <c r="D64" s="112" t="s">
        <v>144</v>
      </c>
      <c r="E64" s="386"/>
      <c r="F64" s="386"/>
      <c r="G64" s="386"/>
      <c r="H64" s="109">
        <f>SUM(H65:H66)</f>
        <v>430000</v>
      </c>
      <c r="I64" s="39"/>
      <c r="J64" s="39"/>
      <c r="K64" s="39"/>
    </row>
    <row r="65" spans="1:11" s="40" customFormat="1" ht="19.5" customHeight="1">
      <c r="A65" s="36"/>
      <c r="B65" s="36"/>
      <c r="C65" s="155">
        <v>4260</v>
      </c>
      <c r="D65" s="155" t="s">
        <v>76</v>
      </c>
      <c r="E65" s="461"/>
      <c r="F65" s="461"/>
      <c r="G65" s="461"/>
      <c r="H65" s="462">
        <v>2000</v>
      </c>
      <c r="I65" s="39"/>
      <c r="J65" s="39"/>
      <c r="K65" s="39"/>
    </row>
    <row r="66" spans="1:8" s="140" customFormat="1" ht="19.5" customHeight="1">
      <c r="A66" s="382"/>
      <c r="B66" s="387"/>
      <c r="C66" s="155">
        <v>4300</v>
      </c>
      <c r="D66" s="159" t="s">
        <v>70</v>
      </c>
      <c r="E66" s="388"/>
      <c r="F66" s="388"/>
      <c r="G66" s="388"/>
      <c r="H66" s="462">
        <v>428000</v>
      </c>
    </row>
    <row r="67" spans="1:8" s="140" customFormat="1" ht="19.5" customHeight="1">
      <c r="A67" s="36"/>
      <c r="B67" s="34">
        <v>60017</v>
      </c>
      <c r="C67" s="34"/>
      <c r="D67" s="34" t="s">
        <v>145</v>
      </c>
      <c r="E67" s="339"/>
      <c r="F67" s="339"/>
      <c r="G67" s="339"/>
      <c r="H67" s="30">
        <f>H68</f>
        <v>100000</v>
      </c>
    </row>
    <row r="68" spans="1:8" s="140" customFormat="1" ht="19.5" customHeight="1">
      <c r="A68" s="36"/>
      <c r="B68" s="36"/>
      <c r="C68" s="36"/>
      <c r="D68" s="112" t="s">
        <v>144</v>
      </c>
      <c r="E68" s="386"/>
      <c r="F68" s="386"/>
      <c r="G68" s="386"/>
      <c r="H68" s="109">
        <f>H69</f>
        <v>100000</v>
      </c>
    </row>
    <row r="69" spans="1:8" s="140" customFormat="1" ht="19.5" customHeight="1">
      <c r="A69" s="153"/>
      <c r="B69" s="36"/>
      <c r="C69" s="155">
        <v>4300</v>
      </c>
      <c r="D69" s="155" t="s">
        <v>70</v>
      </c>
      <c r="E69" s="256"/>
      <c r="F69" s="256"/>
      <c r="G69" s="256"/>
      <c r="H69" s="154">
        <v>100000</v>
      </c>
    </row>
    <row r="70" spans="1:9" s="179" customFormat="1" ht="19.5" customHeight="1">
      <c r="A70" s="169"/>
      <c r="B70" s="178"/>
      <c r="C70" s="178"/>
      <c r="D70" s="169" t="s">
        <v>106</v>
      </c>
      <c r="E70" s="170"/>
      <c r="F70" s="253"/>
      <c r="G70" s="170">
        <f aca="true" t="shared" si="0" ref="G70:H72">G71</f>
        <v>300000</v>
      </c>
      <c r="H70" s="253">
        <f t="shared" si="0"/>
        <v>300000</v>
      </c>
      <c r="I70" s="195"/>
    </row>
    <row r="71" spans="1:8" s="7" customFormat="1" ht="19.5" customHeight="1" thickBot="1">
      <c r="A71" s="153"/>
      <c r="B71" s="181"/>
      <c r="C71" s="181"/>
      <c r="D71" s="182" t="s">
        <v>44</v>
      </c>
      <c r="E71" s="23"/>
      <c r="F71" s="23"/>
      <c r="G71" s="23">
        <f t="shared" si="0"/>
        <v>300000</v>
      </c>
      <c r="H71" s="23">
        <f t="shared" si="0"/>
        <v>300000</v>
      </c>
    </row>
    <row r="72" spans="1:8" ht="19.5" customHeight="1" thickTop="1">
      <c r="A72" s="310">
        <v>750</v>
      </c>
      <c r="B72" s="310"/>
      <c r="C72" s="310"/>
      <c r="D72" s="310" t="s">
        <v>100</v>
      </c>
      <c r="E72" s="18"/>
      <c r="F72" s="18"/>
      <c r="G72" s="18">
        <f t="shared" si="0"/>
        <v>300000</v>
      </c>
      <c r="H72" s="18">
        <f t="shared" si="0"/>
        <v>300000</v>
      </c>
    </row>
    <row r="73" spans="1:8" s="7" customFormat="1" ht="19.5" customHeight="1">
      <c r="A73" s="36"/>
      <c r="B73" s="34">
        <v>75023</v>
      </c>
      <c r="C73" s="34"/>
      <c r="D73" s="34" t="s">
        <v>101</v>
      </c>
      <c r="E73" s="30"/>
      <c r="F73" s="30"/>
      <c r="G73" s="30">
        <f>G74+G76+G78</f>
        <v>300000</v>
      </c>
      <c r="H73" s="30">
        <f>H74+H76+H78</f>
        <v>300000</v>
      </c>
    </row>
    <row r="74" spans="1:8" s="7" customFormat="1" ht="19.5" customHeight="1">
      <c r="A74" s="36"/>
      <c r="B74" s="111"/>
      <c r="C74" s="36"/>
      <c r="D74" s="112" t="s">
        <v>102</v>
      </c>
      <c r="E74" s="109"/>
      <c r="F74" s="109"/>
      <c r="G74" s="109"/>
      <c r="H74" s="109">
        <f>H75</f>
        <v>256500</v>
      </c>
    </row>
    <row r="75" spans="1:8" s="7" customFormat="1" ht="19.5" customHeight="1">
      <c r="A75" s="153"/>
      <c r="B75" s="153"/>
      <c r="C75" s="155">
        <v>4010</v>
      </c>
      <c r="D75" s="318" t="s">
        <v>75</v>
      </c>
      <c r="E75" s="154"/>
      <c r="F75" s="154"/>
      <c r="G75" s="154"/>
      <c r="H75" s="154">
        <v>256500</v>
      </c>
    </row>
    <row r="76" spans="1:8" s="7" customFormat="1" ht="19.5" customHeight="1">
      <c r="A76" s="36"/>
      <c r="B76" s="36"/>
      <c r="C76" s="36"/>
      <c r="D76" s="255" t="s">
        <v>27</v>
      </c>
      <c r="E76" s="109"/>
      <c r="F76" s="109"/>
      <c r="G76" s="109">
        <f>G77</f>
        <v>300000</v>
      </c>
      <c r="H76" s="109"/>
    </row>
    <row r="77" spans="1:8" s="7" customFormat="1" ht="19.5" customHeight="1">
      <c r="A77" s="153"/>
      <c r="B77" s="153"/>
      <c r="C77" s="155">
        <v>4300</v>
      </c>
      <c r="D77" s="159" t="s">
        <v>70</v>
      </c>
      <c r="E77" s="154"/>
      <c r="F77" s="154"/>
      <c r="G77" s="154">
        <v>300000</v>
      </c>
      <c r="H77" s="154"/>
    </row>
    <row r="78" spans="1:8" s="7" customFormat="1" ht="19.5" customHeight="1">
      <c r="A78" s="36"/>
      <c r="B78" s="36"/>
      <c r="C78" s="36"/>
      <c r="D78" s="231" t="s">
        <v>103</v>
      </c>
      <c r="E78" s="109"/>
      <c r="F78" s="109"/>
      <c r="G78" s="109"/>
      <c r="H78" s="109">
        <f>SUM(H79:H80)</f>
        <v>43500</v>
      </c>
    </row>
    <row r="79" spans="1:8" s="7" customFormat="1" ht="19.5" customHeight="1">
      <c r="A79" s="153"/>
      <c r="B79" s="153"/>
      <c r="C79" s="155">
        <v>4110</v>
      </c>
      <c r="D79" s="159" t="s">
        <v>104</v>
      </c>
      <c r="E79" s="154"/>
      <c r="F79" s="154"/>
      <c r="G79" s="154"/>
      <c r="H79" s="154">
        <v>38000</v>
      </c>
    </row>
    <row r="80" spans="1:8" s="7" customFormat="1" ht="19.5" customHeight="1">
      <c r="A80" s="153"/>
      <c r="B80" s="153"/>
      <c r="C80" s="155">
        <v>4120</v>
      </c>
      <c r="D80" s="159" t="s">
        <v>105</v>
      </c>
      <c r="E80" s="154"/>
      <c r="F80" s="154"/>
      <c r="G80" s="154"/>
      <c r="H80" s="154">
        <v>5500</v>
      </c>
    </row>
    <row r="81" spans="1:9" s="179" customFormat="1" ht="19.5" customHeight="1">
      <c r="A81" s="169"/>
      <c r="B81" s="178"/>
      <c r="C81" s="178"/>
      <c r="D81" s="169" t="s">
        <v>46</v>
      </c>
      <c r="E81" s="170"/>
      <c r="F81" s="170"/>
      <c r="G81" s="170">
        <f>G82</f>
        <v>30000</v>
      </c>
      <c r="H81" s="170">
        <f>H82</f>
        <v>330000</v>
      </c>
      <c r="I81" s="195"/>
    </row>
    <row r="82" spans="1:8" s="7" customFormat="1" ht="19.5" customHeight="1" thickBot="1">
      <c r="A82" s="155"/>
      <c r="B82" s="181"/>
      <c r="C82" s="181"/>
      <c r="D82" s="182" t="s">
        <v>44</v>
      </c>
      <c r="E82" s="23"/>
      <c r="F82" s="23"/>
      <c r="G82" s="23">
        <f>G83+G88</f>
        <v>30000</v>
      </c>
      <c r="H82" s="23">
        <f>H83+H88</f>
        <v>330000</v>
      </c>
    </row>
    <row r="83" spans="1:8" s="7" customFormat="1" ht="19.5" customHeight="1" thickTop="1">
      <c r="A83" s="6">
        <v>700</v>
      </c>
      <c r="B83" s="6"/>
      <c r="C83" s="6"/>
      <c r="D83" s="6" t="s">
        <v>63</v>
      </c>
      <c r="E83" s="18"/>
      <c r="F83" s="18"/>
      <c r="G83" s="18"/>
      <c r="H83" s="18">
        <f>H84</f>
        <v>300000</v>
      </c>
    </row>
    <row r="84" spans="1:8" s="2" customFormat="1" ht="19.5" customHeight="1">
      <c r="A84" s="36"/>
      <c r="B84" s="326">
        <v>70001</v>
      </c>
      <c r="C84" s="326"/>
      <c r="D84" s="326" t="s">
        <v>110</v>
      </c>
      <c r="E84" s="30"/>
      <c r="F84" s="30"/>
      <c r="G84" s="30"/>
      <c r="H84" s="30">
        <f>H85</f>
        <v>300000</v>
      </c>
    </row>
    <row r="85" spans="1:8" s="7" customFormat="1" ht="19.5" customHeight="1">
      <c r="A85" s="5"/>
      <c r="B85" s="5"/>
      <c r="C85" s="5"/>
      <c r="D85" s="420" t="s">
        <v>206</v>
      </c>
      <c r="E85" s="478"/>
      <c r="F85" s="478"/>
      <c r="G85" s="478"/>
      <c r="H85" s="479">
        <f>H87</f>
        <v>300000</v>
      </c>
    </row>
    <row r="86" spans="1:8" s="7" customFormat="1" ht="19.5" customHeight="1">
      <c r="A86" s="153"/>
      <c r="B86" s="153"/>
      <c r="C86" s="153"/>
      <c r="D86" s="391" t="s">
        <v>204</v>
      </c>
      <c r="E86" s="248"/>
      <c r="F86" s="248"/>
      <c r="G86" s="248"/>
      <c r="H86" s="477">
        <f>200000+100000</f>
        <v>300000</v>
      </c>
    </row>
    <row r="87" spans="1:8" s="7" customFormat="1" ht="27.75" customHeight="1">
      <c r="A87" s="155"/>
      <c r="B87" s="155"/>
      <c r="C87" s="159">
        <v>6210</v>
      </c>
      <c r="D87" s="188" t="s">
        <v>111</v>
      </c>
      <c r="E87" s="317"/>
      <c r="F87" s="317"/>
      <c r="G87" s="317"/>
      <c r="H87" s="154">
        <f>H86</f>
        <v>300000</v>
      </c>
    </row>
    <row r="88" spans="1:8" s="7" customFormat="1" ht="19.5" customHeight="1">
      <c r="A88" s="6">
        <v>921</v>
      </c>
      <c r="B88" s="6"/>
      <c r="C88" s="6"/>
      <c r="D88" s="6" t="s">
        <v>32</v>
      </c>
      <c r="E88" s="18"/>
      <c r="F88" s="18"/>
      <c r="G88" s="18">
        <f>G89</f>
        <v>30000</v>
      </c>
      <c r="H88" s="18">
        <f>H89</f>
        <v>30000</v>
      </c>
    </row>
    <row r="89" spans="1:8" s="2" customFormat="1" ht="19.5" customHeight="1">
      <c r="A89" s="36"/>
      <c r="B89" s="326">
        <v>92105</v>
      </c>
      <c r="C89" s="326"/>
      <c r="D89" s="326" t="s">
        <v>64</v>
      </c>
      <c r="E89" s="30"/>
      <c r="F89" s="30"/>
      <c r="G89" s="30">
        <f>G90</f>
        <v>30000</v>
      </c>
      <c r="H89" s="30">
        <f>H90</f>
        <v>30000</v>
      </c>
    </row>
    <row r="90" spans="1:8" s="7" customFormat="1" ht="19.5" customHeight="1">
      <c r="A90" s="357"/>
      <c r="B90" s="358"/>
      <c r="C90" s="358"/>
      <c r="D90" s="359" t="s">
        <v>207</v>
      </c>
      <c r="E90" s="128"/>
      <c r="F90" s="128"/>
      <c r="G90" s="128">
        <f>G91+G94</f>
        <v>30000</v>
      </c>
      <c r="H90" s="128">
        <f>H91+H94</f>
        <v>30000</v>
      </c>
    </row>
    <row r="91" spans="1:8" s="7" customFormat="1" ht="19.5" customHeight="1">
      <c r="A91" s="153"/>
      <c r="B91" s="153"/>
      <c r="C91" s="357"/>
      <c r="D91" s="360" t="s">
        <v>125</v>
      </c>
      <c r="E91" s="363"/>
      <c r="F91" s="363"/>
      <c r="G91" s="363">
        <f>G93</f>
        <v>30000</v>
      </c>
      <c r="H91" s="363"/>
    </row>
    <row r="92" spans="1:8" s="7" customFormat="1" ht="19.5" customHeight="1">
      <c r="A92" s="153"/>
      <c r="B92" s="153"/>
      <c r="C92" s="548"/>
      <c r="D92" s="549" t="s">
        <v>208</v>
      </c>
      <c r="E92" s="550"/>
      <c r="F92" s="550"/>
      <c r="G92" s="550">
        <f>G93</f>
        <v>30000</v>
      </c>
      <c r="H92" s="550"/>
    </row>
    <row r="93" spans="1:8" s="7" customFormat="1" ht="27" customHeight="1">
      <c r="A93" s="153"/>
      <c r="B93" s="153"/>
      <c r="C93" s="318">
        <v>2820</v>
      </c>
      <c r="D93" s="188" t="s">
        <v>129</v>
      </c>
      <c r="E93" s="137"/>
      <c r="F93" s="137"/>
      <c r="G93" s="137">
        <v>30000</v>
      </c>
      <c r="H93" s="137"/>
    </row>
    <row r="94" spans="1:8" s="7" customFormat="1" ht="20.25" customHeight="1">
      <c r="A94" s="153"/>
      <c r="B94" s="153"/>
      <c r="C94" s="357"/>
      <c r="D94" s="361" t="s">
        <v>127</v>
      </c>
      <c r="E94" s="364"/>
      <c r="F94" s="364"/>
      <c r="G94" s="364"/>
      <c r="H94" s="364">
        <f>H96</f>
        <v>30000</v>
      </c>
    </row>
    <row r="95" spans="1:8" s="7" customFormat="1" ht="19.5" customHeight="1">
      <c r="A95" s="153"/>
      <c r="B95" s="153"/>
      <c r="C95" s="548"/>
      <c r="D95" s="549" t="s">
        <v>208</v>
      </c>
      <c r="E95" s="550"/>
      <c r="F95" s="550"/>
      <c r="G95" s="550"/>
      <c r="H95" s="550">
        <v>30000</v>
      </c>
    </row>
    <row r="96" spans="1:8" s="7" customFormat="1" ht="29.25" customHeight="1">
      <c r="A96" s="153"/>
      <c r="B96" s="153"/>
      <c r="C96" s="318">
        <v>2810</v>
      </c>
      <c r="D96" s="188" t="s">
        <v>126</v>
      </c>
      <c r="E96" s="137"/>
      <c r="F96" s="137"/>
      <c r="G96" s="137"/>
      <c r="H96" s="137">
        <f>H95</f>
        <v>30000</v>
      </c>
    </row>
    <row r="97" spans="1:9" s="179" customFormat="1" ht="25.5" customHeight="1">
      <c r="A97" s="169"/>
      <c r="B97" s="178"/>
      <c r="C97" s="178"/>
      <c r="D97" s="169" t="s">
        <v>180</v>
      </c>
      <c r="E97" s="170"/>
      <c r="F97" s="170"/>
      <c r="G97" s="170"/>
      <c r="H97" s="170">
        <f>H98</f>
        <v>1278989</v>
      </c>
      <c r="I97" s="195"/>
    </row>
    <row r="98" spans="1:8" s="7" customFormat="1" ht="24.75" customHeight="1" thickBot="1">
      <c r="A98" s="155"/>
      <c r="B98" s="181"/>
      <c r="C98" s="181"/>
      <c r="D98" s="182" t="s">
        <v>44</v>
      </c>
      <c r="E98" s="23"/>
      <c r="F98" s="23"/>
      <c r="G98" s="23"/>
      <c r="H98" s="23">
        <f>H99+H105</f>
        <v>1278989</v>
      </c>
    </row>
    <row r="99" spans="1:8" s="7" customFormat="1" ht="19.5" customHeight="1" thickTop="1">
      <c r="A99" s="310">
        <v>801</v>
      </c>
      <c r="B99" s="310"/>
      <c r="C99" s="310"/>
      <c r="D99" s="310" t="s">
        <v>22</v>
      </c>
      <c r="E99" s="18"/>
      <c r="F99" s="18"/>
      <c r="G99" s="18"/>
      <c r="H99" s="18">
        <f>H100</f>
        <v>1178989</v>
      </c>
    </row>
    <row r="100" spans="1:8" s="2" customFormat="1" ht="19.5" customHeight="1">
      <c r="A100" s="36"/>
      <c r="B100" s="34">
        <v>80101</v>
      </c>
      <c r="C100" s="34"/>
      <c r="D100" s="34" t="s">
        <v>28</v>
      </c>
      <c r="E100" s="30"/>
      <c r="F100" s="30"/>
      <c r="G100" s="30"/>
      <c r="H100" s="30">
        <f>H101</f>
        <v>1178989</v>
      </c>
    </row>
    <row r="101" spans="1:8" s="7" customFormat="1" ht="19.5" customHeight="1">
      <c r="A101" s="36"/>
      <c r="B101" s="36"/>
      <c r="C101" s="36"/>
      <c r="D101" s="231" t="s">
        <v>92</v>
      </c>
      <c r="E101" s="321"/>
      <c r="F101" s="321"/>
      <c r="G101" s="321"/>
      <c r="H101" s="321">
        <f>H104</f>
        <v>1178989</v>
      </c>
    </row>
    <row r="102" spans="1:8" s="7" customFormat="1" ht="19.5" customHeight="1">
      <c r="A102" s="153"/>
      <c r="B102" s="153"/>
      <c r="C102" s="153"/>
      <c r="D102" s="319" t="s">
        <v>107</v>
      </c>
      <c r="E102" s="248"/>
      <c r="F102" s="248"/>
      <c r="G102" s="248"/>
      <c r="H102" s="248">
        <v>598989</v>
      </c>
    </row>
    <row r="103" spans="1:8" s="7" customFormat="1" ht="19.5" customHeight="1">
      <c r="A103" s="153"/>
      <c r="B103" s="153"/>
      <c r="C103" s="153"/>
      <c r="D103" s="158" t="s">
        <v>108</v>
      </c>
      <c r="E103" s="315"/>
      <c r="F103" s="315"/>
      <c r="G103" s="315"/>
      <c r="H103" s="315">
        <v>580000</v>
      </c>
    </row>
    <row r="104" spans="1:8" s="7" customFormat="1" ht="19.5" customHeight="1">
      <c r="A104" s="155"/>
      <c r="B104" s="155"/>
      <c r="C104" s="155">
        <v>6050</v>
      </c>
      <c r="D104" s="320" t="s">
        <v>74</v>
      </c>
      <c r="E104" s="317"/>
      <c r="F104" s="317"/>
      <c r="G104" s="317"/>
      <c r="H104" s="317">
        <f>SUM(H102:H103)</f>
        <v>1178989</v>
      </c>
    </row>
    <row r="105" spans="1:8" s="7" customFormat="1" ht="19.5" customHeight="1">
      <c r="A105" s="6">
        <v>926</v>
      </c>
      <c r="B105" s="6"/>
      <c r="C105" s="6"/>
      <c r="D105" s="6" t="s">
        <v>148</v>
      </c>
      <c r="E105" s="244"/>
      <c r="F105" s="244"/>
      <c r="G105" s="244"/>
      <c r="H105" s="244">
        <f>H106</f>
        <v>100000</v>
      </c>
    </row>
    <row r="106" spans="1:8" s="7" customFormat="1" ht="19.5" customHeight="1">
      <c r="A106" s="36"/>
      <c r="B106" s="34">
        <v>92604</v>
      </c>
      <c r="C106" s="34"/>
      <c r="D106" s="34" t="s">
        <v>151</v>
      </c>
      <c r="E106" s="276"/>
      <c r="F106" s="276"/>
      <c r="G106" s="276"/>
      <c r="H106" s="276">
        <f>H107</f>
        <v>100000</v>
      </c>
    </row>
    <row r="107" spans="1:8" s="7" customFormat="1" ht="19.5" customHeight="1">
      <c r="A107" s="36"/>
      <c r="B107" s="111"/>
      <c r="C107" s="111"/>
      <c r="D107" s="112" t="s">
        <v>152</v>
      </c>
      <c r="E107" s="344"/>
      <c r="F107" s="344"/>
      <c r="G107" s="344"/>
      <c r="H107" s="344">
        <f>H110</f>
        <v>100000</v>
      </c>
    </row>
    <row r="108" spans="1:8" s="7" customFormat="1" ht="19.5" customHeight="1">
      <c r="A108" s="153"/>
      <c r="B108" s="153"/>
      <c r="C108" s="153"/>
      <c r="D108" s="391" t="s">
        <v>92</v>
      </c>
      <c r="E108" s="392"/>
      <c r="F108" s="392"/>
      <c r="G108" s="392"/>
      <c r="H108" s="392">
        <f>H110</f>
        <v>100000</v>
      </c>
    </row>
    <row r="109" spans="1:8" s="7" customFormat="1" ht="28.5" customHeight="1">
      <c r="A109" s="153"/>
      <c r="B109" s="153"/>
      <c r="C109" s="153"/>
      <c r="D109" s="158" t="s">
        <v>153</v>
      </c>
      <c r="E109" s="158"/>
      <c r="F109" s="158"/>
      <c r="G109" s="158"/>
      <c r="H109" s="158">
        <v>100000</v>
      </c>
    </row>
    <row r="110" spans="1:8" s="7" customFormat="1" ht="29.25" customHeight="1">
      <c r="A110" s="153"/>
      <c r="B110" s="153"/>
      <c r="C110" s="153">
        <v>6210</v>
      </c>
      <c r="D110" s="219" t="s">
        <v>111</v>
      </c>
      <c r="E110" s="480"/>
      <c r="F110" s="480"/>
      <c r="G110" s="480"/>
      <c r="H110" s="480">
        <f>H109</f>
        <v>100000</v>
      </c>
    </row>
    <row r="111" spans="1:8" s="7" customFormat="1" ht="29.25" customHeight="1">
      <c r="A111" s="481"/>
      <c r="B111" s="481"/>
      <c r="C111" s="481"/>
      <c r="D111" s="482"/>
      <c r="E111" s="483"/>
      <c r="F111" s="483"/>
      <c r="G111" s="483"/>
      <c r="H111" s="483"/>
    </row>
    <row r="112" spans="1:9" s="179" customFormat="1" ht="21" customHeight="1">
      <c r="A112" s="169"/>
      <c r="B112" s="178"/>
      <c r="C112" s="178"/>
      <c r="D112" s="169" t="s">
        <v>209</v>
      </c>
      <c r="E112" s="170"/>
      <c r="F112" s="170"/>
      <c r="G112" s="170"/>
      <c r="H112" s="170">
        <f>H113</f>
        <v>75600</v>
      </c>
      <c r="I112" s="195"/>
    </row>
    <row r="113" spans="1:8" s="7" customFormat="1" ht="31.5" customHeight="1" thickBot="1">
      <c r="A113" s="155"/>
      <c r="B113" s="181"/>
      <c r="C113" s="181"/>
      <c r="D113" s="182" t="s">
        <v>94</v>
      </c>
      <c r="E113" s="23"/>
      <c r="F113" s="23"/>
      <c r="G113" s="23"/>
      <c r="H113" s="23">
        <f>H114</f>
        <v>75600</v>
      </c>
    </row>
    <row r="114" spans="1:8" ht="19.5" customHeight="1" thickTop="1">
      <c r="A114" s="6">
        <v>852</v>
      </c>
      <c r="B114" s="6"/>
      <c r="C114" s="6"/>
      <c r="D114" s="6" t="s">
        <v>23</v>
      </c>
      <c r="E114" s="18"/>
      <c r="F114" s="18"/>
      <c r="G114" s="18"/>
      <c r="H114" s="18">
        <f>H115</f>
        <v>75600</v>
      </c>
    </row>
    <row r="115" spans="1:8" ht="19.5" customHeight="1">
      <c r="A115" s="36"/>
      <c r="B115" s="326">
        <v>85203</v>
      </c>
      <c r="C115" s="326"/>
      <c r="D115" s="326" t="s">
        <v>130</v>
      </c>
      <c r="E115" s="339"/>
      <c r="F115" s="339"/>
      <c r="G115" s="339"/>
      <c r="H115" s="30">
        <f>H116</f>
        <v>75600</v>
      </c>
    </row>
    <row r="116" spans="1:8" ht="42" customHeight="1">
      <c r="A116" s="36"/>
      <c r="B116" s="111"/>
      <c r="C116" s="111"/>
      <c r="D116" s="369" t="s">
        <v>188</v>
      </c>
      <c r="E116" s="371"/>
      <c r="F116" s="371"/>
      <c r="G116" s="371"/>
      <c r="H116" s="230">
        <f>H117+H119+H125</f>
        <v>75600</v>
      </c>
    </row>
    <row r="117" spans="1:8" s="7" customFormat="1" ht="19.5" customHeight="1">
      <c r="A117" s="36"/>
      <c r="B117" s="36"/>
      <c r="C117" s="36"/>
      <c r="D117" s="437" t="s">
        <v>102</v>
      </c>
      <c r="E117" s="438"/>
      <c r="F117" s="438"/>
      <c r="G117" s="438"/>
      <c r="H117" s="113">
        <f>H118</f>
        <v>40000</v>
      </c>
    </row>
    <row r="118" spans="1:8" s="7" customFormat="1" ht="19.5" customHeight="1">
      <c r="A118" s="36"/>
      <c r="B118" s="36"/>
      <c r="C118" s="155">
        <v>4010</v>
      </c>
      <c r="D118" s="318" t="s">
        <v>75</v>
      </c>
      <c r="E118" s="138"/>
      <c r="F118" s="138"/>
      <c r="G118" s="138"/>
      <c r="H118" s="345">
        <v>40000</v>
      </c>
    </row>
    <row r="119" spans="1:8" s="7" customFormat="1" ht="19.5" customHeight="1">
      <c r="A119" s="36"/>
      <c r="B119" s="36"/>
      <c r="C119" s="111"/>
      <c r="D119" s="112" t="s">
        <v>27</v>
      </c>
      <c r="E119" s="386"/>
      <c r="F119" s="386"/>
      <c r="G119" s="386"/>
      <c r="H119" s="109">
        <f>SUM(H120:H124)</f>
        <v>27520</v>
      </c>
    </row>
    <row r="120" spans="1:8" s="7" customFormat="1" ht="19.5" customHeight="1">
      <c r="A120" s="36"/>
      <c r="B120" s="36"/>
      <c r="C120" s="155">
        <v>4210</v>
      </c>
      <c r="D120" s="155" t="s">
        <v>71</v>
      </c>
      <c r="E120" s="256"/>
      <c r="F120" s="256"/>
      <c r="G120" s="256"/>
      <c r="H120" s="345">
        <v>6000</v>
      </c>
    </row>
    <row r="121" spans="1:8" s="7" customFormat="1" ht="19.5" customHeight="1">
      <c r="A121" s="36"/>
      <c r="B121" s="36"/>
      <c r="C121" s="155">
        <v>4220</v>
      </c>
      <c r="D121" s="155" t="s">
        <v>132</v>
      </c>
      <c r="E121" s="256"/>
      <c r="F121" s="256"/>
      <c r="G121" s="256"/>
      <c r="H121" s="245">
        <v>10500</v>
      </c>
    </row>
    <row r="122" spans="1:8" s="7" customFormat="1" ht="19.5" customHeight="1">
      <c r="A122" s="36"/>
      <c r="B122" s="36"/>
      <c r="C122" s="249">
        <v>4260</v>
      </c>
      <c r="D122" s="249" t="s">
        <v>76</v>
      </c>
      <c r="E122" s="439"/>
      <c r="F122" s="439"/>
      <c r="G122" s="439"/>
      <c r="H122" s="245">
        <v>8550</v>
      </c>
    </row>
    <row r="123" spans="1:8" s="7" customFormat="1" ht="19.5" customHeight="1">
      <c r="A123" s="36"/>
      <c r="B123" s="36"/>
      <c r="C123" s="249">
        <v>4300</v>
      </c>
      <c r="D123" s="249" t="s">
        <v>70</v>
      </c>
      <c r="E123" s="439"/>
      <c r="F123" s="439"/>
      <c r="G123" s="439"/>
      <c r="H123" s="245">
        <v>1000</v>
      </c>
    </row>
    <row r="124" spans="1:8" s="7" customFormat="1" ht="19.5" customHeight="1">
      <c r="A124" s="36"/>
      <c r="B124" s="36"/>
      <c r="C124" s="249">
        <v>4440</v>
      </c>
      <c r="D124" s="249" t="s">
        <v>77</v>
      </c>
      <c r="E124" s="439"/>
      <c r="F124" s="439"/>
      <c r="G124" s="439"/>
      <c r="H124" s="245">
        <v>1470</v>
      </c>
    </row>
    <row r="125" spans="1:8" s="7" customFormat="1" ht="19.5" customHeight="1">
      <c r="A125" s="36"/>
      <c r="B125" s="36"/>
      <c r="C125" s="36"/>
      <c r="D125" s="231" t="s">
        <v>103</v>
      </c>
      <c r="E125" s="440"/>
      <c r="F125" s="440"/>
      <c r="G125" s="440"/>
      <c r="H125" s="321">
        <f>SUM(H126:H127)</f>
        <v>8080</v>
      </c>
    </row>
    <row r="126" spans="1:8" s="7" customFormat="1" ht="19.5" customHeight="1">
      <c r="A126" s="36"/>
      <c r="B126" s="36"/>
      <c r="C126" s="155">
        <v>4110</v>
      </c>
      <c r="D126" s="441" t="s">
        <v>104</v>
      </c>
      <c r="E126" s="442"/>
      <c r="F126" s="442"/>
      <c r="G126" s="442"/>
      <c r="H126" s="346">
        <v>7100</v>
      </c>
    </row>
    <row r="127" spans="1:8" s="7" customFormat="1" ht="19.5" customHeight="1">
      <c r="A127" s="36"/>
      <c r="B127" s="36"/>
      <c r="C127" s="249">
        <v>4120</v>
      </c>
      <c r="D127" s="249" t="s">
        <v>105</v>
      </c>
      <c r="E127" s="372"/>
      <c r="F127" s="372"/>
      <c r="G127" s="372"/>
      <c r="H127" s="245">
        <v>980</v>
      </c>
    </row>
    <row r="128" spans="1:9" s="179" customFormat="1" ht="24.75" customHeight="1">
      <c r="A128" s="169"/>
      <c r="B128" s="178"/>
      <c r="C128" s="178"/>
      <c r="D128" s="169" t="s">
        <v>120</v>
      </c>
      <c r="E128" s="170"/>
      <c r="F128" s="170"/>
      <c r="G128" s="170"/>
      <c r="H128" s="170">
        <f>H129</f>
        <v>250000</v>
      </c>
      <c r="I128" s="195"/>
    </row>
    <row r="129" spans="1:8" s="7" customFormat="1" ht="28.5" customHeight="1" thickBot="1">
      <c r="A129" s="155"/>
      <c r="B129" s="181"/>
      <c r="C129" s="181"/>
      <c r="D129" s="182" t="s">
        <v>44</v>
      </c>
      <c r="E129" s="23"/>
      <c r="F129" s="23"/>
      <c r="G129" s="23"/>
      <c r="H129" s="23">
        <f>H130</f>
        <v>250000</v>
      </c>
    </row>
    <row r="130" spans="1:8" ht="19.5" customHeight="1" thickTop="1">
      <c r="A130" s="12">
        <v>754</v>
      </c>
      <c r="B130" s="6"/>
      <c r="C130" s="6"/>
      <c r="D130" s="29" t="s">
        <v>116</v>
      </c>
      <c r="E130" s="18"/>
      <c r="F130" s="18"/>
      <c r="G130" s="18"/>
      <c r="H130" s="18">
        <f>H131</f>
        <v>250000</v>
      </c>
    </row>
    <row r="131" spans="1:8" ht="19.5" customHeight="1">
      <c r="A131" s="36"/>
      <c r="B131" s="34">
        <v>75411</v>
      </c>
      <c r="C131" s="34"/>
      <c r="D131" s="34" t="s">
        <v>117</v>
      </c>
      <c r="E131" s="339"/>
      <c r="F131" s="339"/>
      <c r="G131" s="339"/>
      <c r="H131" s="339">
        <f>H132</f>
        <v>250000</v>
      </c>
    </row>
    <row r="132" spans="1:8" ht="19.5" customHeight="1">
      <c r="A132" s="36"/>
      <c r="B132" s="36"/>
      <c r="C132" s="36"/>
      <c r="D132" s="338" t="s">
        <v>118</v>
      </c>
      <c r="E132" s="340"/>
      <c r="F132" s="340"/>
      <c r="G132" s="340"/>
      <c r="H132" s="340">
        <f>H134</f>
        <v>250000</v>
      </c>
    </row>
    <row r="133" spans="1:8" s="7" customFormat="1" ht="19.5" customHeight="1">
      <c r="A133" s="153"/>
      <c r="B133" s="36"/>
      <c r="C133" s="36"/>
      <c r="D133" s="160" t="s">
        <v>119</v>
      </c>
      <c r="E133" s="341"/>
      <c r="F133" s="341"/>
      <c r="G133" s="341"/>
      <c r="H133" s="341">
        <v>250000</v>
      </c>
    </row>
    <row r="134" spans="1:8" s="7" customFormat="1" ht="19.5" customHeight="1">
      <c r="A134" s="36"/>
      <c r="B134" s="36"/>
      <c r="C134" s="153">
        <v>6060</v>
      </c>
      <c r="D134" s="219" t="s">
        <v>72</v>
      </c>
      <c r="E134" s="486"/>
      <c r="F134" s="486"/>
      <c r="G134" s="486"/>
      <c r="H134" s="486">
        <f>H133</f>
        <v>250000</v>
      </c>
    </row>
    <row r="135" spans="1:8" s="7" customFormat="1" ht="19.5" customHeight="1">
      <c r="A135" s="454"/>
      <c r="B135" s="454"/>
      <c r="C135" s="481"/>
      <c r="D135" s="482"/>
      <c r="E135" s="487"/>
      <c r="F135" s="487"/>
      <c r="G135" s="487"/>
      <c r="H135" s="487"/>
    </row>
    <row r="136" spans="1:8" s="7" customFormat="1" ht="33" customHeight="1">
      <c r="A136" s="226"/>
      <c r="B136" s="226"/>
      <c r="C136" s="484"/>
      <c r="D136" s="485"/>
      <c r="E136" s="488"/>
      <c r="F136" s="488"/>
      <c r="G136" s="488"/>
      <c r="H136" s="488"/>
    </row>
    <row r="137" spans="1:8" s="7" customFormat="1" ht="18.75" customHeight="1">
      <c r="A137" s="226"/>
      <c r="B137" s="226"/>
      <c r="C137" s="484"/>
      <c r="D137" s="485"/>
      <c r="E137" s="488"/>
      <c r="F137" s="488"/>
      <c r="G137" s="488"/>
      <c r="H137" s="488"/>
    </row>
    <row r="138" spans="1:9" s="179" customFormat="1" ht="19.5" customHeight="1">
      <c r="A138" s="169"/>
      <c r="B138" s="178"/>
      <c r="C138" s="178"/>
      <c r="D138" s="169" t="s">
        <v>133</v>
      </c>
      <c r="E138" s="170"/>
      <c r="F138" s="170"/>
      <c r="G138" s="170">
        <f>G139</f>
        <v>75600</v>
      </c>
      <c r="H138" s="170"/>
      <c r="I138" s="195"/>
    </row>
    <row r="139" spans="1:8" s="7" customFormat="1" ht="35.25" customHeight="1" thickBot="1">
      <c r="A139" s="155"/>
      <c r="B139" s="181"/>
      <c r="C139" s="181"/>
      <c r="D139" s="182" t="s">
        <v>94</v>
      </c>
      <c r="E139" s="23"/>
      <c r="F139" s="23"/>
      <c r="G139" s="23">
        <f>G140</f>
        <v>75600</v>
      </c>
      <c r="H139" s="23"/>
    </row>
    <row r="140" spans="1:8" ht="19.5" customHeight="1" thickTop="1">
      <c r="A140" s="6">
        <v>852</v>
      </c>
      <c r="B140" s="6"/>
      <c r="C140" s="6"/>
      <c r="D140" s="6" t="s">
        <v>23</v>
      </c>
      <c r="E140" s="18"/>
      <c r="F140" s="18"/>
      <c r="G140" s="18">
        <f>G141</f>
        <v>75600</v>
      </c>
      <c r="H140" s="18"/>
    </row>
    <row r="141" spans="1:8" ht="19.5" customHeight="1">
      <c r="A141" s="36"/>
      <c r="B141" s="326">
        <v>85203</v>
      </c>
      <c r="C141" s="326"/>
      <c r="D141" s="326" t="s">
        <v>130</v>
      </c>
      <c r="E141" s="185"/>
      <c r="F141" s="185"/>
      <c r="G141" s="185">
        <f>G142</f>
        <v>75600</v>
      </c>
      <c r="H141" s="185"/>
    </row>
    <row r="142" spans="1:8" ht="26.25" customHeight="1">
      <c r="A142" s="35"/>
      <c r="B142" s="168"/>
      <c r="C142" s="36"/>
      <c r="D142" s="106" t="s">
        <v>177</v>
      </c>
      <c r="E142" s="161"/>
      <c r="F142" s="161"/>
      <c r="G142" s="161">
        <f>G144</f>
        <v>75600</v>
      </c>
      <c r="H142" s="161"/>
    </row>
    <row r="143" spans="1:8" s="7" customFormat="1" ht="20.25" customHeight="1">
      <c r="A143" s="322"/>
      <c r="B143" s="297"/>
      <c r="C143" s="153"/>
      <c r="D143" s="160" t="s">
        <v>154</v>
      </c>
      <c r="E143" s="157"/>
      <c r="F143" s="157"/>
      <c r="G143" s="157">
        <v>75600</v>
      </c>
      <c r="H143" s="157"/>
    </row>
    <row r="144" spans="1:8" s="7" customFormat="1" ht="28.5" customHeight="1">
      <c r="A144" s="153"/>
      <c r="B144" s="183"/>
      <c r="C144" s="155">
        <v>2820</v>
      </c>
      <c r="D144" s="159" t="s">
        <v>129</v>
      </c>
      <c r="E144" s="156"/>
      <c r="F144" s="156"/>
      <c r="G144" s="156">
        <f>G143</f>
        <v>75600</v>
      </c>
      <c r="H144" s="156"/>
    </row>
    <row r="145" spans="1:8" s="179" customFormat="1" ht="20.25" customHeight="1">
      <c r="A145" s="169"/>
      <c r="B145" s="178"/>
      <c r="C145" s="178"/>
      <c r="D145" s="169" t="s">
        <v>181</v>
      </c>
      <c r="E145" s="170">
        <f aca="true" t="shared" si="1" ref="E145:E150">E146</f>
        <v>4400</v>
      </c>
      <c r="F145" s="170"/>
      <c r="G145" s="170"/>
      <c r="H145" s="170"/>
    </row>
    <row r="146" spans="1:10" s="40" customFormat="1" ht="16.5" customHeight="1">
      <c r="A146" s="66"/>
      <c r="B146" s="66"/>
      <c r="C146" s="66"/>
      <c r="D146" s="171" t="s">
        <v>78</v>
      </c>
      <c r="E146" s="28">
        <f t="shared" si="1"/>
        <v>4400</v>
      </c>
      <c r="F146" s="28"/>
      <c r="G146" s="28"/>
      <c r="H146" s="28"/>
      <c r="I146" s="39"/>
      <c r="J146" s="39"/>
    </row>
    <row r="147" spans="1:8" ht="21" customHeight="1" thickBot="1">
      <c r="A147" s="175"/>
      <c r="B147" s="77"/>
      <c r="C147" s="77"/>
      <c r="D147" s="172" t="s">
        <v>15</v>
      </c>
      <c r="E147" s="23">
        <f t="shared" si="1"/>
        <v>4400</v>
      </c>
      <c r="F147" s="23"/>
      <c r="G147" s="23"/>
      <c r="H147" s="23"/>
    </row>
    <row r="148" spans="1:15" s="40" customFormat="1" ht="19.5" customHeight="1" thickTop="1">
      <c r="A148" s="373">
        <v>700</v>
      </c>
      <c r="B148" s="29"/>
      <c r="C148" s="117"/>
      <c r="D148" s="100" t="s">
        <v>134</v>
      </c>
      <c r="E148" s="125">
        <f t="shared" si="1"/>
        <v>4400</v>
      </c>
      <c r="F148" s="125"/>
      <c r="G148" s="125"/>
      <c r="H148" s="125"/>
      <c r="I148" s="25"/>
      <c r="J148" s="25"/>
      <c r="K148" s="25"/>
      <c r="L148"/>
      <c r="M148"/>
      <c r="N148"/>
      <c r="O148"/>
    </row>
    <row r="149" spans="1:11" s="40" customFormat="1" ht="19.5" customHeight="1">
      <c r="A149" s="173"/>
      <c r="B149" s="235">
        <v>70005</v>
      </c>
      <c r="C149" s="236"/>
      <c r="D149" s="118" t="s">
        <v>31</v>
      </c>
      <c r="E149" s="175">
        <f t="shared" si="1"/>
        <v>4400</v>
      </c>
      <c r="F149" s="175"/>
      <c r="G149" s="175"/>
      <c r="H149" s="175"/>
      <c r="I149" s="39"/>
      <c r="J149" s="39"/>
      <c r="K149" s="39"/>
    </row>
    <row r="150" spans="1:11" s="40" customFormat="1" ht="19.5" customHeight="1">
      <c r="A150" s="62"/>
      <c r="B150" s="104"/>
      <c r="C150" s="176"/>
      <c r="D150" s="148" t="s">
        <v>135</v>
      </c>
      <c r="E150" s="128">
        <f t="shared" si="1"/>
        <v>4400</v>
      </c>
      <c r="F150" s="128"/>
      <c r="G150" s="128"/>
      <c r="H150" s="128"/>
      <c r="I150" s="39"/>
      <c r="J150" s="39"/>
      <c r="K150" s="39"/>
    </row>
    <row r="151" spans="1:8" s="140" customFormat="1" ht="41.25" customHeight="1">
      <c r="A151" s="135"/>
      <c r="B151" s="136"/>
      <c r="C151" s="177" t="s">
        <v>136</v>
      </c>
      <c r="D151" s="374" t="s">
        <v>137</v>
      </c>
      <c r="E151" s="137">
        <v>4400</v>
      </c>
      <c r="F151" s="137"/>
      <c r="G151" s="137"/>
      <c r="H151" s="137"/>
    </row>
    <row r="155" spans="4:7" ht="12.75">
      <c r="D155" s="570" t="s">
        <v>221</v>
      </c>
      <c r="E155" s="25"/>
      <c r="F155" s="103"/>
      <c r="G155" s="571" t="s">
        <v>223</v>
      </c>
    </row>
    <row r="156" spans="4:7" ht="12.75">
      <c r="D156" s="570"/>
      <c r="E156" s="25"/>
      <c r="F156" s="103"/>
      <c r="G156" s="571" t="s">
        <v>224</v>
      </c>
    </row>
    <row r="157" spans="4:7" ht="12.75">
      <c r="D157" s="570" t="s">
        <v>222</v>
      </c>
      <c r="E157" s="25"/>
      <c r="F157" s="103"/>
      <c r="G157" s="571" t="s">
        <v>225</v>
      </c>
    </row>
  </sheetData>
  <mergeCells count="6">
    <mergeCell ref="G7:H7"/>
    <mergeCell ref="A7:A8"/>
    <mergeCell ref="B7:B8"/>
    <mergeCell ref="C7:C8"/>
    <mergeCell ref="D7:D8"/>
    <mergeCell ref="E7:F7"/>
  </mergeCells>
  <printOptions horizontalCentered="1"/>
  <pageMargins left="0.3937007874015748" right="0.3937007874015748" top="0.4724409448818898" bottom="0.4724409448818898" header="0.31496062992125984" footer="0.31496062992125984"/>
  <pageSetup firstPageNumber="9" useFirstPageNumber="1" horizontalDpi="300" verticalDpi="3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E31" sqref="E31"/>
    </sheetView>
  </sheetViews>
  <sheetFormatPr defaultColWidth="9.00390625" defaultRowHeight="12.75"/>
  <cols>
    <col min="1" max="1" width="9.125" style="1" customWidth="1"/>
    <col min="2" max="2" width="74.125" style="1" customWidth="1"/>
    <col min="3" max="3" width="18.25390625" style="1" customWidth="1"/>
    <col min="4" max="5" width="16.00390625" style="1" customWidth="1"/>
    <col min="6" max="6" width="18.375" style="1" customWidth="1"/>
    <col min="7" max="7" width="11.625" style="1" customWidth="1"/>
    <col min="8" max="8" width="12.125" style="1" customWidth="1"/>
    <col min="9" max="10" width="9.125" style="1" customWidth="1"/>
    <col min="11" max="11" width="17.625" style="1" customWidth="1"/>
    <col min="12" max="16384" width="9.125" style="1" customWidth="1"/>
  </cols>
  <sheetData>
    <row r="1" spans="2:5" ht="14.25">
      <c r="B1" s="258"/>
      <c r="C1" s="443"/>
      <c r="D1" s="443"/>
      <c r="E1" s="24" t="s">
        <v>62</v>
      </c>
    </row>
    <row r="2" spans="2:5" ht="18" customHeight="1">
      <c r="B2" s="444" t="s">
        <v>189</v>
      </c>
      <c r="C2" s="443"/>
      <c r="D2" s="443"/>
      <c r="E2" s="101" t="s">
        <v>215</v>
      </c>
    </row>
    <row r="3" spans="2:5" ht="18" customHeight="1">
      <c r="B3" s="444" t="s">
        <v>190</v>
      </c>
      <c r="C3" s="443"/>
      <c r="D3" s="443"/>
      <c r="E3" s="102" t="s">
        <v>34</v>
      </c>
    </row>
    <row r="4" spans="2:5" ht="14.25">
      <c r="B4" s="254"/>
      <c r="C4" s="443"/>
      <c r="D4" s="443"/>
      <c r="E4" s="102" t="s">
        <v>216</v>
      </c>
    </row>
    <row r="5" ht="13.5" customHeight="1">
      <c r="B5" s="254"/>
    </row>
    <row r="6" spans="1:6" ht="13.5" thickBot="1">
      <c r="A6" s="349"/>
      <c r="B6" s="226"/>
      <c r="C6" s="226"/>
      <c r="D6" s="226"/>
      <c r="E6" s="226"/>
      <c r="F6" s="222" t="s">
        <v>1</v>
      </c>
    </row>
    <row r="7" spans="1:6" ht="89.25" customHeight="1" thickBot="1" thickTop="1">
      <c r="A7" s="3" t="s">
        <v>33</v>
      </c>
      <c r="B7" s="445" t="s">
        <v>191</v>
      </c>
      <c r="C7" s="301" t="s">
        <v>192</v>
      </c>
      <c r="D7" s="302" t="s">
        <v>8</v>
      </c>
      <c r="E7" s="301" t="s">
        <v>218</v>
      </c>
      <c r="F7" s="301" t="s">
        <v>193</v>
      </c>
    </row>
    <row r="8" spans="1:6" s="11" customFormat="1" ht="14.25" thickBot="1" thickTop="1">
      <c r="A8" s="551">
        <v>1</v>
      </c>
      <c r="B8" s="552">
        <v>2</v>
      </c>
      <c r="C8" s="551">
        <v>3</v>
      </c>
      <c r="D8" s="551">
        <v>4</v>
      </c>
      <c r="E8" s="551">
        <v>5</v>
      </c>
      <c r="F8" s="551">
        <v>6</v>
      </c>
    </row>
    <row r="9" spans="1:7" ht="21.75" customHeight="1" thickTop="1">
      <c r="A9" s="446"/>
      <c r="B9" s="447" t="s">
        <v>194</v>
      </c>
      <c r="C9" s="448">
        <v>40650000</v>
      </c>
      <c r="D9" s="448">
        <f>D10+D12</f>
        <v>5157952</v>
      </c>
      <c r="E9" s="448">
        <f>D9+C9</f>
        <v>45807952</v>
      </c>
      <c r="F9" s="449">
        <v>27500000</v>
      </c>
      <c r="G9" s="213"/>
    </row>
    <row r="10" spans="1:6" s="335" customFormat="1" ht="19.5" customHeight="1">
      <c r="A10" s="312">
        <v>952</v>
      </c>
      <c r="B10" s="13" t="s">
        <v>195</v>
      </c>
      <c r="C10" s="450">
        <f>C11</f>
        <v>38650000</v>
      </c>
      <c r="D10" s="450">
        <f>D11</f>
        <v>250000</v>
      </c>
      <c r="E10" s="450">
        <f>D10+C10</f>
        <v>38900000</v>
      </c>
      <c r="F10" s="450"/>
    </row>
    <row r="11" spans="1:6" s="335" customFormat="1" ht="19.5" customHeight="1">
      <c r="A11" s="451"/>
      <c r="B11" s="367" t="s">
        <v>196</v>
      </c>
      <c r="C11" s="452">
        <f>35000000+4000000+650000-1000000</f>
        <v>38650000</v>
      </c>
      <c r="D11" s="452">
        <v>250000</v>
      </c>
      <c r="E11" s="452">
        <f>D11+C11</f>
        <v>38900000</v>
      </c>
      <c r="F11" s="450"/>
    </row>
    <row r="12" spans="1:6" s="335" customFormat="1" ht="19.5" customHeight="1">
      <c r="A12" s="312">
        <v>957</v>
      </c>
      <c r="B12" s="13" t="s">
        <v>197</v>
      </c>
      <c r="C12" s="450"/>
      <c r="D12" s="450">
        <f>D13</f>
        <v>4907952</v>
      </c>
      <c r="E12" s="450">
        <f>D12+C12</f>
        <v>4907952</v>
      </c>
      <c r="F12" s="450"/>
    </row>
    <row r="13" spans="1:6" s="335" customFormat="1" ht="30.75" customHeight="1">
      <c r="A13" s="451"/>
      <c r="B13" s="453" t="s">
        <v>198</v>
      </c>
      <c r="C13" s="452"/>
      <c r="D13" s="452">
        <v>4907952</v>
      </c>
      <c r="E13" s="452">
        <f>D13+C13</f>
        <v>4907952</v>
      </c>
      <c r="F13" s="450"/>
    </row>
    <row r="14" spans="1:6" ht="18" customHeight="1">
      <c r="A14" s="454"/>
      <c r="B14" s="454"/>
      <c r="C14" s="454"/>
      <c r="D14" s="454"/>
      <c r="E14" s="454"/>
      <c r="F14" s="454"/>
    </row>
    <row r="15" spans="1:7" ht="15.75" customHeight="1">
      <c r="A15" s="226"/>
      <c r="B15" s="455" t="s">
        <v>199</v>
      </c>
      <c r="C15" s="226"/>
      <c r="D15" s="226"/>
      <c r="E15" s="226"/>
      <c r="F15" s="456"/>
      <c r="G15" s="226"/>
    </row>
    <row r="16" spans="1:6" ht="18.75" customHeight="1">
      <c r="A16"/>
      <c r="B16" s="286" t="s">
        <v>219</v>
      </c>
      <c r="C16"/>
      <c r="D16"/>
      <c r="E16"/>
      <c r="F16" s="17"/>
    </row>
    <row r="17" ht="12.75">
      <c r="B17" s="1" t="s">
        <v>200</v>
      </c>
    </row>
    <row r="18" ht="18.75" customHeight="1">
      <c r="B18" s="1" t="s">
        <v>220</v>
      </c>
    </row>
    <row r="22" spans="2:5" ht="12.75">
      <c r="B22" s="570" t="s">
        <v>221</v>
      </c>
      <c r="C22" s="25"/>
      <c r="D22" s="103"/>
      <c r="E22" s="571" t="s">
        <v>223</v>
      </c>
    </row>
    <row r="23" spans="2:5" ht="12.75">
      <c r="B23" s="570"/>
      <c r="C23" s="25"/>
      <c r="D23" s="103"/>
      <c r="E23" s="571" t="s">
        <v>224</v>
      </c>
    </row>
    <row r="24" spans="2:5" ht="12.75">
      <c r="B24" s="570" t="s">
        <v>222</v>
      </c>
      <c r="C24" s="25"/>
      <c r="D24" s="103"/>
      <c r="E24" s="571" t="s">
        <v>225</v>
      </c>
    </row>
  </sheetData>
  <printOptions horizontalCentered="1"/>
  <pageMargins left="0.5905511811023623" right="0.5905511811023623" top="0.5905511811023623" bottom="0.7874015748031497" header="0.5118110236220472" footer="0.5118110236220472"/>
  <pageSetup firstPageNumber="15" useFirstPageNumber="1"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D35" sqref="D35"/>
    </sheetView>
  </sheetViews>
  <sheetFormatPr defaultColWidth="9.00390625" defaultRowHeight="12.75"/>
  <cols>
    <col min="1" max="1" width="7.25390625" style="1" customWidth="1"/>
    <col min="2" max="2" width="9.875" style="1" customWidth="1"/>
    <col min="3" max="3" width="55.00390625" style="1" customWidth="1"/>
    <col min="4" max="4" width="22.875" style="1" customWidth="1"/>
    <col min="5" max="5" width="17.375" style="1" customWidth="1"/>
    <col min="6" max="6" width="20.625" style="1" customWidth="1"/>
    <col min="7" max="7" width="11.625" style="0" customWidth="1"/>
    <col min="8" max="16384" width="9.125" style="1" customWidth="1"/>
  </cols>
  <sheetData>
    <row r="1" spans="5:6" ht="12.75">
      <c r="E1" s="24" t="s">
        <v>61</v>
      </c>
      <c r="F1" s="257"/>
    </row>
    <row r="2" spans="2:6" ht="15" customHeight="1">
      <c r="B2" s="262" t="s">
        <v>79</v>
      </c>
      <c r="C2" s="457"/>
      <c r="E2" s="162" t="s">
        <v>215</v>
      </c>
      <c r="F2" s="259"/>
    </row>
    <row r="3" spans="2:6" ht="15" customHeight="1">
      <c r="B3" s="262" t="s">
        <v>80</v>
      </c>
      <c r="C3" s="457"/>
      <c r="D3" s="162"/>
      <c r="E3" s="162" t="s">
        <v>34</v>
      </c>
      <c r="F3" s="260"/>
    </row>
    <row r="4" spans="3:6" ht="15" customHeight="1">
      <c r="C4" s="458" t="s">
        <v>98</v>
      </c>
      <c r="E4" s="40" t="s">
        <v>216</v>
      </c>
      <c r="F4" s="260"/>
    </row>
    <row r="5" spans="1:5" ht="15" customHeight="1">
      <c r="A5" s="261"/>
      <c r="B5" s="262"/>
      <c r="C5" s="263"/>
      <c r="E5" s="260"/>
    </row>
    <row r="6" spans="3:6" ht="12" customHeight="1" thickBot="1">
      <c r="C6" s="2"/>
      <c r="F6" s="32" t="s">
        <v>1</v>
      </c>
    </row>
    <row r="7" spans="1:6" ht="69" customHeight="1" thickBot="1" thickTop="1">
      <c r="A7" s="3" t="s">
        <v>11</v>
      </c>
      <c r="B7" s="4" t="s">
        <v>81</v>
      </c>
      <c r="C7" s="3" t="s">
        <v>82</v>
      </c>
      <c r="D7" s="4" t="s">
        <v>96</v>
      </c>
      <c r="E7" s="4" t="s">
        <v>8</v>
      </c>
      <c r="F7" s="4" t="s">
        <v>24</v>
      </c>
    </row>
    <row r="8" spans="1:6" ht="15" customHeight="1" thickBot="1" thickTop="1">
      <c r="A8" s="264">
        <v>1</v>
      </c>
      <c r="B8" s="264">
        <v>2</v>
      </c>
      <c r="C8" s="264">
        <v>3</v>
      </c>
      <c r="D8" s="265">
        <v>4</v>
      </c>
      <c r="E8" s="264">
        <v>5</v>
      </c>
      <c r="F8" s="264">
        <v>6</v>
      </c>
    </row>
    <row r="9" spans="1:6" ht="19.5" customHeight="1" thickTop="1">
      <c r="A9" s="266"/>
      <c r="B9" s="266"/>
      <c r="C9" s="267" t="s">
        <v>83</v>
      </c>
      <c r="D9" s="268">
        <v>422952</v>
      </c>
      <c r="E9" s="268">
        <v>53468</v>
      </c>
      <c r="F9" s="268">
        <f>D9+E9</f>
        <v>476420</v>
      </c>
    </row>
    <row r="10" spans="1:7" s="40" customFormat="1" ht="18.75" customHeight="1">
      <c r="A10" s="81"/>
      <c r="B10" s="269"/>
      <c r="C10" s="270" t="s">
        <v>84</v>
      </c>
      <c r="D10" s="271">
        <v>3025000</v>
      </c>
      <c r="E10" s="271"/>
      <c r="F10" s="271">
        <f aca="true" t="shared" si="0" ref="F10:F20">D10+E10</f>
        <v>3025000</v>
      </c>
      <c r="G10"/>
    </row>
    <row r="11" spans="1:6" ht="18" customHeight="1">
      <c r="A11" s="233"/>
      <c r="B11" s="36"/>
      <c r="C11" s="272" t="s">
        <v>85</v>
      </c>
      <c r="D11" s="273">
        <f>D9+D10</f>
        <v>3447952</v>
      </c>
      <c r="E11" s="273">
        <f>E9+E10</f>
        <v>53468</v>
      </c>
      <c r="F11" s="273">
        <f>F9+F10</f>
        <v>3501420</v>
      </c>
    </row>
    <row r="12" spans="1:6" ht="18.75" customHeight="1">
      <c r="A12" s="287"/>
      <c r="B12" s="287"/>
      <c r="C12" s="270" t="s">
        <v>86</v>
      </c>
      <c r="D12" s="271">
        <v>3400200</v>
      </c>
      <c r="E12" s="271">
        <f>E13</f>
        <v>0</v>
      </c>
      <c r="F12" s="271">
        <f t="shared" si="0"/>
        <v>3400200</v>
      </c>
    </row>
    <row r="13" spans="1:7" s="292" customFormat="1" ht="18.75" customHeight="1">
      <c r="A13" s="288"/>
      <c r="B13" s="288"/>
      <c r="C13" s="289" t="s">
        <v>210</v>
      </c>
      <c r="D13" s="290">
        <v>3360200</v>
      </c>
      <c r="E13" s="290">
        <f>E14</f>
        <v>0</v>
      </c>
      <c r="F13" s="290">
        <f t="shared" si="0"/>
        <v>3360200</v>
      </c>
      <c r="G13" s="291"/>
    </row>
    <row r="14" spans="1:7" s="292" customFormat="1" ht="18.75" customHeight="1">
      <c r="A14" s="293"/>
      <c r="B14" s="293"/>
      <c r="C14" s="289" t="s">
        <v>123</v>
      </c>
      <c r="D14" s="290">
        <v>1770200</v>
      </c>
      <c r="E14" s="290">
        <f>E15</f>
        <v>0</v>
      </c>
      <c r="F14" s="290">
        <f t="shared" si="0"/>
        <v>1770200</v>
      </c>
      <c r="G14" s="291"/>
    </row>
    <row r="15" spans="1:7" ht="18.75" customHeight="1">
      <c r="A15" s="29">
        <v>900</v>
      </c>
      <c r="B15" s="274"/>
      <c r="C15" s="29" t="s">
        <v>87</v>
      </c>
      <c r="D15" s="18">
        <v>1770200</v>
      </c>
      <c r="E15" s="275">
        <f>E16</f>
        <v>0</v>
      </c>
      <c r="F15" s="347">
        <f t="shared" si="0"/>
        <v>1770200</v>
      </c>
      <c r="G15" s="1"/>
    </row>
    <row r="16" spans="1:7" ht="18.75" customHeight="1">
      <c r="A16" s="36"/>
      <c r="B16" s="34">
        <v>90011</v>
      </c>
      <c r="C16" s="33" t="s">
        <v>88</v>
      </c>
      <c r="D16" s="276">
        <v>1770200</v>
      </c>
      <c r="E16" s="339">
        <f>E17</f>
        <v>0</v>
      </c>
      <c r="F16" s="348">
        <f t="shared" si="0"/>
        <v>1770200</v>
      </c>
      <c r="G16" s="1"/>
    </row>
    <row r="17" spans="1:7" ht="24" customHeight="1">
      <c r="A17" s="36"/>
      <c r="B17" s="277"/>
      <c r="C17" s="278" t="s">
        <v>121</v>
      </c>
      <c r="D17" s="193">
        <v>100000</v>
      </c>
      <c r="E17" s="344">
        <f>E18+E19+E20</f>
        <v>0</v>
      </c>
      <c r="F17" s="193">
        <f t="shared" si="0"/>
        <v>100000</v>
      </c>
      <c r="G17" s="1"/>
    </row>
    <row r="18" spans="1:7" ht="19.5" customHeight="1">
      <c r="A18" s="36"/>
      <c r="B18" s="155">
        <v>4170</v>
      </c>
      <c r="C18" s="279" t="s">
        <v>122</v>
      </c>
      <c r="D18" s="194"/>
      <c r="E18" s="345">
        <v>2400</v>
      </c>
      <c r="F18" s="194">
        <f t="shared" si="0"/>
        <v>2400</v>
      </c>
      <c r="G18" s="1"/>
    </row>
    <row r="19" spans="1:7" ht="19.5" customHeight="1">
      <c r="A19" s="36"/>
      <c r="B19" s="155">
        <v>4210</v>
      </c>
      <c r="C19" s="279" t="s">
        <v>71</v>
      </c>
      <c r="D19" s="194"/>
      <c r="E19" s="345">
        <v>3000</v>
      </c>
      <c r="F19" s="194">
        <f t="shared" si="0"/>
        <v>3000</v>
      </c>
      <c r="G19" s="1"/>
    </row>
    <row r="20" spans="1:13" s="7" customFormat="1" ht="18.75" customHeight="1">
      <c r="A20" s="153"/>
      <c r="B20" s="155">
        <v>4300</v>
      </c>
      <c r="C20" s="279" t="s">
        <v>70</v>
      </c>
      <c r="D20" s="194">
        <v>100000</v>
      </c>
      <c r="E20" s="345">
        <f>-2400-3000</f>
        <v>-5400</v>
      </c>
      <c r="F20" s="194">
        <f t="shared" si="0"/>
        <v>94600</v>
      </c>
      <c r="G20" s="1"/>
      <c r="H20" s="1"/>
      <c r="I20" s="1"/>
      <c r="J20" s="1"/>
      <c r="K20" s="1"/>
      <c r="L20" s="1"/>
      <c r="M20" s="1"/>
    </row>
    <row r="21" spans="1:7" s="7" customFormat="1" ht="18.75" customHeight="1">
      <c r="A21" s="153"/>
      <c r="B21" s="280"/>
      <c r="C21" s="281" t="s">
        <v>89</v>
      </c>
      <c r="D21" s="492">
        <f>D9+D10-D12</f>
        <v>47752</v>
      </c>
      <c r="E21" s="282">
        <f>E9+E10-E12</f>
        <v>53468</v>
      </c>
      <c r="F21" s="282">
        <f>F9+F10-F12</f>
        <v>101220</v>
      </c>
      <c r="G21"/>
    </row>
    <row r="22" spans="1:6" ht="18" customHeight="1">
      <c r="A22" s="5"/>
      <c r="B22" s="283"/>
      <c r="C22" s="284" t="s">
        <v>85</v>
      </c>
      <c r="D22" s="493">
        <f>D12+D21</f>
        <v>3447952</v>
      </c>
      <c r="E22" s="285">
        <f>E12+E21</f>
        <v>53468</v>
      </c>
      <c r="F22" s="285">
        <f>F12+F21</f>
        <v>3501420</v>
      </c>
    </row>
    <row r="23" ht="19.5" customHeight="1">
      <c r="E23" s="213"/>
    </row>
    <row r="24" spans="1:5" ht="19.5" customHeight="1">
      <c r="A24" s="7"/>
      <c r="D24" s="226"/>
      <c r="E24" s="286"/>
    </row>
    <row r="25" spans="3:6" ht="22.5" customHeight="1">
      <c r="C25" s="570" t="s">
        <v>221</v>
      </c>
      <c r="D25" s="25"/>
      <c r="E25" s="571" t="s">
        <v>223</v>
      </c>
      <c r="F25"/>
    </row>
    <row r="26" spans="3:6" ht="16.5" customHeight="1">
      <c r="C26" s="570"/>
      <c r="D26" s="25"/>
      <c r="E26" s="571" t="s">
        <v>224</v>
      </c>
      <c r="F26"/>
    </row>
    <row r="27" spans="3:6" ht="12.75">
      <c r="C27" s="570" t="s">
        <v>222</v>
      </c>
      <c r="D27" s="25"/>
      <c r="E27" s="571" t="s">
        <v>225</v>
      </c>
      <c r="F27"/>
    </row>
  </sheetData>
  <printOptions horizontalCentered="1"/>
  <pageMargins left="0.5905511811023623" right="0.5905511811023623" top="0.5905511811023623" bottom="0.984251968503937" header="0.5118110236220472" footer="0.5118110236220472"/>
  <pageSetup firstPageNumber="16" useFirstPageNumber="1"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22" sqref="E22:E24"/>
    </sheetView>
  </sheetViews>
  <sheetFormatPr defaultColWidth="9.00390625" defaultRowHeight="12.75"/>
  <cols>
    <col min="1" max="1" width="7.25390625" style="1" customWidth="1"/>
    <col min="2" max="2" width="9.875" style="1" customWidth="1"/>
    <col min="3" max="3" width="55.00390625" style="1" customWidth="1"/>
    <col min="4" max="4" width="22.875" style="1" customWidth="1"/>
    <col min="5" max="5" width="17.375" style="1" customWidth="1"/>
    <col min="6" max="6" width="20.625" style="1" customWidth="1"/>
    <col min="7" max="7" width="11.625" style="0" customWidth="1"/>
    <col min="8" max="16384" width="9.125" style="1" customWidth="1"/>
  </cols>
  <sheetData>
    <row r="1" spans="5:7" ht="12.75">
      <c r="E1" s="162" t="s">
        <v>90</v>
      </c>
      <c r="F1" s="351"/>
      <c r="G1" s="1"/>
    </row>
    <row r="2" spans="2:7" ht="15" customHeight="1">
      <c r="B2" s="262" t="s">
        <v>79</v>
      </c>
      <c r="C2" s="457"/>
      <c r="E2" s="162" t="s">
        <v>215</v>
      </c>
      <c r="F2" s="101"/>
      <c r="G2" s="1"/>
    </row>
    <row r="3" spans="2:7" ht="15" customHeight="1">
      <c r="B3" s="459" t="s">
        <v>99</v>
      </c>
      <c r="C3" s="457"/>
      <c r="D3" s="162"/>
      <c r="E3" s="162" t="s">
        <v>34</v>
      </c>
      <c r="F3" s="102"/>
      <c r="G3" s="1"/>
    </row>
    <row r="4" spans="3:7" ht="15" customHeight="1">
      <c r="C4" s="458" t="s">
        <v>98</v>
      </c>
      <c r="E4" s="40" t="s">
        <v>216</v>
      </c>
      <c r="F4" s="102"/>
      <c r="G4" s="1"/>
    </row>
    <row r="5" spans="1:5" ht="15" customHeight="1">
      <c r="A5" s="261"/>
      <c r="B5" s="262"/>
      <c r="C5" s="263"/>
      <c r="E5" s="260"/>
    </row>
    <row r="6" spans="3:6" ht="12" customHeight="1" thickBot="1">
      <c r="C6" s="2"/>
      <c r="F6" s="32" t="s">
        <v>1</v>
      </c>
    </row>
    <row r="7" spans="1:7" ht="69" customHeight="1" thickBot="1" thickTop="1">
      <c r="A7" s="3" t="s">
        <v>11</v>
      </c>
      <c r="B7" s="4" t="s">
        <v>124</v>
      </c>
      <c r="C7" s="3" t="s">
        <v>82</v>
      </c>
      <c r="D7" s="4" t="s">
        <v>96</v>
      </c>
      <c r="E7" s="4" t="s">
        <v>8</v>
      </c>
      <c r="F7" s="4" t="s">
        <v>24</v>
      </c>
      <c r="G7" s="1"/>
    </row>
    <row r="8" spans="1:6" s="11" customFormat="1" ht="15" customHeight="1" thickBot="1" thickTop="1">
      <c r="A8" s="8">
        <v>1</v>
      </c>
      <c r="B8" s="8">
        <v>2</v>
      </c>
      <c r="C8" s="8">
        <v>3</v>
      </c>
      <c r="D8" s="352">
        <v>4</v>
      </c>
      <c r="E8" s="8">
        <v>5</v>
      </c>
      <c r="F8" s="8">
        <v>6</v>
      </c>
    </row>
    <row r="9" spans="1:7" ht="19.5" customHeight="1" thickTop="1">
      <c r="A9" s="266"/>
      <c r="B9" s="266"/>
      <c r="C9" s="267" t="s">
        <v>83</v>
      </c>
      <c r="D9" s="268">
        <v>236840</v>
      </c>
      <c r="E9" s="268">
        <v>-222578</v>
      </c>
      <c r="F9" s="268">
        <f>D9+E9</f>
        <v>14262</v>
      </c>
      <c r="G9" s="1"/>
    </row>
    <row r="10" spans="1:7" s="40" customFormat="1" ht="18.75" customHeight="1">
      <c r="A10" s="89"/>
      <c r="B10" s="509"/>
      <c r="C10" s="270" t="s">
        <v>84</v>
      </c>
      <c r="D10" s="271">
        <v>801000</v>
      </c>
      <c r="E10" s="271"/>
      <c r="F10" s="271">
        <f>D10+E10</f>
        <v>801000</v>
      </c>
      <c r="G10"/>
    </row>
    <row r="11" spans="1:6" s="335" customFormat="1" ht="17.25" customHeight="1">
      <c r="A11" s="12">
        <v>900</v>
      </c>
      <c r="B11" s="274"/>
      <c r="C11" s="29" t="s">
        <v>87</v>
      </c>
      <c r="D11" s="18">
        <v>801000</v>
      </c>
      <c r="E11" s="18"/>
      <c r="F11" s="18">
        <f>E11+D11</f>
        <v>801000</v>
      </c>
    </row>
    <row r="12" spans="1:6" s="335" customFormat="1" ht="17.25" customHeight="1">
      <c r="A12" s="506"/>
      <c r="B12" s="507">
        <v>90011</v>
      </c>
      <c r="C12" s="508" t="s">
        <v>88</v>
      </c>
      <c r="D12" s="77">
        <v>801000</v>
      </c>
      <c r="E12" s="77"/>
      <c r="F12" s="77">
        <f>E12+D12</f>
        <v>801000</v>
      </c>
    </row>
    <row r="13" spans="1:6" ht="18" customHeight="1">
      <c r="A13" s="233"/>
      <c r="B13" s="36"/>
      <c r="C13" s="272" t="s">
        <v>85</v>
      </c>
      <c r="D13" s="273">
        <f>D9+D10</f>
        <v>1037840</v>
      </c>
      <c r="E13" s="273">
        <f>E9+E10</f>
        <v>-222578</v>
      </c>
      <c r="F13" s="273">
        <f>F9+F10</f>
        <v>815262</v>
      </c>
    </row>
    <row r="14" spans="1:6" ht="18.75" customHeight="1">
      <c r="A14" s="510"/>
      <c r="B14" s="510"/>
      <c r="C14" s="270" t="s">
        <v>86</v>
      </c>
      <c r="D14" s="271">
        <v>800000</v>
      </c>
      <c r="E14" s="271"/>
      <c r="F14" s="271">
        <f>D14+E14</f>
        <v>800000</v>
      </c>
    </row>
    <row r="15" spans="1:6" s="335" customFormat="1" ht="17.25" customHeight="1">
      <c r="A15" s="12">
        <v>900</v>
      </c>
      <c r="B15" s="274"/>
      <c r="C15" s="29" t="s">
        <v>87</v>
      </c>
      <c r="D15" s="18">
        <v>800000</v>
      </c>
      <c r="E15" s="18"/>
      <c r="F15" s="18">
        <f>E15+D15</f>
        <v>800000</v>
      </c>
    </row>
    <row r="16" spans="1:6" s="335" customFormat="1" ht="17.25" customHeight="1">
      <c r="A16" s="237"/>
      <c r="B16" s="34">
        <v>90011</v>
      </c>
      <c r="C16" s="33" t="s">
        <v>88</v>
      </c>
      <c r="D16" s="77">
        <v>800000</v>
      </c>
      <c r="E16" s="77"/>
      <c r="F16" s="77">
        <f>E16+D16</f>
        <v>800000</v>
      </c>
    </row>
    <row r="17" spans="1:7" s="7" customFormat="1" ht="18.75" customHeight="1">
      <c r="A17" s="153"/>
      <c r="B17" s="280"/>
      <c r="C17" s="281" t="s">
        <v>89</v>
      </c>
      <c r="D17" s="282">
        <f>D9+D10-D14</f>
        <v>237840</v>
      </c>
      <c r="E17" s="282">
        <f>E9+E10-E14</f>
        <v>-222578</v>
      </c>
      <c r="F17" s="282">
        <f>F9+F10-F14</f>
        <v>15262</v>
      </c>
      <c r="G17"/>
    </row>
    <row r="18" spans="1:6" ht="18" customHeight="1">
      <c r="A18" s="5"/>
      <c r="B18" s="283"/>
      <c r="C18" s="284" t="s">
        <v>85</v>
      </c>
      <c r="D18" s="285">
        <f>D14+D17</f>
        <v>1037840</v>
      </c>
      <c r="E18" s="285">
        <f>E14+E17</f>
        <v>-222578</v>
      </c>
      <c r="F18" s="285">
        <f>F14+F17</f>
        <v>815262</v>
      </c>
    </row>
    <row r="19" ht="19.5" customHeight="1">
      <c r="E19" s="213"/>
    </row>
    <row r="20" spans="1:5" ht="19.5" customHeight="1">
      <c r="A20" s="7"/>
      <c r="D20" s="226"/>
      <c r="E20" s="286"/>
    </row>
    <row r="21" ht="22.5" customHeight="1">
      <c r="E21" s="213"/>
    </row>
    <row r="22" spans="3:6" ht="16.5" customHeight="1">
      <c r="C22" s="570" t="s">
        <v>221</v>
      </c>
      <c r="D22" s="25"/>
      <c r="E22" s="571" t="s">
        <v>223</v>
      </c>
      <c r="F22"/>
    </row>
    <row r="23" spans="3:6" ht="12.75">
      <c r="C23" s="570"/>
      <c r="D23" s="25"/>
      <c r="E23" s="571" t="s">
        <v>224</v>
      </c>
      <c r="F23"/>
    </row>
    <row r="24" spans="3:6" ht="12.75">
      <c r="C24" s="570" t="s">
        <v>222</v>
      </c>
      <c r="D24" s="25"/>
      <c r="E24" s="571" t="s">
        <v>225</v>
      </c>
      <c r="F24"/>
    </row>
  </sheetData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E37" sqref="E37:E39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72.625" style="1" customWidth="1"/>
    <col min="4" max="5" width="17.875" style="213" customWidth="1"/>
    <col min="6" max="6" width="13.875" style="1" customWidth="1"/>
    <col min="7" max="7" width="17.75390625" style="1" customWidth="1"/>
    <col min="9" max="9" width="11.00390625" style="0" customWidth="1"/>
  </cols>
  <sheetData>
    <row r="1" spans="2:6" ht="13.5" customHeight="1">
      <c r="B1" s="337"/>
      <c r="C1" s="404"/>
      <c r="F1" s="101" t="s">
        <v>178</v>
      </c>
    </row>
    <row r="2" spans="1:6" ht="13.5" customHeight="1">
      <c r="A2" s="444" t="s">
        <v>164</v>
      </c>
      <c r="B2" s="405"/>
      <c r="C2" s="405"/>
      <c r="F2" s="213" t="s">
        <v>215</v>
      </c>
    </row>
    <row r="3" spans="1:6" ht="13.5" customHeight="1">
      <c r="A3" s="444" t="s">
        <v>165</v>
      </c>
      <c r="C3" s="406"/>
      <c r="F3" s="213" t="s">
        <v>34</v>
      </c>
    </row>
    <row r="4" spans="1:6" ht="13.5" customHeight="1">
      <c r="A4" s="444" t="s">
        <v>175</v>
      </c>
      <c r="C4" s="406"/>
      <c r="F4" s="1" t="s">
        <v>216</v>
      </c>
    </row>
    <row r="5" spans="1:7" ht="6" customHeight="1">
      <c r="A5" s="407"/>
      <c r="B5" s="407"/>
      <c r="C5" s="407"/>
      <c r="D5" s="408"/>
      <c r="E5" s="408"/>
      <c r="F5" s="408"/>
      <c r="G5" s="408"/>
    </row>
    <row r="6" spans="4:7" ht="12" customHeight="1" thickBot="1">
      <c r="D6" s="409"/>
      <c r="E6" s="409"/>
      <c r="F6" s="222"/>
      <c r="G6" s="107" t="s">
        <v>1</v>
      </c>
    </row>
    <row r="7" spans="1:7" ht="15" customHeight="1" thickTop="1">
      <c r="A7" s="410"/>
      <c r="B7" s="410"/>
      <c r="C7" s="411" t="s">
        <v>10</v>
      </c>
      <c r="D7" s="566" t="s">
        <v>211</v>
      </c>
      <c r="E7" s="566" t="s">
        <v>212</v>
      </c>
      <c r="F7" s="553" t="s">
        <v>8</v>
      </c>
      <c r="G7" s="553" t="s">
        <v>166</v>
      </c>
    </row>
    <row r="8" spans="1:7" ht="75" customHeight="1" thickBot="1">
      <c r="A8" s="298" t="s">
        <v>11</v>
      </c>
      <c r="B8" s="163" t="s">
        <v>167</v>
      </c>
      <c r="C8" s="163" t="s">
        <v>168</v>
      </c>
      <c r="D8" s="567"/>
      <c r="E8" s="567"/>
      <c r="F8" s="568"/>
      <c r="G8" s="569"/>
    </row>
    <row r="9" spans="1:7" ht="14.25" customHeight="1" thickBot="1" thickTop="1">
      <c r="A9" s="8">
        <v>1</v>
      </c>
      <c r="B9" s="8">
        <v>2</v>
      </c>
      <c r="C9" s="8">
        <v>3</v>
      </c>
      <c r="D9" s="350">
        <v>4</v>
      </c>
      <c r="E9" s="350">
        <v>5</v>
      </c>
      <c r="F9" s="8">
        <v>6</v>
      </c>
      <c r="G9" s="8">
        <v>7</v>
      </c>
    </row>
    <row r="10" spans="1:9" ht="24.75" customHeight="1" thickBot="1" thickTop="1">
      <c r="A10" s="412"/>
      <c r="B10" s="224"/>
      <c r="C10" s="413" t="s">
        <v>169</v>
      </c>
      <c r="D10" s="414">
        <f>D16+D17</f>
        <v>86259136</v>
      </c>
      <c r="E10" s="414">
        <f>E16+E17</f>
        <v>79334736</v>
      </c>
      <c r="F10" s="414">
        <f>F16+F17</f>
        <v>0</v>
      </c>
      <c r="G10" s="414">
        <f>E10+F10</f>
        <v>79334736</v>
      </c>
      <c r="I10" s="17"/>
    </row>
    <row r="11" spans="1:7" ht="12.75" customHeight="1">
      <c r="A11" s="415"/>
      <c r="B11" s="35"/>
      <c r="C11" s="416" t="s">
        <v>3</v>
      </c>
      <c r="D11" s="418"/>
      <c r="E11" s="425"/>
      <c r="F11" s="417"/>
      <c r="G11" s="418"/>
    </row>
    <row r="12" spans="1:7" s="1" customFormat="1" ht="19.5" customHeight="1" hidden="1">
      <c r="A12" s="95">
        <v>900</v>
      </c>
      <c r="B12" s="12"/>
      <c r="C12" s="117" t="s">
        <v>87</v>
      </c>
      <c r="D12" s="426"/>
      <c r="E12" s="426"/>
      <c r="F12" s="229"/>
      <c r="G12" s="125"/>
    </row>
    <row r="13" spans="1:7" s="1" customFormat="1" ht="21.75" customHeight="1" hidden="1">
      <c r="A13" s="141"/>
      <c r="B13" s="126">
        <v>90015</v>
      </c>
      <c r="C13" s="118" t="s">
        <v>170</v>
      </c>
      <c r="D13" s="427"/>
      <c r="E13" s="427"/>
      <c r="F13" s="91"/>
      <c r="G13" s="33"/>
    </row>
    <row r="14" spans="1:7" s="1" customFormat="1" ht="38.25" customHeight="1" hidden="1">
      <c r="A14" s="74"/>
      <c r="B14" s="123"/>
      <c r="C14" s="419" t="s">
        <v>171</v>
      </c>
      <c r="D14" s="428"/>
      <c r="E14" s="428"/>
      <c r="F14" s="420"/>
      <c r="G14" s="420"/>
    </row>
    <row r="15" spans="1:7" s="1" customFormat="1" ht="37.5" customHeight="1" hidden="1">
      <c r="A15" s="141"/>
      <c r="B15" s="421">
        <v>2010</v>
      </c>
      <c r="C15" s="228" t="s">
        <v>172</v>
      </c>
      <c r="D15" s="430"/>
      <c r="E15" s="430"/>
      <c r="F15" s="219"/>
      <c r="G15" s="219"/>
    </row>
    <row r="16" spans="1:7" s="2" customFormat="1" ht="18.75" customHeight="1" thickBot="1">
      <c r="A16" s="436"/>
      <c r="B16" s="67"/>
      <c r="C16" s="422" t="s">
        <v>173</v>
      </c>
      <c r="D16" s="431">
        <v>60345467</v>
      </c>
      <c r="E16" s="431">
        <v>58981467</v>
      </c>
      <c r="F16" s="423"/>
      <c r="G16" s="423">
        <f aca="true" t="shared" si="0" ref="G16:G33">E16+F16</f>
        <v>58981467</v>
      </c>
    </row>
    <row r="17" spans="1:7" ht="24.75" customHeight="1" thickBot="1" thickTop="1">
      <c r="A17" s="424"/>
      <c r="B17" s="123"/>
      <c r="C17" s="422" t="s">
        <v>174</v>
      </c>
      <c r="D17" s="432">
        <v>25913669</v>
      </c>
      <c r="E17" s="432">
        <v>20353269</v>
      </c>
      <c r="F17" s="390">
        <f>F18</f>
        <v>0</v>
      </c>
      <c r="G17" s="390">
        <f t="shared" si="0"/>
        <v>20353269</v>
      </c>
    </row>
    <row r="18" spans="1:7" ht="21.75" customHeight="1" thickTop="1">
      <c r="A18" s="311">
        <v>852</v>
      </c>
      <c r="B18" s="311"/>
      <c r="C18" s="311" t="s">
        <v>23</v>
      </c>
      <c r="D18" s="434">
        <v>2441000</v>
      </c>
      <c r="E18" s="434">
        <v>2374000</v>
      </c>
      <c r="F18" s="433">
        <f>F19</f>
        <v>0</v>
      </c>
      <c r="G18" s="433">
        <f t="shared" si="0"/>
        <v>2374000</v>
      </c>
    </row>
    <row r="19" spans="1:7" ht="18.75" customHeight="1">
      <c r="A19" s="247"/>
      <c r="B19" s="312">
        <v>85203</v>
      </c>
      <c r="C19" s="312" t="s">
        <v>130</v>
      </c>
      <c r="D19" s="435">
        <v>2190000</v>
      </c>
      <c r="E19" s="435">
        <v>2123000</v>
      </c>
      <c r="F19" s="185">
        <f>F20+F32</f>
        <v>0</v>
      </c>
      <c r="G19" s="185">
        <f t="shared" si="0"/>
        <v>2123000</v>
      </c>
    </row>
    <row r="20" spans="1:7" s="1" customFormat="1" ht="39" customHeight="1">
      <c r="A20" s="36"/>
      <c r="B20" s="111"/>
      <c r="C20" s="369" t="s">
        <v>131</v>
      </c>
      <c r="D20" s="371"/>
      <c r="E20" s="371"/>
      <c r="F20" s="230">
        <f>F21+F23+F29</f>
        <v>75600</v>
      </c>
      <c r="G20" s="371">
        <f t="shared" si="0"/>
        <v>75600</v>
      </c>
    </row>
    <row r="21" spans="1:7" s="1" customFormat="1" ht="20.25" customHeight="1">
      <c r="A21" s="36"/>
      <c r="B21" s="36"/>
      <c r="C21" s="437" t="s">
        <v>102</v>
      </c>
      <c r="D21" s="438"/>
      <c r="E21" s="438"/>
      <c r="F21" s="113">
        <f>F22</f>
        <v>40000</v>
      </c>
      <c r="G21" s="438">
        <f t="shared" si="0"/>
        <v>40000</v>
      </c>
    </row>
    <row r="22" spans="1:7" s="1" customFormat="1" ht="20.25" customHeight="1">
      <c r="A22" s="36"/>
      <c r="B22" s="155">
        <v>4010</v>
      </c>
      <c r="C22" s="318" t="s">
        <v>75</v>
      </c>
      <c r="D22" s="138"/>
      <c r="E22" s="138"/>
      <c r="F22" s="345">
        <v>40000</v>
      </c>
      <c r="G22" s="138">
        <f t="shared" si="0"/>
        <v>40000</v>
      </c>
    </row>
    <row r="23" spans="1:7" s="1" customFormat="1" ht="20.25" customHeight="1">
      <c r="A23" s="36"/>
      <c r="B23" s="111"/>
      <c r="C23" s="112" t="s">
        <v>27</v>
      </c>
      <c r="D23" s="386"/>
      <c r="E23" s="386"/>
      <c r="F23" s="109">
        <f>SUM(F24:F28)</f>
        <v>27520</v>
      </c>
      <c r="G23" s="386">
        <f t="shared" si="0"/>
        <v>27520</v>
      </c>
    </row>
    <row r="24" spans="1:7" s="1" customFormat="1" ht="20.25" customHeight="1">
      <c r="A24" s="36"/>
      <c r="B24" s="155">
        <v>4210</v>
      </c>
      <c r="C24" s="155" t="s">
        <v>71</v>
      </c>
      <c r="D24" s="256"/>
      <c r="E24" s="256"/>
      <c r="F24" s="345">
        <v>6000</v>
      </c>
      <c r="G24" s="256">
        <f t="shared" si="0"/>
        <v>6000</v>
      </c>
    </row>
    <row r="25" spans="1:7" s="1" customFormat="1" ht="20.25" customHeight="1">
      <c r="A25" s="36"/>
      <c r="B25" s="155">
        <v>4220</v>
      </c>
      <c r="C25" s="155" t="s">
        <v>132</v>
      </c>
      <c r="D25" s="256"/>
      <c r="E25" s="256"/>
      <c r="F25" s="245">
        <v>10500</v>
      </c>
      <c r="G25" s="256">
        <f t="shared" si="0"/>
        <v>10500</v>
      </c>
    </row>
    <row r="26" spans="1:7" s="1" customFormat="1" ht="20.25" customHeight="1">
      <c r="A26" s="36"/>
      <c r="B26" s="249">
        <v>4260</v>
      </c>
      <c r="C26" s="249" t="s">
        <v>76</v>
      </c>
      <c r="D26" s="439"/>
      <c r="E26" s="439"/>
      <c r="F26" s="245">
        <v>8550</v>
      </c>
      <c r="G26" s="439">
        <f t="shared" si="0"/>
        <v>8550</v>
      </c>
    </row>
    <row r="27" spans="1:7" s="1" customFormat="1" ht="20.25" customHeight="1">
      <c r="A27" s="36"/>
      <c r="B27" s="249">
        <v>4300</v>
      </c>
      <c r="C27" s="249" t="s">
        <v>70</v>
      </c>
      <c r="D27" s="439"/>
      <c r="E27" s="439"/>
      <c r="F27" s="245">
        <v>1000</v>
      </c>
      <c r="G27" s="439">
        <f t="shared" si="0"/>
        <v>1000</v>
      </c>
    </row>
    <row r="28" spans="1:7" s="1" customFormat="1" ht="20.25" customHeight="1">
      <c r="A28" s="36"/>
      <c r="B28" s="249">
        <v>4440</v>
      </c>
      <c r="C28" s="249" t="s">
        <v>77</v>
      </c>
      <c r="D28" s="439"/>
      <c r="E28" s="439"/>
      <c r="F28" s="245">
        <v>1470</v>
      </c>
      <c r="G28" s="439">
        <f t="shared" si="0"/>
        <v>1470</v>
      </c>
    </row>
    <row r="29" spans="1:7" s="1" customFormat="1" ht="20.25" customHeight="1">
      <c r="A29" s="36"/>
      <c r="B29" s="36"/>
      <c r="C29" s="231" t="s">
        <v>103</v>
      </c>
      <c r="D29" s="440"/>
      <c r="E29" s="440"/>
      <c r="F29" s="321">
        <f>SUM(F30:F31)</f>
        <v>8080</v>
      </c>
      <c r="G29" s="440">
        <f t="shared" si="0"/>
        <v>8080</v>
      </c>
    </row>
    <row r="30" spans="1:7" s="1" customFormat="1" ht="20.25" customHeight="1">
      <c r="A30" s="36"/>
      <c r="B30" s="155">
        <v>4110</v>
      </c>
      <c r="C30" s="441" t="s">
        <v>104</v>
      </c>
      <c r="D30" s="442"/>
      <c r="E30" s="442"/>
      <c r="F30" s="346">
        <v>7100</v>
      </c>
      <c r="G30" s="442">
        <f t="shared" si="0"/>
        <v>7100</v>
      </c>
    </row>
    <row r="31" spans="1:7" s="1" customFormat="1" ht="20.25" customHeight="1">
      <c r="A31" s="36"/>
      <c r="B31" s="249">
        <v>4120</v>
      </c>
      <c r="C31" s="249" t="s">
        <v>105</v>
      </c>
      <c r="D31" s="439"/>
      <c r="E31" s="439"/>
      <c r="F31" s="245">
        <v>980</v>
      </c>
      <c r="G31" s="439">
        <f t="shared" si="0"/>
        <v>980</v>
      </c>
    </row>
    <row r="32" spans="1:7" s="1" customFormat="1" ht="27" customHeight="1">
      <c r="A32" s="36"/>
      <c r="B32" s="36"/>
      <c r="C32" s="106" t="s">
        <v>177</v>
      </c>
      <c r="D32" s="193"/>
      <c r="E32" s="193">
        <v>2112000</v>
      </c>
      <c r="F32" s="193">
        <f>F33</f>
        <v>-75600</v>
      </c>
      <c r="G32" s="193">
        <f t="shared" si="0"/>
        <v>2036400</v>
      </c>
    </row>
    <row r="33" spans="1:7" s="1" customFormat="1" ht="29.25" customHeight="1">
      <c r="A33" s="5"/>
      <c r="B33" s="155">
        <v>2820</v>
      </c>
      <c r="C33" s="159" t="s">
        <v>129</v>
      </c>
      <c r="D33" s="194"/>
      <c r="E33" s="194">
        <v>2112000</v>
      </c>
      <c r="F33" s="194">
        <v>-75600</v>
      </c>
      <c r="G33" s="194">
        <f t="shared" si="0"/>
        <v>2036400</v>
      </c>
    </row>
    <row r="37" spans="3:6" ht="12.75">
      <c r="C37" s="570" t="s">
        <v>221</v>
      </c>
      <c r="D37" s="25"/>
      <c r="E37" s="571" t="s">
        <v>223</v>
      </c>
      <c r="F37"/>
    </row>
    <row r="38" spans="3:6" ht="12.75">
      <c r="C38" s="570"/>
      <c r="D38" s="25"/>
      <c r="E38" s="571" t="s">
        <v>224</v>
      </c>
      <c r="F38"/>
    </row>
    <row r="39" spans="3:6" ht="12.75">
      <c r="C39" s="570" t="s">
        <v>222</v>
      </c>
      <c r="D39" s="25"/>
      <c r="E39" s="571" t="s">
        <v>225</v>
      </c>
      <c r="F39"/>
    </row>
  </sheetData>
  <mergeCells count="4">
    <mergeCell ref="D7:D8"/>
    <mergeCell ref="E7:E8"/>
    <mergeCell ref="F7:F8"/>
    <mergeCell ref="G7:G8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landscape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workbookViewId="0" topLeftCell="A27">
      <selection activeCell="C60" sqref="C60"/>
    </sheetView>
  </sheetViews>
  <sheetFormatPr defaultColWidth="9.00390625" defaultRowHeight="12.75"/>
  <cols>
    <col min="1" max="1" width="6.75390625" style="0" customWidth="1"/>
    <col min="2" max="2" width="7.375" style="0" customWidth="1"/>
    <col min="3" max="3" width="66.00390625" style="0" customWidth="1"/>
    <col min="4" max="4" width="17.75390625" style="0" hidden="1" customWidth="1"/>
    <col min="5" max="9" width="14.75390625" style="0" customWidth="1"/>
    <col min="10" max="10" width="11.00390625" style="0" bestFit="1" customWidth="1"/>
    <col min="11" max="11" width="12.75390625" style="0" bestFit="1" customWidth="1"/>
  </cols>
  <sheetData>
    <row r="1" ht="15" customHeight="1">
      <c r="H1" s="24" t="s">
        <v>179</v>
      </c>
    </row>
    <row r="2" spans="1:8" ht="15" customHeight="1">
      <c r="A2" s="93"/>
      <c r="B2" s="93"/>
      <c r="H2" s="162" t="s">
        <v>215</v>
      </c>
    </row>
    <row r="3" spans="1:8" ht="15" customHeight="1">
      <c r="A3" s="93"/>
      <c r="B3" s="93" t="s">
        <v>113</v>
      </c>
      <c r="C3" s="460"/>
      <c r="H3" s="162" t="s">
        <v>34</v>
      </c>
    </row>
    <row r="4" spans="3:8" ht="15" customHeight="1">
      <c r="C4" s="93"/>
      <c r="H4" s="40" t="s">
        <v>217</v>
      </c>
    </row>
    <row r="5" ht="15" customHeight="1"/>
    <row r="6" ht="15" customHeight="1" thickBot="1">
      <c r="I6" s="107" t="s">
        <v>1</v>
      </c>
    </row>
    <row r="7" spans="1:9" s="2" customFormat="1" ht="18" customHeight="1" thickTop="1">
      <c r="A7" s="561" t="s">
        <v>36</v>
      </c>
      <c r="B7" s="561" t="s">
        <v>2</v>
      </c>
      <c r="C7" s="553" t="s">
        <v>47</v>
      </c>
      <c r="D7" s="196"/>
      <c r="E7" s="553" t="s">
        <v>114</v>
      </c>
      <c r="F7" s="561" t="s">
        <v>48</v>
      </c>
      <c r="G7" s="561" t="s">
        <v>49</v>
      </c>
      <c r="H7" s="553" t="s">
        <v>50</v>
      </c>
      <c r="I7" s="561" t="s">
        <v>51</v>
      </c>
    </row>
    <row r="8" spans="1:9" ht="23.25" customHeight="1" thickBot="1">
      <c r="A8" s="562"/>
      <c r="B8" s="562"/>
      <c r="C8" s="565"/>
      <c r="D8" s="163" t="s">
        <v>21</v>
      </c>
      <c r="E8" s="562"/>
      <c r="F8" s="562"/>
      <c r="G8" s="562"/>
      <c r="H8" s="565"/>
      <c r="I8" s="562"/>
    </row>
    <row r="9" spans="1:17" s="11" customFormat="1" ht="18" customHeight="1" thickBot="1" thickTop="1">
      <c r="A9" s="8">
        <v>1</v>
      </c>
      <c r="B9" s="8">
        <v>2</v>
      </c>
      <c r="C9" s="10">
        <v>3</v>
      </c>
      <c r="D9" s="10">
        <v>5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"/>
      <c r="K9" s="1"/>
      <c r="L9" s="1"/>
      <c r="M9" s="1"/>
      <c r="N9" s="1"/>
      <c r="O9" s="1"/>
      <c r="P9" s="1"/>
      <c r="Q9" s="1"/>
    </row>
    <row r="10" spans="1:12" ht="29.25" customHeight="1" thickBot="1" thickTop="1">
      <c r="A10" s="14"/>
      <c r="B10" s="15"/>
      <c r="C10" s="197" t="s">
        <v>52</v>
      </c>
      <c r="D10" s="198" t="e">
        <f>#REF!</f>
        <v>#REF!</v>
      </c>
      <c r="E10" s="198">
        <f>SUM(F10:I10)</f>
        <v>764428168</v>
      </c>
      <c r="F10" s="199">
        <f>197695472+F17+F21+F24+F34+F36+F40+F43+F48+F29</f>
        <v>197928531</v>
      </c>
      <c r="G10" s="199">
        <f>195600905+G17+G21+G24+G34+G36+G40+G43+G48+G29</f>
        <v>195483564</v>
      </c>
      <c r="H10" s="199">
        <f>188598862+H17+H21+H24+H34+H36+H40+H43+H48+H29</f>
        <v>188581521</v>
      </c>
      <c r="I10" s="199">
        <f>182531892+I17+I21+I24+I34+I36+I40+I43+I48+I29</f>
        <v>182434552</v>
      </c>
      <c r="J10" s="17"/>
      <c r="K10" s="17"/>
      <c r="L10" s="17"/>
    </row>
    <row r="11" spans="1:10" ht="18" customHeight="1" thickBot="1" thickTop="1">
      <c r="A11" s="14"/>
      <c r="B11" s="14"/>
      <c r="C11" s="200" t="s">
        <v>40</v>
      </c>
      <c r="D11" s="201"/>
      <c r="E11" s="201">
        <f aca="true" t="shared" si="0" ref="E11:E48">SUM(F11:I11)</f>
        <v>750840608</v>
      </c>
      <c r="F11" s="202">
        <f>194010830+F17+F21+F24+F34+F36+F40+F43+F29</f>
        <v>194244689</v>
      </c>
      <c r="G11" s="202">
        <f>191866786+G17+G21+G24+G34+G36+G40+G43+G29</f>
        <v>191750645</v>
      </c>
      <c r="H11" s="202">
        <f>186218045+H17+H21+H24+H34+H36+H40+H43+H29</f>
        <v>186201904</v>
      </c>
      <c r="I11" s="202">
        <f>178739510+I17+I21+I24+I34+I36+I40+I43+I29</f>
        <v>178643370</v>
      </c>
      <c r="J11" s="17"/>
    </row>
    <row r="12" spans="1:9" s="206" customFormat="1" ht="18" customHeight="1" thickTop="1">
      <c r="A12" s="203"/>
      <c r="B12" s="203"/>
      <c r="C12" s="169" t="s">
        <v>41</v>
      </c>
      <c r="D12" s="204"/>
      <c r="E12" s="205">
        <f t="shared" si="0"/>
        <v>680997508</v>
      </c>
      <c r="F12" s="205">
        <f>178225580+F17+F21+F24+F34+F36+F29</f>
        <v>177369439</v>
      </c>
      <c r="G12" s="205">
        <f>170080936+G17+G21+G24+G34+G36+G29</f>
        <v>169224795</v>
      </c>
      <c r="H12" s="205">
        <f>170204345+H17+H21+H24+H34+H36+H29</f>
        <v>169348204</v>
      </c>
      <c r="I12" s="205">
        <f>165811210+I17+I21+I24+I34+I36+I29</f>
        <v>165055070</v>
      </c>
    </row>
    <row r="13" spans="1:16" s="40" customFormat="1" ht="16.5" customHeight="1" thickBot="1">
      <c r="A13" s="66"/>
      <c r="B13" s="67"/>
      <c r="C13" s="68" t="s">
        <v>58</v>
      </c>
      <c r="D13" s="69">
        <v>461493495</v>
      </c>
      <c r="E13" s="69">
        <f t="shared" si="0"/>
        <v>473615159</v>
      </c>
      <c r="F13" s="69">
        <f>119846275+F17+F21+F24</f>
        <v>119041754</v>
      </c>
      <c r="G13" s="69">
        <f>119118961+G17+G21+G24</f>
        <v>118314440</v>
      </c>
      <c r="H13" s="69">
        <f>120754228+H17+H21+H24</f>
        <v>119949707</v>
      </c>
      <c r="I13" s="69">
        <f>117013779+I17+I21+I24</f>
        <v>116309258</v>
      </c>
      <c r="J13" s="92"/>
      <c r="K13" s="39"/>
      <c r="L13" s="39"/>
      <c r="M13" s="39"/>
      <c r="N13" s="39"/>
      <c r="O13" s="39"/>
      <c r="P13" s="39"/>
    </row>
    <row r="14" spans="1:9" s="140" customFormat="1" ht="19.5" customHeight="1" thickBot="1">
      <c r="A14" s="135"/>
      <c r="B14" s="22"/>
      <c r="C14" s="207" t="s">
        <v>15</v>
      </c>
      <c r="D14" s="208" t="s">
        <v>16</v>
      </c>
      <c r="E14" s="208">
        <f t="shared" si="0"/>
        <v>304537804</v>
      </c>
      <c r="F14" s="208">
        <f>70470500+F17</f>
        <v>70721251</v>
      </c>
      <c r="G14" s="208">
        <f>76144500+G17</f>
        <v>76395251</v>
      </c>
      <c r="H14" s="208">
        <f>80311000+H17</f>
        <v>80561751</v>
      </c>
      <c r="I14" s="208">
        <f>76608798+I17</f>
        <v>76859551</v>
      </c>
    </row>
    <row r="15" spans="1:9" s="39" customFormat="1" ht="32.25" customHeight="1" thickTop="1">
      <c r="A15" s="95">
        <v>756</v>
      </c>
      <c r="B15" s="12"/>
      <c r="C15" s="117" t="s">
        <v>43</v>
      </c>
      <c r="D15" s="125" t="s">
        <v>43</v>
      </c>
      <c r="E15" s="125">
        <f t="shared" si="0"/>
        <v>303423804</v>
      </c>
      <c r="F15" s="125">
        <f>70192000+F17</f>
        <v>70442751</v>
      </c>
      <c r="G15" s="125">
        <f>75816000+G17</f>
        <v>76066751</v>
      </c>
      <c r="H15" s="125">
        <f>80032500+H17</f>
        <v>80283251</v>
      </c>
      <c r="I15" s="125">
        <f>76380298+I17</f>
        <v>76631051</v>
      </c>
    </row>
    <row r="16" spans="1:9" s="39" customFormat="1" ht="19.5" customHeight="1">
      <c r="A16" s="62"/>
      <c r="B16" s="186">
        <v>75621</v>
      </c>
      <c r="C16" s="209" t="s">
        <v>155</v>
      </c>
      <c r="D16" s="210"/>
      <c r="E16" s="210">
        <f t="shared" si="0"/>
        <v>162472998</v>
      </c>
      <c r="F16" s="210">
        <v>35000000</v>
      </c>
      <c r="G16" s="210">
        <v>36500000</v>
      </c>
      <c r="H16" s="210">
        <v>44800000</v>
      </c>
      <c r="I16" s="210">
        <v>46172998</v>
      </c>
    </row>
    <row r="17" spans="1:10" s="39" customFormat="1" ht="19.5" customHeight="1">
      <c r="A17" s="62"/>
      <c r="B17" s="123"/>
      <c r="C17" s="211"/>
      <c r="D17" s="212"/>
      <c r="E17" s="137">
        <f t="shared" si="0"/>
        <v>1003006</v>
      </c>
      <c r="F17" s="137">
        <v>250751</v>
      </c>
      <c r="G17" s="137">
        <v>250751</v>
      </c>
      <c r="H17" s="137">
        <v>250751</v>
      </c>
      <c r="I17" s="137">
        <v>250753</v>
      </c>
      <c r="J17" s="92"/>
    </row>
    <row r="18" spans="1:9" s="140" customFormat="1" ht="19.5" customHeight="1" thickBot="1">
      <c r="A18" s="135"/>
      <c r="B18" s="22"/>
      <c r="C18" s="207" t="s">
        <v>54</v>
      </c>
      <c r="D18" s="208"/>
      <c r="E18" s="208">
        <f t="shared" si="0"/>
        <v>101029188</v>
      </c>
      <c r="F18" s="208">
        <f>31925448+F21</f>
        <v>30870176</v>
      </c>
      <c r="G18" s="208">
        <f>25967381+G21</f>
        <v>24912109</v>
      </c>
      <c r="H18" s="208">
        <f>23775248+H21</f>
        <v>22719976</v>
      </c>
      <c r="I18" s="208">
        <f>23582201+I21</f>
        <v>22526927</v>
      </c>
    </row>
    <row r="19" spans="1:9" s="39" customFormat="1" ht="19.5" customHeight="1" thickTop="1">
      <c r="A19" s="95">
        <v>758</v>
      </c>
      <c r="B19" s="12"/>
      <c r="C19" s="117" t="s">
        <v>65</v>
      </c>
      <c r="D19" s="125"/>
      <c r="E19" s="125">
        <f>SUM(F19:I19)</f>
        <v>100494188</v>
      </c>
      <c r="F19" s="125">
        <f>31925448+F21</f>
        <v>30870176</v>
      </c>
      <c r="G19" s="125">
        <f>25432381+G21</f>
        <v>24377109</v>
      </c>
      <c r="H19" s="125">
        <f>23775248+H21</f>
        <v>22719976</v>
      </c>
      <c r="I19" s="125">
        <f>23582201+I21</f>
        <v>22526927</v>
      </c>
    </row>
    <row r="20" spans="1:9" s="39" customFormat="1" ht="25.5" customHeight="1">
      <c r="A20" s="62"/>
      <c r="B20" s="186">
        <v>75801</v>
      </c>
      <c r="C20" s="209" t="s">
        <v>66</v>
      </c>
      <c r="D20" s="210"/>
      <c r="E20" s="210">
        <f t="shared" si="0"/>
        <v>103977752</v>
      </c>
      <c r="F20" s="210">
        <v>31741066</v>
      </c>
      <c r="G20" s="210">
        <v>25248000</v>
      </c>
      <c r="H20" s="210">
        <v>23590866</v>
      </c>
      <c r="I20" s="210">
        <v>23397820</v>
      </c>
    </row>
    <row r="21" spans="1:10" s="39" customFormat="1" ht="19.5" customHeight="1">
      <c r="A21" s="62"/>
      <c r="B21" s="123"/>
      <c r="C21" s="211"/>
      <c r="D21" s="212"/>
      <c r="E21" s="137">
        <f t="shared" si="0"/>
        <v>-4221090</v>
      </c>
      <c r="F21" s="137">
        <v>-1055272</v>
      </c>
      <c r="G21" s="137">
        <v>-1055272</v>
      </c>
      <c r="H21" s="137">
        <v>-1055272</v>
      </c>
      <c r="I21" s="137">
        <v>-1055274</v>
      </c>
      <c r="J21" s="92"/>
    </row>
    <row r="22" spans="1:9" s="140" customFormat="1" ht="19.5" customHeight="1" thickBot="1">
      <c r="A22" s="135"/>
      <c r="B22" s="22"/>
      <c r="C22" s="207" t="s">
        <v>17</v>
      </c>
      <c r="D22" s="208"/>
      <c r="E22" s="208">
        <f t="shared" si="0"/>
        <v>9066700</v>
      </c>
      <c r="F22" s="208">
        <f>2578400+F24</f>
        <v>2578400</v>
      </c>
      <c r="G22" s="208">
        <f>2284500+G24</f>
        <v>2284500</v>
      </c>
      <c r="H22" s="208">
        <f>1974500+H24</f>
        <v>1974500</v>
      </c>
      <c r="I22" s="208">
        <f>2129300+I24</f>
        <v>2229300</v>
      </c>
    </row>
    <row r="23" spans="1:9" s="39" customFormat="1" ht="19.5" customHeight="1" thickTop="1">
      <c r="A23" s="95">
        <v>926</v>
      </c>
      <c r="B23" s="12"/>
      <c r="C23" s="124" t="s">
        <v>148</v>
      </c>
      <c r="D23" s="125"/>
      <c r="E23" s="125">
        <f t="shared" si="0"/>
        <v>100000</v>
      </c>
      <c r="F23" s="125"/>
      <c r="G23" s="125"/>
      <c r="H23" s="125"/>
      <c r="I23" s="125">
        <f>I24</f>
        <v>100000</v>
      </c>
    </row>
    <row r="24" spans="1:10" s="140" customFormat="1" ht="23.25" customHeight="1">
      <c r="A24" s="497"/>
      <c r="B24" s="494">
        <v>92601</v>
      </c>
      <c r="C24" s="495" t="s">
        <v>149</v>
      </c>
      <c r="D24" s="137"/>
      <c r="E24" s="137">
        <f t="shared" si="0"/>
        <v>100000</v>
      </c>
      <c r="F24" s="137"/>
      <c r="G24" s="137"/>
      <c r="H24" s="137"/>
      <c r="I24" s="137">
        <v>100000</v>
      </c>
      <c r="J24" s="496"/>
    </row>
    <row r="25" spans="1:16" s="40" customFormat="1" ht="20.25" customHeight="1" thickBot="1">
      <c r="A25" s="66"/>
      <c r="B25" s="67"/>
      <c r="C25" s="68" t="s">
        <v>45</v>
      </c>
      <c r="D25" s="69"/>
      <c r="E25" s="69">
        <f t="shared" si="0"/>
        <v>207382349</v>
      </c>
      <c r="F25" s="69">
        <f>58379305+F34+F36+F29</f>
        <v>58327685</v>
      </c>
      <c r="G25" s="69">
        <f>50961975+G34+G36+G29</f>
        <v>50910355</v>
      </c>
      <c r="H25" s="69">
        <f>49450117+H34+H36+H29</f>
        <v>49398497</v>
      </c>
      <c r="I25" s="69">
        <f>48797431+I34+I36+I29</f>
        <v>48745812</v>
      </c>
      <c r="J25" s="39"/>
      <c r="K25" s="39"/>
      <c r="L25" s="39"/>
      <c r="M25" s="39"/>
      <c r="N25" s="39"/>
      <c r="O25" s="39"/>
      <c r="P25" s="39"/>
    </row>
    <row r="26" spans="1:9" s="140" customFormat="1" ht="19.5" customHeight="1" thickBot="1">
      <c r="A26" s="135"/>
      <c r="B26" s="22"/>
      <c r="C26" s="207" t="s">
        <v>15</v>
      </c>
      <c r="D26" s="208" t="s">
        <v>16</v>
      </c>
      <c r="E26" s="208">
        <f>SUM(F26:I26)</f>
        <v>48207440</v>
      </c>
      <c r="F26" s="208">
        <f>10702000+F29</f>
        <v>10774176</v>
      </c>
      <c r="G26" s="208">
        <f>10992312+G29</f>
        <v>11064488</v>
      </c>
      <c r="H26" s="208">
        <f>12502354+H29</f>
        <v>12574530</v>
      </c>
      <c r="I26" s="208">
        <f>13722068+I29</f>
        <v>13794246</v>
      </c>
    </row>
    <row r="27" spans="1:11" s="39" customFormat="1" ht="33" customHeight="1" thickTop="1">
      <c r="A27" s="95">
        <v>756</v>
      </c>
      <c r="B27" s="12"/>
      <c r="C27" s="117" t="s">
        <v>43</v>
      </c>
      <c r="D27" s="125" t="s">
        <v>43</v>
      </c>
      <c r="E27" s="125">
        <f>SUM(F27:I27)</f>
        <v>46199440</v>
      </c>
      <c r="F27" s="125">
        <f>10200000+F29</f>
        <v>10272176</v>
      </c>
      <c r="G27" s="125">
        <f>10490312+G29</f>
        <v>10562488</v>
      </c>
      <c r="H27" s="125">
        <f>12000354+H29</f>
        <v>12072530</v>
      </c>
      <c r="I27" s="125">
        <f>13220068+I29</f>
        <v>13292246</v>
      </c>
      <c r="K27" s="92"/>
    </row>
    <row r="28" spans="1:9" s="39" customFormat="1" ht="19.5" customHeight="1">
      <c r="A28" s="375"/>
      <c r="B28" s="186">
        <v>75622</v>
      </c>
      <c r="C28" s="209" t="s">
        <v>159</v>
      </c>
      <c r="D28" s="210"/>
      <c r="E28" s="210">
        <f>SUM(F28:I28)</f>
        <v>45910734</v>
      </c>
      <c r="F28" s="210">
        <v>10200000</v>
      </c>
      <c r="G28" s="210">
        <v>10490312</v>
      </c>
      <c r="H28" s="210">
        <v>12000354</v>
      </c>
      <c r="I28" s="210">
        <v>13220068</v>
      </c>
    </row>
    <row r="29" spans="1:10" s="39" customFormat="1" ht="19.5" customHeight="1">
      <c r="A29" s="74"/>
      <c r="B29" s="123"/>
      <c r="C29" s="211"/>
      <c r="D29" s="212"/>
      <c r="E29" s="137">
        <f>SUM(F29:I29)</f>
        <v>288706</v>
      </c>
      <c r="F29" s="137">
        <v>72176</v>
      </c>
      <c r="G29" s="137">
        <v>72176</v>
      </c>
      <c r="H29" s="137">
        <v>72176</v>
      </c>
      <c r="I29" s="137">
        <v>72178</v>
      </c>
      <c r="J29" s="92"/>
    </row>
    <row r="30" spans="1:10" s="394" customFormat="1" ht="22.5" customHeight="1">
      <c r="A30" s="498"/>
      <c r="B30" s="499"/>
      <c r="C30" s="500"/>
      <c r="D30" s="501"/>
      <c r="E30" s="502"/>
      <c r="F30" s="502"/>
      <c r="G30" s="502"/>
      <c r="H30" s="502"/>
      <c r="I30" s="502"/>
      <c r="J30" s="393"/>
    </row>
    <row r="31" spans="1:9" s="140" customFormat="1" ht="19.5" customHeight="1" thickBot="1">
      <c r="A31" s="135"/>
      <c r="B31" s="22"/>
      <c r="C31" s="207" t="s">
        <v>54</v>
      </c>
      <c r="D31" s="208"/>
      <c r="E31" s="208">
        <f t="shared" si="0"/>
        <v>128335640</v>
      </c>
      <c r="F31" s="208">
        <f>39578536+F34+F36</f>
        <v>39454740</v>
      </c>
      <c r="G31" s="208">
        <f>31750763+G34+G36</f>
        <v>31626967</v>
      </c>
      <c r="H31" s="208">
        <f>29750763+H34+H36</f>
        <v>29626967</v>
      </c>
      <c r="I31" s="208">
        <f>27750763+I34+I36</f>
        <v>27626966</v>
      </c>
    </row>
    <row r="32" spans="1:9" s="39" customFormat="1" ht="19.5" customHeight="1" thickTop="1">
      <c r="A32" s="95">
        <v>758</v>
      </c>
      <c r="B32" s="12"/>
      <c r="C32" s="117" t="s">
        <v>65</v>
      </c>
      <c r="D32" s="125"/>
      <c r="E32" s="125">
        <f t="shared" si="0"/>
        <v>128335640</v>
      </c>
      <c r="F32" s="125">
        <f>39578536+F34+F36</f>
        <v>39454740</v>
      </c>
      <c r="G32" s="125">
        <f>31750763+G34+G36</f>
        <v>31626967</v>
      </c>
      <c r="H32" s="125">
        <f>29750763+H34+H36</f>
        <v>29626967</v>
      </c>
      <c r="I32" s="125">
        <f>27750763+I34+I36</f>
        <v>27626966</v>
      </c>
    </row>
    <row r="33" spans="1:9" s="39" customFormat="1" ht="25.5" customHeight="1">
      <c r="A33" s="62"/>
      <c r="B33" s="186">
        <v>75801</v>
      </c>
      <c r="C33" s="209" t="s">
        <v>66</v>
      </c>
      <c r="D33" s="210"/>
      <c r="E33" s="210">
        <f t="shared" si="0"/>
        <v>127758974</v>
      </c>
      <c r="F33" s="210">
        <v>39310574</v>
      </c>
      <c r="G33" s="210">
        <v>31482800</v>
      </c>
      <c r="H33" s="210">
        <v>29482800</v>
      </c>
      <c r="I33" s="210">
        <v>27482800</v>
      </c>
    </row>
    <row r="34" spans="1:10" s="39" customFormat="1" ht="19.5" customHeight="1">
      <c r="A34" s="62"/>
      <c r="B34" s="123"/>
      <c r="C34" s="211"/>
      <c r="D34" s="212"/>
      <c r="E34" s="137">
        <f t="shared" si="0"/>
        <v>-495612</v>
      </c>
      <c r="F34" s="137">
        <v>-123903</v>
      </c>
      <c r="G34" s="137">
        <v>-123903</v>
      </c>
      <c r="H34" s="137">
        <v>-123903</v>
      </c>
      <c r="I34" s="137">
        <v>-123903</v>
      </c>
      <c r="J34" s="92"/>
    </row>
    <row r="35" spans="1:10" s="39" customFormat="1" ht="19.5" customHeight="1">
      <c r="A35" s="62"/>
      <c r="B35" s="186">
        <v>75832</v>
      </c>
      <c r="C35" s="209" t="s">
        <v>162</v>
      </c>
      <c r="D35" s="246"/>
      <c r="E35" s="250">
        <f t="shared" si="0"/>
        <v>1071851</v>
      </c>
      <c r="F35" s="246">
        <v>267962</v>
      </c>
      <c r="G35" s="246">
        <v>267963</v>
      </c>
      <c r="H35" s="246">
        <v>267963</v>
      </c>
      <c r="I35" s="246">
        <v>267963</v>
      </c>
      <c r="J35" s="92"/>
    </row>
    <row r="36" spans="1:10" s="39" customFormat="1" ht="19.5" customHeight="1">
      <c r="A36" s="62"/>
      <c r="B36" s="123"/>
      <c r="C36" s="211"/>
      <c r="D36" s="212"/>
      <c r="E36" s="137">
        <f t="shared" si="0"/>
        <v>427</v>
      </c>
      <c r="F36" s="137">
        <v>107</v>
      </c>
      <c r="G36" s="137">
        <v>107</v>
      </c>
      <c r="H36" s="137">
        <v>107</v>
      </c>
      <c r="I36" s="137">
        <v>106</v>
      </c>
      <c r="J36" s="92"/>
    </row>
    <row r="37" spans="1:9" s="241" customFormat="1" ht="20.25" customHeight="1">
      <c r="A37" s="169"/>
      <c r="B37" s="169"/>
      <c r="C37" s="239" t="s">
        <v>147</v>
      </c>
      <c r="D37" s="240">
        <f>SUM(E37:H37)</f>
        <v>22819000</v>
      </c>
      <c r="E37" s="240">
        <f t="shared" si="0"/>
        <v>12988000</v>
      </c>
      <c r="F37" s="240">
        <f>2280000+F40+F43</f>
        <v>3370000</v>
      </c>
      <c r="G37" s="240">
        <f>2539000+G40+G43</f>
        <v>3279000</v>
      </c>
      <c r="H37" s="240">
        <f>2342000+H40+H43</f>
        <v>3182000</v>
      </c>
      <c r="I37" s="240">
        <f>2497000+I40+I43</f>
        <v>3157000</v>
      </c>
    </row>
    <row r="38" spans="1:9" s="7" customFormat="1" ht="20.25" customHeight="1" thickBot="1">
      <c r="A38" s="242"/>
      <c r="B38" s="242"/>
      <c r="C38" s="234" t="s">
        <v>213</v>
      </c>
      <c r="D38" s="243"/>
      <c r="E38" s="243">
        <f t="shared" si="0"/>
        <v>10188000</v>
      </c>
      <c r="F38" s="192">
        <f>2280000+F40</f>
        <v>2380000</v>
      </c>
      <c r="G38" s="192">
        <f>2539000+G40</f>
        <v>2689000</v>
      </c>
      <c r="H38" s="192">
        <f>2342000+H40</f>
        <v>2492000</v>
      </c>
      <c r="I38" s="192">
        <f>2497000+I40</f>
        <v>2627000</v>
      </c>
    </row>
    <row r="39" spans="1:9" ht="19.5" customHeight="1" thickTop="1">
      <c r="A39" s="12">
        <v>600</v>
      </c>
      <c r="B39" s="12"/>
      <c r="C39" s="133" t="s">
        <v>138</v>
      </c>
      <c r="D39" s="244"/>
      <c r="E39" s="244">
        <f t="shared" si="0"/>
        <v>530000</v>
      </c>
      <c r="F39" s="244">
        <f>F40</f>
        <v>100000</v>
      </c>
      <c r="G39" s="244">
        <f>G40</f>
        <v>150000</v>
      </c>
      <c r="H39" s="244">
        <f>H40</f>
        <v>150000</v>
      </c>
      <c r="I39" s="244">
        <f>I40</f>
        <v>130000</v>
      </c>
    </row>
    <row r="40" spans="1:9" s="7" customFormat="1" ht="19.5" customHeight="1">
      <c r="A40" s="503"/>
      <c r="B40" s="504">
        <v>60016</v>
      </c>
      <c r="C40" s="155" t="s">
        <v>139</v>
      </c>
      <c r="D40" s="245"/>
      <c r="E40" s="245">
        <f t="shared" si="0"/>
        <v>530000</v>
      </c>
      <c r="F40" s="245">
        <v>100000</v>
      </c>
      <c r="G40" s="245">
        <v>150000</v>
      </c>
      <c r="H40" s="245">
        <v>150000</v>
      </c>
      <c r="I40" s="245">
        <v>130000</v>
      </c>
    </row>
    <row r="41" spans="1:9" s="7" customFormat="1" ht="20.25" customHeight="1" thickBot="1">
      <c r="A41" s="242"/>
      <c r="B41" s="242"/>
      <c r="C41" s="234" t="s">
        <v>214</v>
      </c>
      <c r="D41" s="243"/>
      <c r="E41" s="243">
        <f t="shared" si="0"/>
        <v>2800000</v>
      </c>
      <c r="F41" s="192">
        <f>F43</f>
        <v>990000</v>
      </c>
      <c r="G41" s="192">
        <f>G43</f>
        <v>590000</v>
      </c>
      <c r="H41" s="192">
        <f>H43</f>
        <v>690000</v>
      </c>
      <c r="I41" s="192">
        <f>I43</f>
        <v>530000</v>
      </c>
    </row>
    <row r="42" spans="1:9" ht="19.5" customHeight="1" thickTop="1">
      <c r="A42" s="12">
        <v>600</v>
      </c>
      <c r="B42" s="12"/>
      <c r="C42" s="133" t="s">
        <v>138</v>
      </c>
      <c r="D42" s="244"/>
      <c r="E42" s="244">
        <f t="shared" si="0"/>
        <v>2800000</v>
      </c>
      <c r="F42" s="244">
        <f>F43</f>
        <v>990000</v>
      </c>
      <c r="G42" s="244">
        <f>G43</f>
        <v>590000</v>
      </c>
      <c r="H42" s="244">
        <f>H43</f>
        <v>690000</v>
      </c>
      <c r="I42" s="244">
        <f>I43</f>
        <v>530000</v>
      </c>
    </row>
    <row r="43" spans="1:9" s="7" customFormat="1" ht="19.5" customHeight="1">
      <c r="A43" s="503"/>
      <c r="B43" s="504">
        <v>60015</v>
      </c>
      <c r="C43" s="155" t="s">
        <v>143</v>
      </c>
      <c r="D43" s="245"/>
      <c r="E43" s="245">
        <f t="shared" si="0"/>
        <v>2800000</v>
      </c>
      <c r="F43" s="245">
        <v>990000</v>
      </c>
      <c r="G43" s="245">
        <v>590000</v>
      </c>
      <c r="H43" s="245">
        <v>690000</v>
      </c>
      <c r="I43" s="245">
        <v>530000</v>
      </c>
    </row>
    <row r="44" spans="1:9" s="241" customFormat="1" ht="20.25" customHeight="1">
      <c r="A44" s="169"/>
      <c r="B44" s="169"/>
      <c r="C44" s="239" t="s">
        <v>73</v>
      </c>
      <c r="D44" s="240">
        <f>SUM(E44:H44)</f>
        <v>22170</v>
      </c>
      <c r="E44" s="240">
        <f t="shared" si="0"/>
        <v>21470</v>
      </c>
      <c r="F44" s="240">
        <f>1300+F48</f>
        <v>500</v>
      </c>
      <c r="G44" s="240">
        <f>1300+G48</f>
        <v>100</v>
      </c>
      <c r="H44" s="240">
        <f>1300+H48</f>
        <v>100</v>
      </c>
      <c r="I44" s="240">
        <f>21970+I48</f>
        <v>20770</v>
      </c>
    </row>
    <row r="45" spans="1:9" ht="19.5" customHeight="1" thickBot="1">
      <c r="A45" s="242"/>
      <c r="B45" s="242"/>
      <c r="C45" s="207" t="s">
        <v>214</v>
      </c>
      <c r="D45" s="243"/>
      <c r="E45" s="243">
        <f t="shared" si="0"/>
        <v>800</v>
      </c>
      <c r="F45" s="192">
        <f>1300+F48</f>
        <v>500</v>
      </c>
      <c r="G45" s="192">
        <f>1300+G48</f>
        <v>100</v>
      </c>
      <c r="H45" s="192">
        <f>1300+H48</f>
        <v>100</v>
      </c>
      <c r="I45" s="192">
        <f>1300+I48</f>
        <v>100</v>
      </c>
    </row>
    <row r="46" spans="1:9" s="39" customFormat="1" ht="19.5" customHeight="1" thickTop="1">
      <c r="A46" s="95">
        <v>700</v>
      </c>
      <c r="B46" s="12"/>
      <c r="C46" s="100" t="s">
        <v>134</v>
      </c>
      <c r="D46" s="125"/>
      <c r="E46" s="125">
        <f t="shared" si="0"/>
        <v>400</v>
      </c>
      <c r="F46" s="125">
        <f>1200+F48</f>
        <v>400</v>
      </c>
      <c r="G46" s="125">
        <f>1200+G48</f>
        <v>0</v>
      </c>
      <c r="H46" s="125">
        <f>1200+H48</f>
        <v>0</v>
      </c>
      <c r="I46" s="125">
        <f>1200+I48</f>
        <v>0</v>
      </c>
    </row>
    <row r="47" spans="1:9" s="39" customFormat="1" ht="25.5" customHeight="1">
      <c r="A47" s="62"/>
      <c r="B47" s="186">
        <v>70005</v>
      </c>
      <c r="C47" s="209" t="s">
        <v>31</v>
      </c>
      <c r="D47" s="210"/>
      <c r="E47" s="210">
        <f t="shared" si="0"/>
        <v>4800</v>
      </c>
      <c r="F47" s="210">
        <v>1200</v>
      </c>
      <c r="G47" s="210">
        <v>1200</v>
      </c>
      <c r="H47" s="210">
        <v>1200</v>
      </c>
      <c r="I47" s="210">
        <v>1200</v>
      </c>
    </row>
    <row r="48" spans="1:10" s="39" customFormat="1" ht="19.5" customHeight="1">
      <c r="A48" s="74"/>
      <c r="B48" s="123"/>
      <c r="C48" s="211"/>
      <c r="D48" s="212"/>
      <c r="E48" s="137">
        <f t="shared" si="0"/>
        <v>-4400</v>
      </c>
      <c r="F48" s="137">
        <v>-800</v>
      </c>
      <c r="G48" s="137">
        <v>-1200</v>
      </c>
      <c r="H48" s="137">
        <v>-1200</v>
      </c>
      <c r="I48" s="137">
        <v>-1200</v>
      </c>
      <c r="J48" s="92"/>
    </row>
    <row r="52" spans="3:7" ht="12.75">
      <c r="C52" s="570" t="s">
        <v>221</v>
      </c>
      <c r="D52" s="25"/>
      <c r="E52" s="103"/>
      <c r="G52" s="571" t="s">
        <v>223</v>
      </c>
    </row>
    <row r="53" spans="3:7" ht="12.75">
      <c r="C53" s="570"/>
      <c r="D53" s="25"/>
      <c r="E53" s="103"/>
      <c r="G53" s="571" t="s">
        <v>224</v>
      </c>
    </row>
    <row r="54" spans="3:7" ht="12.75">
      <c r="C54" s="570" t="s">
        <v>222</v>
      </c>
      <c r="D54" s="25"/>
      <c r="E54" s="103"/>
      <c r="G54" s="571" t="s">
        <v>225</v>
      </c>
    </row>
  </sheetData>
  <mergeCells count="8">
    <mergeCell ref="H7:H8"/>
    <mergeCell ref="I7:I8"/>
    <mergeCell ref="F7:F8"/>
    <mergeCell ref="E7:E8"/>
    <mergeCell ref="A7:A8"/>
    <mergeCell ref="B7:B8"/>
    <mergeCell ref="C7:C8"/>
    <mergeCell ref="G7:G8"/>
  </mergeCells>
  <printOptions horizontalCentered="1"/>
  <pageMargins left="0.5905511811023623" right="0.5905511811023623" top="0.4724409448818898" bottom="0.5905511811023623" header="0.31496062992125984" footer="0.31496062992125984"/>
  <pageSetup firstPageNumber="19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workbookViewId="0" topLeftCell="A1">
      <selection activeCell="J54" sqref="J54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60.375" style="0" customWidth="1"/>
    <col min="4" max="8" width="15.75390625" style="0" customWidth="1"/>
    <col min="9" max="9" width="11.00390625" style="0" bestFit="1" customWidth="1"/>
    <col min="10" max="10" width="16.875" style="0" customWidth="1"/>
    <col min="11" max="11" width="10.375" style="0" bestFit="1" customWidth="1"/>
  </cols>
  <sheetData>
    <row r="1" ht="15" customHeight="1">
      <c r="G1" s="24" t="s">
        <v>176</v>
      </c>
    </row>
    <row r="2" spans="1:7" ht="15" customHeight="1">
      <c r="A2" s="93"/>
      <c r="G2" s="162" t="s">
        <v>215</v>
      </c>
    </row>
    <row r="3" spans="1:7" ht="15" customHeight="1">
      <c r="A3" s="93"/>
      <c r="B3" s="93" t="s">
        <v>115</v>
      </c>
      <c r="G3" s="162" t="s">
        <v>34</v>
      </c>
    </row>
    <row r="4" spans="3:7" ht="15" customHeight="1">
      <c r="C4" s="93"/>
      <c r="G4" s="40" t="s">
        <v>217</v>
      </c>
    </row>
    <row r="5" ht="15" customHeight="1" thickBot="1">
      <c r="H5" s="107" t="s">
        <v>1</v>
      </c>
    </row>
    <row r="6" spans="1:8" s="2" customFormat="1" ht="18" customHeight="1" thickTop="1">
      <c r="A6" s="561" t="s">
        <v>36</v>
      </c>
      <c r="B6" s="561" t="s">
        <v>2</v>
      </c>
      <c r="C6" s="553" t="s">
        <v>47</v>
      </c>
      <c r="D6" s="553" t="s">
        <v>114</v>
      </c>
      <c r="E6" s="561" t="s">
        <v>48</v>
      </c>
      <c r="F6" s="561" t="s">
        <v>49</v>
      </c>
      <c r="G6" s="553" t="s">
        <v>50</v>
      </c>
      <c r="H6" s="561" t="s">
        <v>51</v>
      </c>
    </row>
    <row r="7" spans="1:8" s="2" customFormat="1" ht="25.5" customHeight="1" thickBot="1">
      <c r="A7" s="562"/>
      <c r="B7" s="562"/>
      <c r="C7" s="565"/>
      <c r="D7" s="562"/>
      <c r="E7" s="562"/>
      <c r="F7" s="562"/>
      <c r="G7" s="565"/>
      <c r="H7" s="562"/>
    </row>
    <row r="8" spans="1:16" s="11" customFormat="1" ht="15.75" customHeight="1" thickBot="1" thickTop="1">
      <c r="A8" s="8">
        <v>1</v>
      </c>
      <c r="B8" s="8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"/>
      <c r="J8" s="213"/>
      <c r="K8" s="1"/>
      <c r="L8" s="1"/>
      <c r="M8" s="1"/>
      <c r="N8" s="1"/>
      <c r="O8" s="1"/>
      <c r="P8" s="1"/>
    </row>
    <row r="9" spans="1:10" ht="18" customHeight="1" thickBot="1" thickTop="1">
      <c r="A9" s="14"/>
      <c r="B9" s="15"/>
      <c r="C9" s="197" t="s">
        <v>5</v>
      </c>
      <c r="D9" s="198">
        <f>SUM(E9:H9)</f>
        <v>782736120</v>
      </c>
      <c r="E9" s="198">
        <f>195656182+E16+E25+E30+E42+E37+E47+E18+E20+E33</f>
        <v>195688882</v>
      </c>
      <c r="F9" s="198">
        <f>184873994+F16+F25+F30+F42+F37+F47+F18+F20+F33</f>
        <v>185823094</v>
      </c>
      <c r="G9" s="198">
        <f>193309265+G16+G25+G30+G42+G37+G47+G18+G20+G33</f>
        <v>195397354</v>
      </c>
      <c r="H9" s="198">
        <f>203737690+H16+H25+H30+H42+H37+H47+H18+H20+H33</f>
        <v>205826790</v>
      </c>
      <c r="J9" s="17"/>
    </row>
    <row r="10" spans="1:8" ht="13.5" customHeight="1">
      <c r="A10" s="14"/>
      <c r="B10" s="14"/>
      <c r="C10" s="214" t="s">
        <v>53</v>
      </c>
      <c r="D10" s="215"/>
      <c r="E10" s="215"/>
      <c r="F10" s="216"/>
      <c r="G10" s="216"/>
      <c r="H10" s="216"/>
    </row>
    <row r="11" spans="1:11" ht="14.25" customHeight="1">
      <c r="A11" s="14"/>
      <c r="B11" s="14"/>
      <c r="C11" s="166" t="s">
        <v>40</v>
      </c>
      <c r="D11" s="167">
        <f aca="true" t="shared" si="0" ref="D11:D42">SUM(E11:H11)</f>
        <v>319561858</v>
      </c>
      <c r="E11" s="167">
        <f>62391430+E16+E25+E30+E18+E20+E33</f>
        <v>62436430</v>
      </c>
      <c r="F11" s="167">
        <f>74723664+F16+F25+F30+F18+F20+F33</f>
        <v>75668664</v>
      </c>
      <c r="G11" s="167">
        <f>86610265+G16+G25+G30+G18+G20+G33</f>
        <v>88694254</v>
      </c>
      <c r="H11" s="167">
        <f>90927510+H16+H25+H30+H18+H20+H33</f>
        <v>92762510</v>
      </c>
      <c r="I11" s="17"/>
      <c r="J11" s="17"/>
      <c r="K11" s="17"/>
    </row>
    <row r="12" spans="1:8" s="179" customFormat="1" ht="16.5" customHeight="1">
      <c r="A12" s="169"/>
      <c r="B12" s="169"/>
      <c r="C12" s="169" t="s">
        <v>182</v>
      </c>
      <c r="D12" s="170">
        <f t="shared" si="0"/>
        <v>53536400</v>
      </c>
      <c r="E12" s="170">
        <f>11373950+E16+E18+E20</f>
        <v>11418950</v>
      </c>
      <c r="F12" s="170">
        <f>12273610+F16+F18+F20</f>
        <v>13218610</v>
      </c>
      <c r="G12" s="170">
        <f>13930610+G16+G18+G20</f>
        <v>14735610</v>
      </c>
      <c r="H12" s="170">
        <f>12628230+H16+H18+H20</f>
        <v>14163230</v>
      </c>
    </row>
    <row r="13" spans="1:8" ht="19.5" customHeight="1" thickBot="1">
      <c r="A13" s="13"/>
      <c r="B13" s="13"/>
      <c r="C13" s="16" t="s">
        <v>44</v>
      </c>
      <c r="D13" s="23">
        <f t="shared" si="0"/>
        <v>53536400</v>
      </c>
      <c r="E13" s="23">
        <f>11373950+E16+E18+E20</f>
        <v>11418950</v>
      </c>
      <c r="F13" s="23">
        <f>12273610+F16+F18+F20</f>
        <v>13218610</v>
      </c>
      <c r="G13" s="23">
        <f>13930610+G16+G18+G20</f>
        <v>14735610</v>
      </c>
      <c r="H13" s="23">
        <f>12628230+H16+H18+H20</f>
        <v>14163230</v>
      </c>
    </row>
    <row r="14" spans="1:8" s="2" customFormat="1" ht="19.5" customHeight="1" thickTop="1">
      <c r="A14" s="6">
        <v>600</v>
      </c>
      <c r="B14" s="6"/>
      <c r="C14" s="6" t="s">
        <v>138</v>
      </c>
      <c r="D14" s="18">
        <f t="shared" si="0"/>
        <v>26390000</v>
      </c>
      <c r="E14" s="18">
        <f>4274000+E16+E18+E20</f>
        <v>4319000</v>
      </c>
      <c r="F14" s="18">
        <f>4799000+F16+F18+F20</f>
        <v>5744000</v>
      </c>
      <c r="G14" s="18">
        <f>6989000+G16+G18+G20</f>
        <v>7794000</v>
      </c>
      <c r="H14" s="18">
        <f>6998000+H16+H18+H20</f>
        <v>8533000</v>
      </c>
    </row>
    <row r="15" spans="1:8" s="1" customFormat="1" ht="19.5" customHeight="1">
      <c r="A15" s="247"/>
      <c r="B15" s="36">
        <v>60015</v>
      </c>
      <c r="C15" s="252" t="s">
        <v>143</v>
      </c>
      <c r="D15" s="217">
        <f t="shared" si="0"/>
        <v>12620000</v>
      </c>
      <c r="E15" s="217">
        <v>1233000</v>
      </c>
      <c r="F15" s="217">
        <f>2085000+50000</f>
        <v>2135000</v>
      </c>
      <c r="G15" s="217">
        <v>4197000</v>
      </c>
      <c r="H15" s="217">
        <v>5055000</v>
      </c>
    </row>
    <row r="16" spans="1:8" s="7" customFormat="1" ht="18" customHeight="1">
      <c r="A16" s="180"/>
      <c r="B16" s="155"/>
      <c r="C16" s="159"/>
      <c r="D16" s="154">
        <f t="shared" si="0"/>
        <v>2800000</v>
      </c>
      <c r="E16" s="154">
        <v>45000</v>
      </c>
      <c r="F16" s="154">
        <v>845000</v>
      </c>
      <c r="G16" s="154">
        <v>665000</v>
      </c>
      <c r="H16" s="154">
        <v>1245000</v>
      </c>
    </row>
    <row r="17" spans="1:8" s="1" customFormat="1" ht="19.5" customHeight="1">
      <c r="A17" s="247"/>
      <c r="B17" s="36">
        <v>60016</v>
      </c>
      <c r="C17" s="252" t="s">
        <v>139</v>
      </c>
      <c r="D17" s="217">
        <f t="shared" si="0"/>
        <v>3810000</v>
      </c>
      <c r="E17" s="217">
        <v>488000</v>
      </c>
      <c r="F17" s="217">
        <v>1087000</v>
      </c>
      <c r="G17" s="217">
        <v>1145000</v>
      </c>
      <c r="H17" s="217">
        <v>1090000</v>
      </c>
    </row>
    <row r="18" spans="1:8" s="7" customFormat="1" ht="18" customHeight="1">
      <c r="A18" s="180"/>
      <c r="B18" s="155"/>
      <c r="C18" s="159"/>
      <c r="D18" s="154">
        <f t="shared" si="0"/>
        <v>430000</v>
      </c>
      <c r="E18" s="154"/>
      <c r="F18" s="154">
        <v>60000</v>
      </c>
      <c r="G18" s="154">
        <v>100000</v>
      </c>
      <c r="H18" s="154">
        <v>270000</v>
      </c>
    </row>
    <row r="19" spans="1:8" s="1" customFormat="1" ht="19.5" customHeight="1">
      <c r="A19" s="247"/>
      <c r="B19" s="36">
        <v>60017</v>
      </c>
      <c r="C19" s="252" t="s">
        <v>145</v>
      </c>
      <c r="D19" s="217">
        <f t="shared" si="0"/>
        <v>330000</v>
      </c>
      <c r="E19" s="217">
        <v>53000</v>
      </c>
      <c r="F19" s="217">
        <v>77000</v>
      </c>
      <c r="G19" s="217">
        <v>147000</v>
      </c>
      <c r="H19" s="217">
        <v>53000</v>
      </c>
    </row>
    <row r="20" spans="1:8" s="7" customFormat="1" ht="18" customHeight="1">
      <c r="A20" s="180"/>
      <c r="B20" s="155"/>
      <c r="C20" s="159"/>
      <c r="D20" s="154">
        <f t="shared" si="0"/>
        <v>100000</v>
      </c>
      <c r="E20" s="154"/>
      <c r="F20" s="154">
        <v>40000</v>
      </c>
      <c r="G20" s="154">
        <v>40000</v>
      </c>
      <c r="H20" s="154">
        <v>20000</v>
      </c>
    </row>
    <row r="21" spans="1:8" s="179" customFormat="1" ht="19.5" customHeight="1">
      <c r="A21" s="169"/>
      <c r="B21" s="169"/>
      <c r="C21" s="169" t="s">
        <v>183</v>
      </c>
      <c r="D21" s="170">
        <f t="shared" si="0"/>
        <v>53526630</v>
      </c>
      <c r="E21" s="170">
        <f>15960684+E25</f>
        <v>15960684</v>
      </c>
      <c r="F21" s="170">
        <f>14354575+F25</f>
        <v>14354575</v>
      </c>
      <c r="G21" s="170">
        <f>11924044+G25</f>
        <v>12024044</v>
      </c>
      <c r="H21" s="170">
        <f>10987327+H25</f>
        <v>11187327</v>
      </c>
    </row>
    <row r="22" spans="1:8" ht="19.5" customHeight="1" thickBot="1">
      <c r="A22" s="13"/>
      <c r="B22" s="13"/>
      <c r="C22" s="16" t="s">
        <v>44</v>
      </c>
      <c r="D22" s="23">
        <f t="shared" si="0"/>
        <v>53030630</v>
      </c>
      <c r="E22" s="23">
        <f>15821220+E25</f>
        <v>15821220</v>
      </c>
      <c r="F22" s="23">
        <f>14232400+F25</f>
        <v>14232400</v>
      </c>
      <c r="G22" s="23">
        <f>11806530+G25</f>
        <v>11906530</v>
      </c>
      <c r="H22" s="23">
        <f>10870480+H25</f>
        <v>11070480</v>
      </c>
    </row>
    <row r="23" spans="1:8" ht="19.5" customHeight="1" thickTop="1">
      <c r="A23" s="6">
        <v>700</v>
      </c>
      <c r="B23" s="6"/>
      <c r="C23" s="6" t="s">
        <v>63</v>
      </c>
      <c r="D23" s="18">
        <f t="shared" si="0"/>
        <v>4525000</v>
      </c>
      <c r="E23" s="18">
        <f>550000+E25</f>
        <v>550000</v>
      </c>
      <c r="F23" s="18">
        <f>1437500+F25</f>
        <v>1437500</v>
      </c>
      <c r="G23" s="18">
        <f>1717500+G25</f>
        <v>1817500</v>
      </c>
      <c r="H23" s="18">
        <f>520000+H25</f>
        <v>720000</v>
      </c>
    </row>
    <row r="24" spans="1:8" s="1" customFormat="1" ht="19.5" customHeight="1">
      <c r="A24" s="247"/>
      <c r="B24" s="36">
        <v>70001</v>
      </c>
      <c r="C24" s="252" t="s">
        <v>110</v>
      </c>
      <c r="D24" s="217">
        <f t="shared" si="0"/>
        <v>4000000</v>
      </c>
      <c r="E24" s="217">
        <v>500000</v>
      </c>
      <c r="F24" s="217">
        <v>1300000</v>
      </c>
      <c r="G24" s="217">
        <v>1700000</v>
      </c>
      <c r="H24" s="217">
        <v>500000</v>
      </c>
    </row>
    <row r="25" spans="1:8" s="7" customFormat="1" ht="18" customHeight="1">
      <c r="A25" s="180"/>
      <c r="B25" s="155"/>
      <c r="C25" s="159"/>
      <c r="D25" s="154">
        <f t="shared" si="0"/>
        <v>300000</v>
      </c>
      <c r="E25" s="154"/>
      <c r="F25" s="154"/>
      <c r="G25" s="154">
        <v>100000</v>
      </c>
      <c r="H25" s="154">
        <v>200000</v>
      </c>
    </row>
    <row r="26" spans="1:8" s="179" customFormat="1" ht="19.5" customHeight="1">
      <c r="A26" s="169"/>
      <c r="B26" s="169"/>
      <c r="C26" s="169" t="s">
        <v>184</v>
      </c>
      <c r="D26" s="170">
        <f t="shared" si="0"/>
        <v>72951989</v>
      </c>
      <c r="E26" s="170">
        <f>11598000+E30+E33</f>
        <v>11598000</v>
      </c>
      <c r="F26" s="170">
        <f>15845000+F30+F33</f>
        <v>15845000</v>
      </c>
      <c r="G26" s="170">
        <f>24640000+G30+G33</f>
        <v>25818989</v>
      </c>
      <c r="H26" s="170">
        <f>19590000+H30+H33</f>
        <v>19690000</v>
      </c>
    </row>
    <row r="27" spans="1:8" ht="19.5" customHeight="1" thickBot="1">
      <c r="A27" s="13"/>
      <c r="B27" s="13"/>
      <c r="C27" s="16" t="s">
        <v>44</v>
      </c>
      <c r="D27" s="23">
        <f t="shared" si="0"/>
        <v>72951989</v>
      </c>
      <c r="E27" s="23">
        <f>11598000+E30+E33</f>
        <v>11598000</v>
      </c>
      <c r="F27" s="23">
        <f>15845000+F30+F33</f>
        <v>15845000</v>
      </c>
      <c r="G27" s="23">
        <f>24640000+G30+G33</f>
        <v>25818989</v>
      </c>
      <c r="H27" s="23">
        <f>19590000+H30+H33</f>
        <v>19690000</v>
      </c>
    </row>
    <row r="28" spans="1:8" ht="19.5" customHeight="1" thickTop="1">
      <c r="A28" s="6">
        <v>801</v>
      </c>
      <c r="B28" s="6"/>
      <c r="C28" s="6" t="s">
        <v>22</v>
      </c>
      <c r="D28" s="18">
        <f t="shared" si="0"/>
        <v>11988989</v>
      </c>
      <c r="E28" s="18">
        <f>2730000+E30</f>
        <v>2730000</v>
      </c>
      <c r="F28" s="18">
        <f>2600000+F30</f>
        <v>2600000</v>
      </c>
      <c r="G28" s="18">
        <f>3310000+G30</f>
        <v>4488989</v>
      </c>
      <c r="H28" s="18">
        <f>2170000+H30</f>
        <v>2170000</v>
      </c>
    </row>
    <row r="29" spans="1:8" s="1" customFormat="1" ht="19.5" customHeight="1">
      <c r="A29" s="247"/>
      <c r="B29" s="218">
        <v>80101</v>
      </c>
      <c r="C29" s="218" t="s">
        <v>28</v>
      </c>
      <c r="D29" s="217">
        <f t="shared" si="0"/>
        <v>5710000</v>
      </c>
      <c r="E29" s="217">
        <v>1200000</v>
      </c>
      <c r="F29" s="217">
        <v>1000000</v>
      </c>
      <c r="G29" s="217">
        <v>2000000</v>
      </c>
      <c r="H29" s="217">
        <v>1510000</v>
      </c>
    </row>
    <row r="30" spans="1:8" s="7" customFormat="1" ht="18" customHeight="1">
      <c r="A30" s="184"/>
      <c r="B30" s="155"/>
      <c r="C30" s="159"/>
      <c r="D30" s="154">
        <f t="shared" si="0"/>
        <v>1178989</v>
      </c>
      <c r="E30" s="154"/>
      <c r="F30" s="154"/>
      <c r="G30" s="154">
        <f>598989+580000</f>
        <v>1178989</v>
      </c>
      <c r="H30" s="154"/>
    </row>
    <row r="31" spans="1:8" ht="19.5" customHeight="1">
      <c r="A31" s="6">
        <v>926</v>
      </c>
      <c r="B31" s="6"/>
      <c r="C31" s="6" t="s">
        <v>148</v>
      </c>
      <c r="D31" s="18">
        <f t="shared" si="0"/>
        <v>11350000</v>
      </c>
      <c r="E31" s="18">
        <f>680000+E33</f>
        <v>680000</v>
      </c>
      <c r="F31" s="18">
        <f>1920000+F33</f>
        <v>1920000</v>
      </c>
      <c r="G31" s="18">
        <f>4900000+G33</f>
        <v>4900000</v>
      </c>
      <c r="H31" s="18">
        <f>3750000+H33</f>
        <v>3850000</v>
      </c>
    </row>
    <row r="32" spans="1:8" s="1" customFormat="1" ht="19.5" customHeight="1">
      <c r="A32" s="247"/>
      <c r="B32" s="36">
        <v>92604</v>
      </c>
      <c r="C32" s="252" t="s">
        <v>151</v>
      </c>
      <c r="D32" s="217">
        <f t="shared" si="0"/>
        <v>10800000</v>
      </c>
      <c r="E32" s="217">
        <v>570000</v>
      </c>
      <c r="F32" s="217">
        <v>1730000</v>
      </c>
      <c r="G32" s="217">
        <v>4800000</v>
      </c>
      <c r="H32" s="217">
        <v>3700000</v>
      </c>
    </row>
    <row r="33" spans="1:8" s="7" customFormat="1" ht="17.25" customHeight="1">
      <c r="A33" s="184"/>
      <c r="B33" s="155"/>
      <c r="C33" s="159"/>
      <c r="D33" s="154">
        <f t="shared" si="0"/>
        <v>100000</v>
      </c>
      <c r="E33" s="154"/>
      <c r="F33" s="154"/>
      <c r="G33" s="154"/>
      <c r="H33" s="154">
        <v>100000</v>
      </c>
    </row>
    <row r="34" spans="1:8" s="1" customFormat="1" ht="19.5" customHeight="1">
      <c r="A34" s="35"/>
      <c r="B34" s="35"/>
      <c r="C34" s="169" t="s">
        <v>209</v>
      </c>
      <c r="D34" s="205">
        <f t="shared" si="0"/>
        <v>75600</v>
      </c>
      <c r="E34" s="170">
        <f>E37</f>
        <v>6600</v>
      </c>
      <c r="F34" s="170">
        <f>F37</f>
        <v>23000</v>
      </c>
      <c r="G34" s="170">
        <f>G37</f>
        <v>23000</v>
      </c>
      <c r="H34" s="170">
        <f>H37</f>
        <v>23000</v>
      </c>
    </row>
    <row r="35" spans="1:8" ht="29.25" customHeight="1" thickBot="1">
      <c r="A35" s="13"/>
      <c r="B35" s="13"/>
      <c r="C35" s="182" t="s">
        <v>94</v>
      </c>
      <c r="D35" s="23">
        <f t="shared" si="0"/>
        <v>75600</v>
      </c>
      <c r="E35" s="23">
        <f>E37</f>
        <v>6600</v>
      </c>
      <c r="F35" s="23">
        <f>F37</f>
        <v>23000</v>
      </c>
      <c r="G35" s="23">
        <f>G37</f>
        <v>23000</v>
      </c>
      <c r="H35" s="23">
        <f>H37</f>
        <v>23000</v>
      </c>
    </row>
    <row r="36" spans="1:8" ht="19.5" customHeight="1" thickTop="1">
      <c r="A36" s="6">
        <v>852</v>
      </c>
      <c r="B36" s="6"/>
      <c r="C36" s="117" t="s">
        <v>23</v>
      </c>
      <c r="D36" s="18">
        <f t="shared" si="0"/>
        <v>75600</v>
      </c>
      <c r="E36" s="18">
        <f>E37</f>
        <v>6600</v>
      </c>
      <c r="F36" s="18">
        <f>F37</f>
        <v>23000</v>
      </c>
      <c r="G36" s="18">
        <f>G37</f>
        <v>23000</v>
      </c>
      <c r="H36" s="18">
        <f>H37</f>
        <v>23000</v>
      </c>
    </row>
    <row r="37" spans="1:8" s="7" customFormat="1" ht="19.5" customHeight="1">
      <c r="A37" s="180"/>
      <c r="B37" s="251">
        <v>85203</v>
      </c>
      <c r="C37" s="281" t="s">
        <v>130</v>
      </c>
      <c r="D37" s="505">
        <f t="shared" si="0"/>
        <v>75600</v>
      </c>
      <c r="E37" s="505">
        <v>6600</v>
      </c>
      <c r="F37" s="505">
        <v>23000</v>
      </c>
      <c r="G37" s="154">
        <v>23000</v>
      </c>
      <c r="H37" s="154">
        <v>23000</v>
      </c>
    </row>
    <row r="38" spans="1:8" s="1" customFormat="1" ht="19.5" customHeight="1">
      <c r="A38" s="35"/>
      <c r="B38" s="35"/>
      <c r="C38" s="169" t="s">
        <v>120</v>
      </c>
      <c r="D38" s="205">
        <f t="shared" si="0"/>
        <v>13158000</v>
      </c>
      <c r="E38" s="170">
        <f>3366800+E42</f>
        <v>3366800</v>
      </c>
      <c r="F38" s="170">
        <f>3596800+F42</f>
        <v>3596800</v>
      </c>
      <c r="G38" s="170">
        <f>2883400+G42</f>
        <v>2883400</v>
      </c>
      <c r="H38" s="170">
        <f>3061000+H42</f>
        <v>3311000</v>
      </c>
    </row>
    <row r="39" spans="1:8" ht="19.5" customHeight="1" thickBot="1">
      <c r="A39" s="13"/>
      <c r="B39" s="13"/>
      <c r="C39" s="16" t="s">
        <v>6</v>
      </c>
      <c r="D39" s="23">
        <f t="shared" si="0"/>
        <v>300000</v>
      </c>
      <c r="E39" s="23"/>
      <c r="F39" s="23"/>
      <c r="G39" s="23"/>
      <c r="H39" s="23">
        <f>50000+H42</f>
        <v>300000</v>
      </c>
    </row>
    <row r="40" spans="1:8" ht="19.5" customHeight="1" thickTop="1">
      <c r="A40" s="6">
        <v>754</v>
      </c>
      <c r="B40" s="6"/>
      <c r="C40" s="133" t="s">
        <v>116</v>
      </c>
      <c r="D40" s="18">
        <f t="shared" si="0"/>
        <v>300000</v>
      </c>
      <c r="E40" s="18"/>
      <c r="F40" s="18"/>
      <c r="G40" s="18"/>
      <c r="H40" s="18">
        <f>50000+H42</f>
        <v>300000</v>
      </c>
    </row>
    <row r="41" spans="1:8" ht="19.5" customHeight="1">
      <c r="A41" s="14"/>
      <c r="B41" s="218">
        <v>75411</v>
      </c>
      <c r="C41" s="111" t="s">
        <v>117</v>
      </c>
      <c r="D41" s="217">
        <f t="shared" si="0"/>
        <v>50000</v>
      </c>
      <c r="E41" s="217"/>
      <c r="F41" s="217"/>
      <c r="G41" s="217"/>
      <c r="H41" s="217">
        <v>50000</v>
      </c>
    </row>
    <row r="42" spans="1:8" s="7" customFormat="1" ht="17.25" customHeight="1">
      <c r="A42" s="180"/>
      <c r="B42" s="155"/>
      <c r="C42" s="159"/>
      <c r="D42" s="154">
        <f t="shared" si="0"/>
        <v>250000</v>
      </c>
      <c r="E42" s="154"/>
      <c r="F42" s="154"/>
      <c r="G42" s="154"/>
      <c r="H42" s="154">
        <v>250000</v>
      </c>
    </row>
    <row r="43" spans="1:8" s="1" customFormat="1" ht="19.5" customHeight="1">
      <c r="A43" s="35"/>
      <c r="B43" s="35"/>
      <c r="C43" s="169" t="s">
        <v>133</v>
      </c>
      <c r="D43" s="205">
        <f>SUM(E43:H43)</f>
        <v>98133100</v>
      </c>
      <c r="E43" s="170">
        <f>25235450+E47</f>
        <v>25216550</v>
      </c>
      <c r="F43" s="170">
        <f>24394050+F47</f>
        <v>24375150</v>
      </c>
      <c r="G43" s="170">
        <f>23553150+G47</f>
        <v>23534250</v>
      </c>
      <c r="H43" s="170">
        <f>25026050+H47</f>
        <v>25007150</v>
      </c>
    </row>
    <row r="44" spans="1:8" ht="29.25" customHeight="1" thickBot="1">
      <c r="A44" s="13"/>
      <c r="B44" s="13"/>
      <c r="C44" s="182" t="s">
        <v>94</v>
      </c>
      <c r="D44" s="23">
        <f>SUM(E44:H44)</f>
        <v>2281400</v>
      </c>
      <c r="E44" s="23">
        <f>597500+E47</f>
        <v>578600</v>
      </c>
      <c r="F44" s="23">
        <f>586500+F47</f>
        <v>567600</v>
      </c>
      <c r="G44" s="23">
        <f>586500+G47</f>
        <v>567600</v>
      </c>
      <c r="H44" s="23">
        <f>586500+H47</f>
        <v>567600</v>
      </c>
    </row>
    <row r="45" spans="1:8" ht="19.5" customHeight="1" thickTop="1">
      <c r="A45" s="6">
        <v>852</v>
      </c>
      <c r="B45" s="6"/>
      <c r="C45" s="117" t="s">
        <v>23</v>
      </c>
      <c r="D45" s="18">
        <f>SUM(E45:H45)</f>
        <v>2281400</v>
      </c>
      <c r="E45" s="18">
        <f>597500+E47</f>
        <v>578600</v>
      </c>
      <c r="F45" s="18">
        <f>586500+F47</f>
        <v>567600</v>
      </c>
      <c r="G45" s="18">
        <f>586500+G47</f>
        <v>567600</v>
      </c>
      <c r="H45" s="18">
        <f>586500+H47</f>
        <v>567600</v>
      </c>
    </row>
    <row r="46" spans="1:8" ht="19.5" customHeight="1">
      <c r="A46" s="14"/>
      <c r="B46" s="218">
        <v>85203</v>
      </c>
      <c r="C46" s="221" t="s">
        <v>130</v>
      </c>
      <c r="D46" s="217">
        <f>SUM(E46:H46)</f>
        <v>2123000</v>
      </c>
      <c r="E46" s="217">
        <v>539000</v>
      </c>
      <c r="F46" s="217">
        <v>528000</v>
      </c>
      <c r="G46" s="217">
        <v>528000</v>
      </c>
      <c r="H46" s="217">
        <v>528000</v>
      </c>
    </row>
    <row r="47" spans="1:8" s="7" customFormat="1" ht="17.25" customHeight="1">
      <c r="A47" s="184"/>
      <c r="B47" s="155"/>
      <c r="C47" s="159"/>
      <c r="D47" s="154">
        <f>SUM(E47:H47)</f>
        <v>-75600</v>
      </c>
      <c r="E47" s="154">
        <v>-18900</v>
      </c>
      <c r="F47" s="154">
        <v>-18900</v>
      </c>
      <c r="G47" s="154">
        <v>-18900</v>
      </c>
      <c r="H47" s="154">
        <v>-18900</v>
      </c>
    </row>
    <row r="51" spans="3:7" ht="12.75">
      <c r="C51" s="570" t="s">
        <v>221</v>
      </c>
      <c r="D51" s="25"/>
      <c r="E51" s="103"/>
      <c r="G51" s="571" t="s">
        <v>223</v>
      </c>
    </row>
    <row r="52" spans="3:7" ht="12.75">
      <c r="C52" s="570"/>
      <c r="D52" s="25"/>
      <c r="E52" s="103"/>
      <c r="G52" s="571" t="s">
        <v>224</v>
      </c>
    </row>
    <row r="53" spans="3:7" ht="12.75">
      <c r="C53" s="570" t="s">
        <v>222</v>
      </c>
      <c r="D53" s="25"/>
      <c r="E53" s="103"/>
      <c r="G53" s="571" t="s">
        <v>225</v>
      </c>
    </row>
  </sheetData>
  <mergeCells count="8">
    <mergeCell ref="A6:A7"/>
    <mergeCell ref="B6:B7"/>
    <mergeCell ref="G6:G7"/>
    <mergeCell ref="H6:H7"/>
    <mergeCell ref="C6:C7"/>
    <mergeCell ref="D6:D7"/>
    <mergeCell ref="E6:E7"/>
    <mergeCell ref="F6:F7"/>
  </mergeCells>
  <printOptions horizontalCentered="1"/>
  <pageMargins left="0.5905511811023623" right="0.5905511811023623" top="0.4724409448818898" bottom="0.5905511811023623" header="0.31496062992125984" footer="0.31496062992125984"/>
  <pageSetup firstPageNumber="21" useFirstPageNumber="1" horizontalDpi="300" verticalDpi="300" orientation="landscape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Wydz.Finansowy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2005-04-06T11:28:54Z</cp:lastPrinted>
  <dcterms:created xsi:type="dcterms:W3CDTF">1999-10-25T09:23:49Z</dcterms:created>
  <dcterms:modified xsi:type="dcterms:W3CDTF">2004-06-07T18:09:54Z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