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84" firstSheet="6" activeTab="15"/>
  </bookViews>
  <sheets>
    <sheet name="doch rm" sheetId="1" r:id="rId1"/>
    <sheet name="Wyd  rm" sheetId="2" r:id="rId2"/>
    <sheet name="inwest" sheetId="3" r:id="rId3"/>
    <sheet name="remonty" sheetId="4" r:id="rId4"/>
    <sheet name="dotacje" sheetId="5" r:id="rId5"/>
    <sheet name="rady" sheetId="6" r:id="rId6"/>
    <sheet name="zlec rm" sheetId="7" r:id="rId7"/>
    <sheet name="doch Pr" sheetId="8" r:id="rId8"/>
    <sheet name="Wyd Pr" sheetId="9" r:id="rId9"/>
    <sheet name="jednostki" sheetId="10" r:id="rId10"/>
    <sheet name="szkoly" sheetId="11" r:id="rId11"/>
    <sheet name="rady pr" sheetId="12" r:id="rId12"/>
    <sheet name="zlec Pr" sheetId="13" r:id="rId13"/>
    <sheet name="Doch-harm" sheetId="14" r:id="rId14"/>
    <sheet name="Wyd-harm" sheetId="15" r:id="rId15"/>
    <sheet name="harmGFOSiGW" sheetId="16" r:id="rId16"/>
  </sheets>
  <definedNames>
    <definedName name="_xlnm.Print_Titles" localSheetId="7">'doch Pr'!$7:$7</definedName>
    <definedName name="_xlnm.Print_Titles" localSheetId="0">'doch rm'!$7:$7</definedName>
    <definedName name="_xlnm.Print_Titles" localSheetId="13">'Doch-harm'!$8:$8</definedName>
    <definedName name="_xlnm.Print_Titles" localSheetId="2">'inwest'!$6:$8</definedName>
    <definedName name="_xlnm.Print_Titles" localSheetId="9">'jednostki'!$9:$9</definedName>
    <definedName name="_xlnm.Print_Titles" localSheetId="3">'remonty'!$9:$9</definedName>
    <definedName name="_xlnm.Print_Titles" localSheetId="10">'szkoly'!$3:$11</definedName>
    <definedName name="_xlnm.Print_Titles" localSheetId="1">'Wyd  rm'!$7:$7</definedName>
    <definedName name="_xlnm.Print_Titles" localSheetId="8">'Wyd Pr'!$7:$7</definedName>
    <definedName name="_xlnm.Print_Titles" localSheetId="14">'Wyd-harm'!$9:$9</definedName>
    <definedName name="_xlnm.Print_Titles" localSheetId="12">'zlec Pr'!$9:$9</definedName>
    <definedName name="_xlnm.Print_Titles" localSheetId="6">'zlec rm'!$9:$9</definedName>
  </definedNames>
  <calcPr fullCalcOnLoad="1"/>
</workbook>
</file>

<file path=xl/sharedStrings.xml><?xml version="1.0" encoding="utf-8"?>
<sst xmlns="http://schemas.openxmlformats.org/spreadsheetml/2006/main" count="2491" uniqueCount="769">
  <si>
    <t xml:space="preserve">Zespół Szkół Ogólnokształcących nr 4 </t>
  </si>
  <si>
    <t>rozdz. 80110 - Gimnazja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</si>
  <si>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</si>
  <si>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</si>
  <si>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</si>
  <si>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</si>
  <si>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</si>
  <si>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</si>
  <si>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</si>
  <si>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</si>
  <si>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</si>
  <si>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</si>
  <si>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</si>
  <si>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</si>
  <si>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</si>
  <si>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</si>
  <si>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</si>
  <si>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</si>
  <si>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</si>
  <si>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rozdz. 80111 - Gimnazja specjalne</t>
  </si>
  <si>
    <t>rozdz. 80113 - Dowożenie uczniów do szkół</t>
  </si>
  <si>
    <t>Specjalny Ośrodek Szkolno-Wychowawczy nr 2</t>
  </si>
  <si>
    <t>Z-ca Dyrektora Wydziału Finansowego</t>
  </si>
  <si>
    <t xml:space="preserve">        mgr Mirosława Puton                                               Andrzej Pruszkowski</t>
  </si>
  <si>
    <t xml:space="preserve">   Z UP. SKARBNIKA MIASTA LUBLIN                          PREZYDENT MIASTA LUBLIN</t>
  </si>
  <si>
    <t>rozdz. 80120 -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</si>
  <si>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</si>
  <si>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</si>
  <si>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</si>
  <si>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</si>
  <si>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</si>
  <si>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</si>
  <si>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</si>
  <si>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</si>
  <si>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</si>
  <si>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 xml:space="preserve">Zespół  Szkół  Ekonomicznych </t>
  </si>
  <si>
    <t xml:space="preserve">Zespół Szkół nr 3 </t>
  </si>
  <si>
    <t>Ośrodek Szkolno-Wychowawczy dla Dzieci i Młodzieży Słabo Widzącej</t>
  </si>
  <si>
    <t>rozdz. 80123 - Licea profilowane</t>
  </si>
  <si>
    <t>rozdz. 80130 - Szkoły zawodowe</t>
  </si>
  <si>
    <t>Wydatki na realizowane na podstawie porozumień i umów</t>
  </si>
  <si>
    <t>Państwowe Szkoły Budownictwa i Geodezji</t>
  </si>
  <si>
    <t>Zespół Szkół Budowlanych</t>
  </si>
  <si>
    <t>Zespół Szkół Chemicznych</t>
  </si>
  <si>
    <t>Zespół Szkół Ekonomicznych</t>
  </si>
  <si>
    <t>Zespół Szkół Elektronicznych</t>
  </si>
  <si>
    <t>Zespół Szkół Energetycznych</t>
  </si>
  <si>
    <t>Kary i odszkodowania wypłacane na rzecz osób fizycznych</t>
  </si>
  <si>
    <t>Gospodarka komunalna i ochrona środowiska</t>
  </si>
  <si>
    <t>Zespół Szkół Odzieżowo-Włókienniczych</t>
  </si>
  <si>
    <t>Zespół Szkół Mechanicznych</t>
  </si>
  <si>
    <t>Zespół Szkół Przemysłu Spożywczego</t>
  </si>
  <si>
    <t>Zespół Szkół Samochodowych</t>
  </si>
  <si>
    <t>Zespół Szkół Samochodowych nr 2</t>
  </si>
  <si>
    <t>Zespół Szkół Włókienniczych</t>
  </si>
  <si>
    <t>Zespół Szkół nr 1</t>
  </si>
  <si>
    <t>Zespół Szkół  nr 3</t>
  </si>
  <si>
    <t>Zespół Szkół nr 5</t>
  </si>
  <si>
    <t>pochodne od wynagrodzeń</t>
  </si>
  <si>
    <t xml:space="preserve">wynagrodzenia </t>
  </si>
  <si>
    <t>Zakup usług zdrowotnych</t>
  </si>
  <si>
    <t>Oddziały przedszkolne w szkołach podstawowych</t>
  </si>
  <si>
    <t>rozdz. 80132 - Szkoły artystyczne</t>
  </si>
  <si>
    <t xml:space="preserve">rozdz. 80134 - Szkoły zawodowe specjalne </t>
  </si>
  <si>
    <t>Specjalny Ośrodek Szkolno-Wychowawczy nr 1</t>
  </si>
  <si>
    <t>rozdz. 80140 - Centra kształcenia ustawicznego i praktycznego oraz ośrodki dokształcania zawodowego</t>
  </si>
  <si>
    <t>Lubelskie Centrum Edukacji Zawodowej</t>
  </si>
  <si>
    <t>Przedszkole nr 16</t>
  </si>
  <si>
    <t>Przedszkole nr 33</t>
  </si>
  <si>
    <t>Przedszkole nr 37</t>
  </si>
  <si>
    <t>Przedszkole nr 46</t>
  </si>
  <si>
    <t>Przedszkole nr 63</t>
  </si>
  <si>
    <t>Przedszkole nr 69</t>
  </si>
  <si>
    <t>Przedszkole nr 79</t>
  </si>
  <si>
    <t>Centra kształcenia ustawicznego i praktycznego oraz ośrodki dokształcania zawodowego</t>
  </si>
  <si>
    <t>remonty szkół</t>
  </si>
  <si>
    <t>Centrum Kształcenia Ustawicznego nr 1</t>
  </si>
  <si>
    <t>Centrum Kształcenia Ustawicznego nr 2</t>
  </si>
  <si>
    <t>Zespół Szkół Ogólnokształcących nr 1</t>
  </si>
  <si>
    <t>Zespół Szkół Ogólnokształcących nr 4</t>
  </si>
  <si>
    <t>Zespół Szkół Ogólnokształcących nr 6</t>
  </si>
  <si>
    <t>Zespół Szkół  nr 1</t>
  </si>
  <si>
    <t>Zakup środków żywności</t>
  </si>
  <si>
    <t>Subwencje i dotacja rekompensująca</t>
  </si>
  <si>
    <t>dotacja celowa z budżetu państwa na sfinansowanie wyprawki szkolnej</t>
  </si>
  <si>
    <t>Placówki opiekuńczo-wychowawcze</t>
  </si>
  <si>
    <t>modernizacje obiektów</t>
  </si>
  <si>
    <t>Godpodarka mieszkaniowa</t>
  </si>
  <si>
    <t>gospodarka nieruchomościami</t>
  </si>
  <si>
    <t>Kary i odszkodowanie wypłacane na rzecz osób fizycznych</t>
  </si>
  <si>
    <t>utrzymanie klubów samopomocy działających przy Środowiskowym Domu Samopomocy przy ul. Gospodarczej</t>
  </si>
  <si>
    <t>Dom Zakonny Zgromadzenia Sióstr Kapucynek Najświętszego Serca Jazusa, 
ul. Romanowskiego 6, 20-707 Lublin; Dom im. Matki Weroniki</t>
  </si>
  <si>
    <t>Składki na ubezpieczenia zdrowotne oraz świadczenia dla osób nieobjętych obowiązkiem ubezpieczenia zdrowotmego</t>
  </si>
  <si>
    <t>rozdz. 85154 - Przeciwdziałanie alkoholizmowi</t>
  </si>
  <si>
    <t>opracowania planistyczne, strategia rozwoju miasta i inne</t>
  </si>
  <si>
    <t>Śwoadczenia społeczne</t>
  </si>
  <si>
    <t>Ośrodki wspracia</t>
  </si>
  <si>
    <t>zadania realizowane w ramach Gminnego Programu Przeciwdziałania Narkomanii,  w tym:</t>
  </si>
  <si>
    <t>szkolenie obronne</t>
  </si>
  <si>
    <t>Instytut Sióstr Służebniczek Wynagradzających od Najświętszego Serca Jezusa, 
ul. Judyma 47, 20-716 Lublin; Rodzinny Dom im. Serca Jezusa</t>
  </si>
  <si>
    <t>Stowarzyszenia SOS Wioski Dziecięce w Polsce, al. J. Szucha 2/4 m.25, 
00-582 Warszawa; Dom Młodzieży SOS</t>
  </si>
  <si>
    <t>3. Dom Pomocy Społecznej Betania</t>
  </si>
  <si>
    <t>4. Dom Pomocy Społecznej im. Matki Teresy z Kalkuty</t>
  </si>
  <si>
    <t>5. Dom Pomocy Społecznej im. W. Michelisowej</t>
  </si>
  <si>
    <t>6. Dom Pomocy Społecznej dla Osób Niepełnosprawych Fizycznie</t>
  </si>
  <si>
    <t>7. Zespół Dziennych Domów Pomocy Społecznej</t>
  </si>
  <si>
    <t>8. Środowiskowy Dom Samopomocy przy ul. Kalinowszczyzna</t>
  </si>
  <si>
    <t>9. Miejski Ośrodek Pomocy Rodzinie</t>
  </si>
  <si>
    <t>remont obiektu</t>
  </si>
  <si>
    <t>utrzymanie klubów samopomocy działających przy Środowiskowym Domu Sampomocy przy ul. Gospodarczej</t>
  </si>
  <si>
    <t>funkcjonowanie jednostek pomocniczych miasta</t>
  </si>
  <si>
    <t>Zakup usług remontowych - remonty lokali jednostek pomocniczych miasta</t>
  </si>
  <si>
    <t>remonty lokali jednostek pomocniczych miasta</t>
  </si>
  <si>
    <t xml:space="preserve">Planowane wydatki na utrzymanie Rad i Zarządów </t>
  </si>
  <si>
    <t>Abramowice</t>
  </si>
  <si>
    <t>Bronowice</t>
  </si>
  <si>
    <t>Czechów Południowy</t>
  </si>
  <si>
    <t>Czechów Północny</t>
  </si>
  <si>
    <t>Czuby Południe</t>
  </si>
  <si>
    <t>Śródmieście</t>
  </si>
  <si>
    <t>Węglin Południe</t>
  </si>
  <si>
    <t>Składki na ubezpieczenie zdrowotne oraz świadczenia dla osób nieobjętych obowiązkiem ubezpieczenia zdrowotnego</t>
  </si>
  <si>
    <t>Zakup usług remontowych - remonty fontann</t>
  </si>
  <si>
    <t>2. Komenda Straży Miejskiej</t>
  </si>
  <si>
    <t>6. Dom Pomocy Społecznej dla Osób Niepełnosprawnych Fizycznie</t>
  </si>
  <si>
    <t>8. Środowiskowy Dom Samopomocy 
przy ul. Kalinowszczyzna</t>
  </si>
  <si>
    <t>10. Miejski Urząd Pracy</t>
  </si>
  <si>
    <t>11. Szkoły i placówki oświatowe</t>
  </si>
  <si>
    <t>Nagrody o charakterze szczególnym niezaliczone do wynagrodzeń</t>
  </si>
  <si>
    <t>Załącznik nr 6</t>
  </si>
  <si>
    <t>Załącznik nr 12</t>
  </si>
  <si>
    <t>Załącznik nr 13</t>
  </si>
  <si>
    <t>Załącznik nr 14</t>
  </si>
  <si>
    <t>Załącznik nr 15</t>
  </si>
  <si>
    <t>budowa drogowej sygnalizacji świetlnej na przejściu dla pieszych przez ul. Droga Męczenników Majdanka</t>
  </si>
  <si>
    <t>remonty</t>
  </si>
  <si>
    <t>Plany zagospodarowania przestrzennego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</si>
  <si>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</si>
  <si>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(Nazwa działu, rozdziału, zadania)</t>
  </si>
  <si>
    <t>Świadczenia rodzinne oraz składki na ubezpieczenia emerytalne i rentowe 
z ubezpieczenia społecznego</t>
  </si>
  <si>
    <t>Urząd Miasta - Wydział Ochrony Środowiska</t>
  </si>
  <si>
    <t>remonty lokali jednostek pomocniczych miasta (z tego: Rada Osiedla Ponikwoda - 17.500 zł)</t>
  </si>
  <si>
    <t>Przychody ogółem</t>
  </si>
  <si>
    <t xml:space="preserve">remonty </t>
  </si>
  <si>
    <t>Wydatki na zadania zlecone, z tego:</t>
  </si>
  <si>
    <t>dotacja celowa z budżetu państwa na realizację zadań z zakresu utrzymania grobów 
i cmentarzy wojennych</t>
  </si>
  <si>
    <t>dotacja celowa z budżetu państwa na finansowanie zadań bieżących z zakresu gospodarki nieruchomościami</t>
  </si>
  <si>
    <t>przebudowa skrzyżowań wraz z sygnalizacjami świetlnymi</t>
  </si>
  <si>
    <t xml:space="preserve">Zakup usług remontowych - remonty dróg </t>
  </si>
  <si>
    <t xml:space="preserve">Zakup usług remontowych - remonty </t>
  </si>
  <si>
    <t>inwestycje - dofinansowanie budowy komisariatu IV Policji</t>
  </si>
  <si>
    <t>2. Zespół Placówek Wsparcia Dziecka i Rodziny</t>
  </si>
  <si>
    <t>inwestycje - zakupy inwestycyjne</t>
  </si>
  <si>
    <t>modernizacja obiektu</t>
  </si>
  <si>
    <t>utrzymanie Środowiskowego Domu Samopomocy dla osób z zaburzeniami psychicznymi, chorobą Alzheimera i schorzeniami pokrewnymi przy ul. Kalinowszczyzna, z tego:</t>
  </si>
  <si>
    <t>zadania realizowane w ramach Gminnego Programu Profilaktyki i Rozwiązywania Problemów Alkoholowych, w tym:</t>
  </si>
  <si>
    <t>rozdz. 85495 - Pozostała działalność 
(stołówki szkolne)</t>
  </si>
  <si>
    <t>rozdz. 92605 - Zadania w zakresie kultury fizycznej 
i sportu</t>
  </si>
  <si>
    <t>dotacja celowa z budżetu państwa na finansowanie zadań bieżących 
z zakresu gospodarki nieruchomościami</t>
  </si>
  <si>
    <t>modernizacja budynku</t>
  </si>
  <si>
    <r>
      <t>przebudowa skrzyżowań wraz z sygnalizacjami świetlnymi</t>
    </r>
    <r>
      <rPr>
        <vertAlign val="superscript"/>
        <sz val="10"/>
        <rFont val="Arial CE"/>
        <family val="2"/>
      </rPr>
      <t xml:space="preserve"> 1)</t>
    </r>
  </si>
  <si>
    <r>
      <t>1)</t>
    </r>
    <r>
      <rPr>
        <sz val="11"/>
        <rFont val="Arial"/>
        <family val="2"/>
      </rPr>
      <t xml:space="preserve"> zakres rzeczowy: budowa drogowej sygnalizacji świetlnej na przejsciu dla pieszych przez ul. Droga Męczenników Majdanka; wartość kosztorysowa: 240.000 zł; </t>
    </r>
  </si>
  <si>
    <r>
      <t>2)</t>
    </r>
    <r>
      <rPr>
        <sz val="11"/>
        <rFont val="Arial CE"/>
        <family val="2"/>
      </rPr>
      <t xml:space="preserve"> zakres rzeczowy: adaptacja budynku przy ul. Nałkowskich 78 w związku z uruchomieniem Klubu Samopomocy</t>
    </r>
  </si>
  <si>
    <r>
      <t>modernizacja obiektu</t>
    </r>
    <r>
      <rPr>
        <vertAlign val="superscript"/>
        <sz val="10"/>
        <rFont val="Arial CE"/>
        <family val="2"/>
      </rPr>
      <t>2)</t>
    </r>
  </si>
  <si>
    <t>inwestycje - budowa domu pomocy społecznej przy ul. Bursztynowej</t>
  </si>
  <si>
    <t>budowa domu pomocy społecznej
przy ul. Bursztynowej</t>
  </si>
  <si>
    <t>Zakup usług remontowych - remonty dróg</t>
  </si>
  <si>
    <t>Zakup usług remontowych - remonty obiektów</t>
  </si>
  <si>
    <t>budowa domu pomocy społecznej przy ul. Bursztynowej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</si>
  <si>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</si>
  <si>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</si>
  <si>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Zakup usług remontowych - remonty</t>
  </si>
  <si>
    <t>dofinansowanie działań na rzecz utrzymania bezpieczeństwa 
w mieście</t>
  </si>
  <si>
    <t>Zakup usług remontowych - remonty kanalizacji deszczowej</t>
  </si>
  <si>
    <t>zajęcia sportowo-rekreacyjne w szkołach</t>
  </si>
  <si>
    <t xml:space="preserve">Działalność usługowa </t>
  </si>
  <si>
    <t>przeprowadzenie poboru do wojska</t>
  </si>
  <si>
    <t xml:space="preserve">prowadzenie profilaktycznej działalności informacyjnej i edukacyjnej w zakresie rozwiązywania problemów alkoholowych i przeciwdziałania narkomanii, w szczególności dla dzieci i młodzieży, w tym prowadzenie pozalekcyjnych zajęć sportowych, a także działań </t>
  </si>
  <si>
    <t>w tym: inwestycje</t>
  </si>
  <si>
    <t xml:space="preserve">w tym: remonty </t>
  </si>
  <si>
    <t xml:space="preserve">w tym: wynagrodzenia </t>
  </si>
  <si>
    <t>realizacja zadań wynikających ze strategii działań na rzecz osób niepełnosprawnych</t>
  </si>
  <si>
    <t>Zakup usług remontowych - remont obiektu</t>
  </si>
  <si>
    <t>Świadczenia rodzinne oraz składki na ubezpieczenia emerytalne 
i rentowe z ubezpieczenia społecznego</t>
  </si>
  <si>
    <t>audyt zewnętrzny projektu "System stypendialny szansą ponadgimnazjalistów z terenów wiejskich"</t>
  </si>
  <si>
    <t>Ośrodki pomocy społecznej</t>
  </si>
  <si>
    <t>do zarządzenia nr 222/2005</t>
  </si>
  <si>
    <t>Biblioteki</t>
  </si>
  <si>
    <t>Wydatki na zakupy inwestycyjne jednostek budżetowych</t>
  </si>
  <si>
    <t>Zakup usług remontowych - remonty obiektów Miejskiego Ośrodka Pomocy Rodzinie</t>
  </si>
  <si>
    <t>remonty obiektów Miejskiego Ośrodka Pomocy Rodzinie</t>
  </si>
  <si>
    <t>1.5  Wydział Organizacyjny</t>
  </si>
  <si>
    <t>1.6  Wydział Oświaty i Wychowania</t>
  </si>
  <si>
    <t>1.7  Wydział Spraw Społecznych</t>
  </si>
  <si>
    <t>Młodzieżowe ośrodki socjoterapii</t>
  </si>
  <si>
    <t>Jednostki specjalistycznego poradnictwa, mieszkania chronione i ośrodki interwencji kryzysowej</t>
  </si>
  <si>
    <t>mieszkania chronione</t>
  </si>
  <si>
    <t>upowszechnianie kultury i sztuki, w tym:</t>
  </si>
  <si>
    <t>wydawnictwa kulturalne</t>
  </si>
  <si>
    <t>Wschodnia Fundacja Kultury "Akcent"; ul. Grodzka 3, 20-112 Lublin</t>
  </si>
  <si>
    <t>środki w dyspozycji wydziału</t>
  </si>
  <si>
    <t>Stowarzyszenie Pisarzy Polskich Oddział w Lublinie; ul. Złota 3, 20-112 Lublin</t>
  </si>
  <si>
    <t>Związek Literatów Polskich Oddział w Lublinie; ul. Dolna Panny Marii 3, 20-010 Lublin</t>
  </si>
  <si>
    <t>1.7 Wydział Spraw Społecznych</t>
  </si>
  <si>
    <t>1.8 Wydział Spraw Administracyjnych</t>
  </si>
  <si>
    <t>1.9 Wydział Strategii i Rozwoju</t>
  </si>
  <si>
    <t>1.10 Kancelaria Prezydenta Miasta</t>
  </si>
  <si>
    <t>Dotacja celowa z budżetu na finansowanie lub dofinansowanie zadań zleconych 
do realizacji fundacjom</t>
  </si>
  <si>
    <t>Dotacja celowa z budżetu na finansowanie lub dofinansowanie zadań zleconych 
do realizacji stowarzyszeniom</t>
  </si>
  <si>
    <t>jednostek pomocniczych miasta na 2005 rok</t>
  </si>
  <si>
    <t>Plan według uchwały 
Nr 583/XXV/2004
Rady Miasta Lublin
z 30.12.2004 r.</t>
  </si>
  <si>
    <t>Planowane wydatki na utrzymanie Rad i Zarządów</t>
  </si>
  <si>
    <t>Rada Osiedla Śródmieście</t>
  </si>
  <si>
    <t>Rada Osiedla Węglin Południe</t>
  </si>
  <si>
    <t xml:space="preserve">Wydział Organizacyjny </t>
  </si>
  <si>
    <t>Plan według uchwały
Nr 583/XXV/2004
Rady Miasta Lublin
z 30.12.2004 r.</t>
  </si>
  <si>
    <t>Wydatki związane z funkcjonowaniem jednostek pomocniczych miasta, 
w tym:</t>
  </si>
  <si>
    <t xml:space="preserve">realizacja zadań wynikających ze strategii działań na rzecz osób niepełnosprawnych, 
w tym: </t>
  </si>
  <si>
    <t>rehabilitacja osób niepełnosprawnych zwiększająca ich samodzielność fizyczną 
i psychiczną</t>
  </si>
  <si>
    <t>Przedszkole Niepubliczne z Oddziałami Integracyjnymi im. bł. Bolesławy Lament; Zgromadzenie Sióstr Misjonarek Św. Rodziny, ul. Słowackiego 11, 
05-806 Komorów k. Warszawy</t>
  </si>
  <si>
    <t>1.2 Wydział Finansowy</t>
  </si>
  <si>
    <t>1.3 Wydział Geodezji i Gospodarki Nieruchomościami</t>
  </si>
  <si>
    <t>1.4 Wydział Gospodarki Komunalnej</t>
  </si>
  <si>
    <t>1.5 Wydział Organizacyjny</t>
  </si>
  <si>
    <t>1.6 Wydział Oświaty i Wychowania</t>
  </si>
  <si>
    <t>Obrona narodowa</t>
  </si>
  <si>
    <t>Pozostałe wydatki obronne</t>
  </si>
  <si>
    <t>dotacja celowa z budżetu państwa na sfinansowanie szkolenia obronnego</t>
  </si>
  <si>
    <t>Zwiększenie</t>
  </si>
  <si>
    <t>wyprawka szkolna</t>
  </si>
  <si>
    <t>Komendy powiatowe Policji</t>
  </si>
  <si>
    <t>dofinansowanie działań na rzecz utrzymania bezpieczeństwa w mieście</t>
  </si>
  <si>
    <t>dofinansowanie budowy Komisariatu IV Policji</t>
  </si>
  <si>
    <t>1.8 Wydział Strategii i Rozwoju</t>
  </si>
  <si>
    <t>Świadczenia rodzinne oraz składki na ubezpieczenia emerytalne i rentowe z ubezpieczenia społecznego</t>
  </si>
  <si>
    <t>świadczenia rodzinne</t>
  </si>
  <si>
    <t>dotacje dla niepublicznych placówek opiekuńczo-wychowawczych</t>
  </si>
  <si>
    <t>Dotacja podmiotowa z budżetu dla jednostek niezaliczanych do sektora finansów publicznych</t>
  </si>
  <si>
    <t>Lecznictwo ambulatoryjne</t>
  </si>
  <si>
    <t>Programy polityki zdrowotnej</t>
  </si>
  <si>
    <t>Domy pomocy społecznej</t>
  </si>
  <si>
    <t>Gospodarka odpadami</t>
  </si>
  <si>
    <t>Centra kultury i sztuki</t>
  </si>
  <si>
    <t>Ochrona i konserwacja zabytków</t>
  </si>
  <si>
    <t>Kultura fizyczna i sport</t>
  </si>
  <si>
    <t>Instytucje kultury fizycznej</t>
  </si>
  <si>
    <t>Zadania w zakresie kultury fizycznej i sportu</t>
  </si>
  <si>
    <t>dotacja celowa z budżetu państwa na inwestycje i  zakupy inwestycyjne 
w środowiskowych domach samopomocy</t>
  </si>
  <si>
    <t>dotacja celowa z budżetu państwa na inwestycje i zakupy inwestycyjne 
w środowiskowych domach samopomocy</t>
  </si>
  <si>
    <t>Przedszkole nr 5</t>
  </si>
  <si>
    <t>Przedszkole nr 31</t>
  </si>
  <si>
    <t>dotacja na prowadzenie domu pomocy społecznej przy ul. Dolińskiego</t>
  </si>
  <si>
    <t>dotacja na prowadzenie domu pomocy społecznej 
przy ul. Dolińskiego</t>
  </si>
  <si>
    <t>Prawosławna Diecezja Lubelsko - Chełmska; ul. Ruska 15, 20-126 Lublin</t>
  </si>
  <si>
    <t xml:space="preserve">Wykaz zadań miasta realizowanych przez podmioty niezaliczone do sektora </t>
  </si>
  <si>
    <t xml:space="preserve">finansów publicznych </t>
  </si>
  <si>
    <t xml:space="preserve">                                                         w złotych</t>
  </si>
  <si>
    <t>Nazwa działu, rozdziału, zadania</t>
  </si>
  <si>
    <t>Dotacja z budżetu na 2005 rok wg uchwały Rady Miasta Lublin nr 583/XXV/2004 z dnia 30.12.2004 r. z późń. zm.</t>
  </si>
  <si>
    <t>Dotacja 
po zmianach</t>
  </si>
  <si>
    <t>Przeznaczenie dotacji (cel publiczny)</t>
  </si>
  <si>
    <r>
      <t>z tego:</t>
    </r>
    <r>
      <rPr>
        <b/>
        <sz val="10"/>
        <rFont val="Arial CE"/>
        <family val="2"/>
      </rPr>
      <t xml:space="preserve">
Zadania własne</t>
    </r>
  </si>
  <si>
    <t>Zadania realizowane na podstawie porozumień i umów</t>
  </si>
  <si>
    <t>Zadania zlecone</t>
  </si>
  <si>
    <t>otoczenie opieką osób starszych</t>
  </si>
  <si>
    <t>z dnia 30 czerwca 2005 roku</t>
  </si>
  <si>
    <t>Oddziały przedszkolne przy szkołach podstawowych</t>
  </si>
  <si>
    <t>Centra kształcenia ustawicznego i praktycznego oraz ośrodki
dokształcania zawodowego</t>
  </si>
  <si>
    <t>Gospodarstwa pomocnicze</t>
  </si>
  <si>
    <t>Specjalne ośrodki szkolno-wychowawcze</t>
  </si>
  <si>
    <t>Przedszkola specjalne</t>
  </si>
  <si>
    <t>Licea ogólnokształcące specjalne</t>
  </si>
  <si>
    <t>Licea profilowane specjalne</t>
  </si>
  <si>
    <t>Szkoły artystyczne</t>
  </si>
  <si>
    <t>Szkoły zawodowe specjalne</t>
  </si>
  <si>
    <t>Poradnie psychologiczno-pedagogiczne, w tym poradnie
specjalistyczne</t>
  </si>
  <si>
    <t>Placówki wychowania pozaszkolnego</t>
  </si>
  <si>
    <t>Szkolne schroniska młodzieżowe</t>
  </si>
  <si>
    <t>Straż Miejska</t>
  </si>
  <si>
    <t>dotacja celowa z budżetu państwa na utrzymanie domów pomocy społecznej</t>
  </si>
  <si>
    <t>dotacja celowa z budżetu państwa na sfinansowanie prac komisji kwalifikacyjnych 
i egzaminacyjnych</t>
  </si>
  <si>
    <t>Dotacje celowe otrzymane z budżetu państwa na inwestycje i zakupy inwestycyjne z zakresu administracji rządowej oraz inne zadania zlecone ustawami realizowane przez powiat</t>
  </si>
  <si>
    <t>Harmonogram realizacji przychodów i wydatków</t>
  </si>
  <si>
    <t>Gminnego Funduszu Ochrony Środowiska i Gospodarki Wodnej</t>
  </si>
  <si>
    <t>na 2005 rok</t>
  </si>
  <si>
    <t>akcja "Bezpieczna droga"</t>
  </si>
  <si>
    <t>Szkoły podstawowe specjalne</t>
  </si>
  <si>
    <t>Gimnazja specjalne</t>
  </si>
  <si>
    <t>Podróże służbowe krajowe</t>
  </si>
  <si>
    <t xml:space="preserve">Rozdz.    </t>
  </si>
  <si>
    <t>Treść
(nazwa działu, rozdziału)</t>
  </si>
  <si>
    <t>Plan na 
2005 rok
z późn. zm.</t>
  </si>
  <si>
    <t>Fundusz Ochrony Środowiska i Gospodarki Wodnej</t>
  </si>
  <si>
    <t>1.1 Wydział Strategii i Rozwoju</t>
  </si>
  <si>
    <t>Dowożenie uczniów do szkół</t>
  </si>
  <si>
    <t>dowożenie uczniów</t>
  </si>
  <si>
    <t>Licea profilowane</t>
  </si>
  <si>
    <t>Świetlice szkolne</t>
  </si>
  <si>
    <t>utrzymanie stołówek szkolnych, w tym:</t>
  </si>
  <si>
    <t>rozdz. 80103 - Oddziały przedszkolne przy szkołach
podstawowych</t>
  </si>
  <si>
    <t>§ 6060</t>
  </si>
  <si>
    <t>na zakupy</t>
  </si>
  <si>
    <t>inwestycyjne</t>
  </si>
  <si>
    <t>jednostek</t>
  </si>
  <si>
    <t>budżetowych</t>
  </si>
  <si>
    <t>Zespół Szkół  nr 5</t>
  </si>
  <si>
    <t>rozdz. 85153 - Zwalczanie narkomanii</t>
  </si>
  <si>
    <t>Dotacje celowe otrzymane z budżetu państwa na realizację bieżących zadań własnych powiatu</t>
  </si>
  <si>
    <t>komisje kwalifikacyjne i egzaminacyjne</t>
  </si>
  <si>
    <t>§ 4270</t>
  </si>
  <si>
    <t>remontowych</t>
  </si>
  <si>
    <t>Przedszkole Prywatne "JAGODY"; Jadwiga Puła, ul. Skierki 1/77, 20-601 Lublin</t>
  </si>
  <si>
    <t>Dział 854 - Edukacyjna opieka wychowawcza</t>
  </si>
  <si>
    <t>Zespół Szkół nr 4</t>
  </si>
  <si>
    <t>rozdz. 85403 - Specjalne ośrodki szkolno-wychowawcze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</si>
  <si>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</si>
  <si>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</si>
  <si>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</si>
  <si>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</si>
  <si>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</si>
  <si>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</si>
  <si>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rozdz. 85407- Placówki wychowania pozaszkolnego</t>
  </si>
  <si>
    <t>Młodzieżowy Dom Kultury</t>
  </si>
  <si>
    <t>Młodzieżowy Dom Kultury nr 2</t>
  </si>
  <si>
    <t>rozdz. 85410 -  Internaty i bursy szkolne</t>
  </si>
  <si>
    <t>Bursa Szkolna nr 1</t>
  </si>
  <si>
    <t>Bursa Szkolna nr 2</t>
  </si>
  <si>
    <t>Bursa Szkolna nr 3</t>
  </si>
  <si>
    <t>Bursa Szkolna nr 5</t>
  </si>
  <si>
    <t>Zespół Szkół Transportowo-Komunikacyjnych</t>
  </si>
  <si>
    <t>Zespół Szkół nr 3</t>
  </si>
  <si>
    <t>rozdz. 85415 - Pomoc materialna dla uczniów</t>
  </si>
  <si>
    <t>stypendia oraz inne formy pomocy dla uczniów</t>
  </si>
  <si>
    <t>Specjalny Ośrodek Szkolno -Wychowawczy nr 1</t>
  </si>
  <si>
    <t>dożywianie uczniów</t>
  </si>
  <si>
    <t>Wydatki na zadania realizowane na podstawie porozumień i umów</t>
  </si>
  <si>
    <t>Wydaki na zadania z zakresu administracji rządowej wykonywane przez powiat</t>
  </si>
  <si>
    <t>Dotacje celowe z budżetu państwa na zadania zlecone 
z zakresu administracji rządowej</t>
  </si>
  <si>
    <t>Wydatki na zakupy inwestycyjne jdnostek budżetowych</t>
  </si>
  <si>
    <t>zakupy inwestycyjne</t>
  </si>
  <si>
    <t>Działaloność usługowa</t>
  </si>
  <si>
    <t>Pomoc materialna dla uczniów</t>
  </si>
  <si>
    <t>Stypendia dla uczniów</t>
  </si>
  <si>
    <t xml:space="preserve">dla </t>
  </si>
  <si>
    <t>wynagrodz.</t>
  </si>
  <si>
    <t xml:space="preserve">Osób </t>
  </si>
  <si>
    <t>Niepełnospr.</t>
  </si>
  <si>
    <t>Dział 801 - Oświata i wychowanie</t>
  </si>
  <si>
    <t xml:space="preserve">Pogotowie Opiekuńcze </t>
  </si>
  <si>
    <t>przedszkola przy szkołach podstawowych</t>
  </si>
  <si>
    <t>Przedszkole nr 13</t>
  </si>
  <si>
    <t>Przedszkole nr 35</t>
  </si>
  <si>
    <t>Przedszkole nr 36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</si>
  <si>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</si>
  <si>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</si>
  <si>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</si>
  <si>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</si>
  <si>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</si>
  <si>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</si>
  <si>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</si>
  <si>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</si>
  <si>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</si>
  <si>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</si>
  <si>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</si>
  <si>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</si>
  <si>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</si>
  <si>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</si>
  <si>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</si>
  <si>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</si>
  <si>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</si>
  <si>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64</t>
  </si>
  <si>
    <t>Przedszkole nr 65</t>
  </si>
  <si>
    <t>Przedszkole nr 66</t>
  </si>
  <si>
    <t>Przedszkole nr 67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</si>
  <si>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</si>
  <si>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</si>
  <si>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</si>
  <si>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</si>
  <si>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</si>
  <si>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</si>
  <si>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</si>
  <si>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</si>
  <si>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81</t>
  </si>
  <si>
    <t>Przedszkole nr 83</t>
  </si>
  <si>
    <t xml:space="preserve">Zespół Szkół nr 6 </t>
  </si>
  <si>
    <t xml:space="preserve">Specjalny Ośrodek Szkolno-Wychowawczy nr 2  </t>
  </si>
  <si>
    <t xml:space="preserve">Ośrodek Szkolno-Wychowawczy dla Dzieci i Młodzieży Słabo Widzącej </t>
  </si>
  <si>
    <t xml:space="preserve">Ośrodek Szkolno-Wychowawczy dla Dzieci i Młodzieży Niesłyszącej i Słabo Słyszącej </t>
  </si>
  <si>
    <t xml:space="preserve">Zespół Szkół Ogólnokształcących nr 1 </t>
  </si>
  <si>
    <t xml:space="preserve">Zespół Szkół Ogólnokształcących nr 2 </t>
  </si>
  <si>
    <t xml:space="preserve">Zespół Szkół Ogólnokształcących nr 5 </t>
  </si>
  <si>
    <t xml:space="preserve">Zespół Szkół Ogólnokształcących nr 6 </t>
  </si>
  <si>
    <t xml:space="preserve">Zespół Szkół nr 5 </t>
  </si>
  <si>
    <t xml:space="preserve">Zespół Szkół Elektronicznych </t>
  </si>
  <si>
    <t xml:space="preserve">Zespół Szkół Włókienniczych  </t>
  </si>
  <si>
    <t xml:space="preserve">Państwowe Szkoły Budownictwa i Geodezji  </t>
  </si>
  <si>
    <t>rozdz. 80121 - Licea ogólnokształcące specjalne</t>
  </si>
  <si>
    <t xml:space="preserve">Zespół Szkół Budowlanych </t>
  </si>
  <si>
    <t xml:space="preserve">Zespół Szkół Ekonomicznych </t>
  </si>
  <si>
    <t xml:space="preserve">Zespół Szkół Energetycznych </t>
  </si>
  <si>
    <t xml:space="preserve">Zespół Szkół Odzieżowo-Włókienniczych </t>
  </si>
  <si>
    <t xml:space="preserve">Zespół Szkół Przemysłu Spożywczego </t>
  </si>
  <si>
    <t xml:space="preserve">Zespół Szkół Samochodowych </t>
  </si>
  <si>
    <t xml:space="preserve">Zespół Szkół Samochodowych nr 2 </t>
  </si>
  <si>
    <t xml:space="preserve">Zespół Szkół Transportowo-Komunikacyjnych </t>
  </si>
  <si>
    <t xml:space="preserve">Zespół Szkół Włókienniczych </t>
  </si>
  <si>
    <t>rozdz. 80124 - Licea profilowane specjalne</t>
  </si>
  <si>
    <t xml:space="preserve">Ośrodek Szkolno-Wychowawczy dla Dzieci i Młodzieży Niesłyszacej i Słabo Słyszącej </t>
  </si>
  <si>
    <t>Szkoła Muzyczna I i II stopnia im. T. Szeligowskiego</t>
  </si>
  <si>
    <t>rozdz. 85401 - Świetlice szkolne</t>
  </si>
  <si>
    <t>rozdz. 85406 - Poradnie psychologiczno-pedagogiczne, 
w tym poradnie specjalistyczne</t>
  </si>
  <si>
    <t>926 - Kultura fizyczna i sport</t>
  </si>
  <si>
    <t>Zespół Szkół Przemysłu-Spożywczego</t>
  </si>
  <si>
    <t>Wydatki na zadania z zakresu administracji rządowej realizowane przez powiat</t>
  </si>
  <si>
    <t>Zespół Szkół nr 6</t>
  </si>
  <si>
    <t>Różne opłaty i składki</t>
  </si>
  <si>
    <t>rozdz. 85417 - Szkolne schroniska młodzieżowe</t>
  </si>
  <si>
    <t>Szkolne Schronisko Młodzieżowe</t>
  </si>
  <si>
    <t>rozdz. 85421 - Młodzieżowe ośrodki socjoterapii</t>
  </si>
  <si>
    <t>Młodzieżowy Ośrodek Socjoterapii</t>
  </si>
  <si>
    <t>Zwalczanie narkomanii</t>
  </si>
  <si>
    <t>zadania realizowane w ramach Gminnego Programu Przeciwdziałania Narkomanii</t>
  </si>
  <si>
    <t>prowadzenie profilaktycznej działalności informacyjnej i edukacyjnej w zakresie rozwiązywania problemów alkoholowych i przeciwdziałania narkomanii, w szczególności dla dzieci i młodzieży, w tym prowadzenie pozalekcyjnych zajęć sportowych, a także działań na rzecz dożywiania dzieci uczestniczących w pozalekcyjnych programach opiekuńczo-wychowawczych i socjoterapeutycznych</t>
  </si>
  <si>
    <t xml:space="preserve">Zespół Szkół Chemicznych </t>
  </si>
  <si>
    <t>Dział 851 - Ochrona zdrowia</t>
  </si>
  <si>
    <t>koordynacja działań w zakresie zapobiegania narkomanii</t>
  </si>
  <si>
    <t xml:space="preserve">Państwowe Szkoły Budownictwa i Geodezji </t>
  </si>
  <si>
    <t xml:space="preserve">Zespół Szkół nr 1 </t>
  </si>
  <si>
    <t>rozdz. 85156 - Składki na ubezpieczenia zdrowotne oraz świadczenia dla osób nieobjętych obowiązkiem ubezpieczenia zdrowotnego</t>
  </si>
  <si>
    <t>rehabilitacja osób niepełnosprawnych zwiększająca ich samodzielność fizyczną i psychiczną</t>
  </si>
  <si>
    <t>wynagrodzenia</t>
  </si>
  <si>
    <t>Załącznik nr 2</t>
  </si>
  <si>
    <t>Załącznik nr 7</t>
  </si>
  <si>
    <t>Załącznik nr 10</t>
  </si>
  <si>
    <t>Załącznik nr 9</t>
  </si>
  <si>
    <t>Dotacje celowe na zadania realizowane na podstawie porozumień i umów</t>
  </si>
  <si>
    <t>Świadczenia społeczne</t>
  </si>
  <si>
    <t>przedszkola, w tym:</t>
  </si>
  <si>
    <t>Załącznik nr 1</t>
  </si>
  <si>
    <t>przedszkola, z tego:</t>
  </si>
  <si>
    <t>Pomoc dla repatriantów</t>
  </si>
  <si>
    <t>dotacja celowa z budżetu państwa na pomoc repatriantom</t>
  </si>
  <si>
    <t>Dotacje celowe otrzymane z budżetu państwa na zadania bieżące z zakresu administracji rządowej oraz inne zadania zlecone ustawami realizowane przez powiat</t>
  </si>
  <si>
    <t>pomoc dla repatriantów</t>
  </si>
  <si>
    <t>Dochody powiatu ogółem, w tym:</t>
  </si>
  <si>
    <t>Dochody powiatu, w tym:</t>
  </si>
  <si>
    <t>Dotacje celowe z budżetu państwa na zadania z zakresu administracji rządowej</t>
  </si>
  <si>
    <t>Dotacje celowe otrzymane z budżetu państwa na realizację własnych zadań bieżących gmin</t>
  </si>
  <si>
    <t>Plan finansowy zadań z zakresu administracji rządowej i innych zadań zleconych ustawami</t>
  </si>
  <si>
    <t>Plan wydatków 
po zmianach</t>
  </si>
  <si>
    <t xml:space="preserve">Rozdz. </t>
  </si>
  <si>
    <t>Zmiany</t>
  </si>
  <si>
    <t>Zadania zlecone ogółem</t>
  </si>
  <si>
    <t>Dotacja celowa z budżetu na finansowanie lub dofinansowanie zadań zleconych do realizacji pozostałym jednostkom niezaliczanym do sektora finansów publicznych</t>
  </si>
  <si>
    <t>Różne wydatki na rzecz osób fizycznych</t>
  </si>
  <si>
    <t>utrzymanie fontann</t>
  </si>
  <si>
    <t>Oświetlenie ulic, placów i dróg</t>
  </si>
  <si>
    <t>oświetlenie dróg</t>
  </si>
  <si>
    <t>oświetlenie ulic</t>
  </si>
  <si>
    <t>remonty kanalizacji deszczowej</t>
  </si>
  <si>
    <t>remonty fontann</t>
  </si>
  <si>
    <t>Drogi publiczne gminne</t>
  </si>
  <si>
    <t xml:space="preserve">Zakup usług remontowych </t>
  </si>
  <si>
    <t>zarządzanie ruchem i rehabilitacja ulic</t>
  </si>
  <si>
    <t xml:space="preserve">  lata realizacji: 2005 rok</t>
  </si>
  <si>
    <t>Komisje poborowe</t>
  </si>
  <si>
    <t>przeprowdzenie poboru do wojska</t>
  </si>
  <si>
    <t>Bezpieczeństwo publiczne i ochrona przeciwpożarowa</t>
  </si>
  <si>
    <t>Ochotnicze straże pożarne</t>
  </si>
  <si>
    <t>wydatki ochotniczych straży pożarnych</t>
  </si>
  <si>
    <t>1.1 Wydział Bezpieczeństwa Mieszkańców i Zarządzania Kryzysowego</t>
  </si>
  <si>
    <t>Zadania ustawowo zlecone gminie</t>
  </si>
  <si>
    <t>(Nazwa działu, rozdziału, źródła dochodów, zadania, paragrafu)</t>
  </si>
  <si>
    <t>inwestycje, w tym:</t>
  </si>
  <si>
    <t>Zasiłki i pomoc w naturze oraz składki na ubezpieczenia społeczne</t>
  </si>
  <si>
    <t xml:space="preserve">dotacja celowa z budżetu państwa na zasiłki i pomoc w naturze oraz na składki 
na ubezpieczenia społeczne  </t>
  </si>
  <si>
    <t>Dotacje celowe otrzymane z budżetu państwa na realizację zadań bieżących 
z zakresu administracji rządowej oraz innych zadań zleconych gminie ustawami</t>
  </si>
  <si>
    <t>świadczenia społeczne</t>
  </si>
  <si>
    <t>Działalność usługowa</t>
  </si>
  <si>
    <t>Cmentarze</t>
  </si>
  <si>
    <t>dotacja celowa z budżetu państwa na realizację zadań z zakresu utrzymania grobów i cmentarzy wojennych</t>
  </si>
  <si>
    <t>Dotacje celowe otrzymane z budżetu państwa na zadania bieżące realizowane przez gminę na podstawie porozumień z organami administracji rządowej</t>
  </si>
  <si>
    <t xml:space="preserve">Działalnośc usługowa </t>
  </si>
  <si>
    <t>wydatki związane z utrzymaniem grobów i cmentarzy wojennych</t>
  </si>
  <si>
    <t>Wydatki realizowane na podstawie porozumień i umów</t>
  </si>
  <si>
    <t>Ośrodki wsparcia</t>
  </si>
  <si>
    <t>dotacja celowa z budżetu państwa na prowadzenie środowiskowych domów samopomocy</t>
  </si>
  <si>
    <t>utrzymanie Środowiskowego Domu Samopomocy dla osób 
z zaburzeniami psychicznymi, chorobą Alzheimera 
i schorzeniami pokrewnymi przy ul. Kalinowszczyzna, z tego:</t>
  </si>
  <si>
    <t>utrzymanie Środowiskowego Domu Samopomocy dla osób z zaburzeniami psychicznymi, chorobą Alzheimera i schorzeniami pokrewnymi 
przy ul. Kalinowszczyzna, z tego:</t>
  </si>
  <si>
    <t>zadania realizowane w ramach Gminnego Programu Przeciwdziałania Narkomanii, w tym:</t>
  </si>
  <si>
    <t>zadania realizowane w ramach Gminnego Programu Profilaktyki 
i Rozwiązywania Problemów Alkoholowych, w tym:</t>
  </si>
  <si>
    <t xml:space="preserve">realizacja zadań wynikających ze strategii działań na rzecz osób niepełnosprawnych, w tym: </t>
  </si>
  <si>
    <r>
      <t xml:space="preserve">Wydatki na zadania zlecone, </t>
    </r>
    <r>
      <rPr>
        <sz val="10"/>
        <rFont val="Arial CE"/>
        <family val="2"/>
      </rPr>
      <t>z tego:</t>
    </r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</si>
  <si>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</si>
  <si>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</si>
  <si>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</si>
  <si>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</si>
  <si>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</si>
  <si>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Dochody ogółem</t>
  </si>
  <si>
    <t>Treść</t>
  </si>
  <si>
    <t>(Nazwa działu, rozdziału)</t>
  </si>
  <si>
    <t>Przedszkola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</si>
  <si>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</si>
  <si>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</si>
  <si>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</si>
  <si>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</si>
  <si>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</si>
  <si>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</si>
  <si>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inwestycji po zmianach</t>
  </si>
  <si>
    <t>Ogółem wydatki majątkowe</t>
  </si>
  <si>
    <t>Wydatki na zadania zlecone</t>
  </si>
  <si>
    <t>Pomoc społeczna</t>
  </si>
  <si>
    <t>Prezydenta Miasta Lublin</t>
  </si>
  <si>
    <t>Wydatki</t>
  </si>
  <si>
    <t>w złotych</t>
  </si>
  <si>
    <t>Dz.</t>
  </si>
  <si>
    <t>Rozdz.</t>
  </si>
  <si>
    <t>§</t>
  </si>
  <si>
    <t>Wydatki                                                                                                                               (Nazwa działu, rozdziału, zadania, paragrafu)</t>
  </si>
  <si>
    <t>Zmniejszenie</t>
  </si>
  <si>
    <t>Plan po zmianach</t>
  </si>
  <si>
    <t>Wydatki ogółem</t>
  </si>
  <si>
    <t>z tego:</t>
  </si>
  <si>
    <t>Wydatki na zadania własne</t>
  </si>
  <si>
    <t>Zakup usług pozostałych</t>
  </si>
  <si>
    <t>Zakup materiałów i wyposażenia</t>
  </si>
  <si>
    <t>Administracja publiczna</t>
  </si>
  <si>
    <t>wydatki rzeczowe</t>
  </si>
  <si>
    <t>Zakup energii</t>
  </si>
  <si>
    <t>Składki na ubezpieczenia społeczne</t>
  </si>
  <si>
    <t>Składki na Fundusz Pracy</t>
  </si>
  <si>
    <t>Pozostała działalność</t>
  </si>
  <si>
    <t>Oświata i wychowanie</t>
  </si>
  <si>
    <t>Szkoły podstawowe</t>
  </si>
  <si>
    <t>Gimnazja</t>
  </si>
  <si>
    <t>Licea ogólnokształcące</t>
  </si>
  <si>
    <t>Szkoły zawodowe</t>
  </si>
  <si>
    <t>Edukacyjna opieka wychowawcza</t>
  </si>
  <si>
    <t>Wydatki na zadania ustawowo zlecone gminie</t>
  </si>
  <si>
    <t>Wydatki na zadania z zakresu administracji rządowej wykonywane przez powiat</t>
  </si>
  <si>
    <t>Dochody</t>
  </si>
  <si>
    <t>Dochody                                                                                                                                            (Nazwa działu, rozdziału, źródła dochodów, paragrafu)</t>
  </si>
  <si>
    <t>Zwiększenia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</si>
  <si>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</si>
  <si>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</si>
  <si>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</si>
  <si>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</si>
  <si>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</si>
  <si>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</si>
  <si>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Dział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</si>
  <si>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</si>
  <si>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</si>
  <si>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</si>
  <si>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</si>
  <si>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</si>
  <si>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</si>
  <si>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Zadania z zakresu administracji rządowej wykonywane przez powiat</t>
  </si>
  <si>
    <t xml:space="preserve">Nazwa: działu, rozdziału, zadania </t>
  </si>
  <si>
    <t>Ogółem remonty</t>
  </si>
  <si>
    <t>Zadania własne</t>
  </si>
  <si>
    <t>Pozostałe zadania w zakresie polityki społecznej</t>
  </si>
  <si>
    <t>Plan dochodów po zmianach</t>
  </si>
  <si>
    <t xml:space="preserve">Podział planowanych dochodów i wydatków budżetu miasta </t>
  </si>
  <si>
    <t>w tym:</t>
  </si>
  <si>
    <t xml:space="preserve">Dochody
według uchwały    
nr 583/XXV/2004                              
Rady Miasta Lublin
z 30.12.2004 r.
z późn. zm.
</t>
  </si>
  <si>
    <t xml:space="preserve">Wydatki
według uchwały    
nr 583/XXV/2004                              
Rady Miasta Lublin
z 30.12.2004 r.
z późn. zm.
</t>
  </si>
  <si>
    <t>zadania realizowane w ramach Gminnego Programu Profilaktyki 
i Rozwiązywania Problemów Alkoholowych</t>
  </si>
  <si>
    <t>w tym: remonty</t>
  </si>
  <si>
    <t>Gospodarka gruntami i nieruchomościami</t>
  </si>
  <si>
    <t xml:space="preserve">Plan według uchwały    
nr 583/XXV/2004                              
Rady Miasta Lublin
z 30.12.2004 r.
z późn. zm.                        </t>
  </si>
  <si>
    <t xml:space="preserve">wydatki rzeczowe </t>
  </si>
  <si>
    <t>promocja miasta</t>
  </si>
  <si>
    <t>Promocja jednostek samorządu terytorialnego</t>
  </si>
  <si>
    <t>Wydatki na zadania realizowane na podstawie
 porozumień i umów</t>
  </si>
  <si>
    <t>Zakup pomocy naukowych, dydaktycznych i książek</t>
  </si>
  <si>
    <t>Odpisy na zakładowy fundusz świadczeń socjalnych</t>
  </si>
  <si>
    <t>Wynagrodzenia osobowe pracowników</t>
  </si>
  <si>
    <t xml:space="preserve">Przedszkola </t>
  </si>
  <si>
    <t xml:space="preserve">Dotacje podmiotowe z budżetu dla publicznej jednostki systemu oświaty prowadzonej przez osobę prawną inną niż jednostka samorządu terytorialnego oraz przez osobę fizyczną </t>
  </si>
  <si>
    <t>na 2005 rok według jednostek organizacyjnych realizujących budżet</t>
  </si>
  <si>
    <t>Dochody budżetu miasta na 2005 rok</t>
  </si>
  <si>
    <t>Wydatki budżetu miasta na 2005 rok</t>
  </si>
  <si>
    <t>Planowane wydatki majątkowe na 2005 rok</t>
  </si>
  <si>
    <t>Plan remontów na 2005 rok</t>
  </si>
  <si>
    <t>związanych z realizacją powyższych zadań na 2005 rok</t>
  </si>
  <si>
    <t>Harmonogram realizacji dochodów budżetu miasta w 2005 roku</t>
  </si>
  <si>
    <t>Harmonogram realizacji wydatków budżetu miasta w 2005 roku</t>
  </si>
  <si>
    <t>Załącznik nr 11</t>
  </si>
  <si>
    <t>Załącznik nr 8</t>
  </si>
  <si>
    <t>Załącznik nr 5</t>
  </si>
  <si>
    <t>Załącznik nr 4</t>
  </si>
  <si>
    <t>Przedszkole Sióstr Urszulanek Serca Jezusa Konającego; Zgromadzenie Sióstr Urszulanek SJK DOM ZAKONNY, ul. Sudecka 49-53, 20-867 Lublin</t>
  </si>
  <si>
    <t xml:space="preserve">Przedszkole Zgromadzenia Sióstr Kanoniczek Ducha Św. im. bł. Ojca Gwidona; Zgromadzenie Sióstr Kanoniczek Ducha Św. de Saxia, ul. Szpitalna 10, 31-024 Kraków                                                          </t>
  </si>
  <si>
    <t>Katolickie Przedszkole im. św. Franciszka z Asyżu; Zgromadzenie Siósr Służek NMP Niepokalanej, ul. Mickiewicza 7, 27-600 Sandomierz</t>
  </si>
  <si>
    <t>dotacje dla publicznych i niepublicznych przedszkoli</t>
  </si>
  <si>
    <t>w tym: wynagrodzenia</t>
  </si>
  <si>
    <t xml:space="preserve">Plan według uchwały    
nr 583/XXV/2004                              
Rady Miasta Lublin
z 30.12.2004 r.
z późn. zm.                     </t>
  </si>
  <si>
    <t xml:space="preserve">Plan według uchwały    
nr 583/XXV/2004                              
Rady Miasta Lublin
z 30.12.2004 r.
z późn. zm.                           </t>
  </si>
  <si>
    <r>
      <t>Dochody gminy ogółem,</t>
    </r>
    <r>
      <rPr>
        <sz val="10"/>
        <rFont val="Arial CE"/>
        <family val="2"/>
      </rPr>
      <t xml:space="preserve"> z tego:</t>
    </r>
  </si>
  <si>
    <r>
      <t xml:space="preserve">Dochody powiatu ogółem, </t>
    </r>
    <r>
      <rPr>
        <sz val="10"/>
        <rFont val="Arial CE"/>
        <family val="2"/>
      </rPr>
      <t>z tego:</t>
    </r>
  </si>
  <si>
    <t>remonty obiektów</t>
  </si>
  <si>
    <t>Plan na 2005 rok
z późn. zm.</t>
  </si>
  <si>
    <t>Plan
na 2005 rok
z późn. zm.</t>
  </si>
  <si>
    <t>Gospodarka mieszkaniowa</t>
  </si>
  <si>
    <t>Zakup usług remontowych - remonty szkół</t>
  </si>
  <si>
    <t>Zakup usług remontowych - remonty przedszkoli</t>
  </si>
  <si>
    <t>Wydatki inwestycyjne jednostek budżetowych</t>
  </si>
  <si>
    <t>Specjalne ośrodki szkolno - wychowawcze</t>
  </si>
  <si>
    <t>inwestycje, z tego:</t>
  </si>
  <si>
    <t>Dochody gminy, w tym:</t>
  </si>
  <si>
    <t>Wynagrodzenia bezosobowe</t>
  </si>
  <si>
    <t>Załącznik nr 3</t>
  </si>
  <si>
    <t>Plan według uchwały    
nr 583/XXV/2004                              
Rady Miasta Lublin
z 30.12.2004 r. 
z późn. zm.</t>
  </si>
  <si>
    <t>oraz plan dochodów, które podlegają przekazaniu do budżetu państwa</t>
  </si>
  <si>
    <t>Rozdz. 
§</t>
  </si>
  <si>
    <t>inwestycje</t>
  </si>
  <si>
    <t>Wydatki osobowe niezaliczone do wynagrodzeń</t>
  </si>
  <si>
    <t>Dochody gminy ogółem, w tym:</t>
  </si>
  <si>
    <t>Wydatki na zadania realizowane na podstawie porozumień 
i umów</t>
  </si>
  <si>
    <t>Dotacja podmiotowa z budżetu dla niepublicznej jednostki systemu oświaty</t>
  </si>
  <si>
    <t>Ochrona zdrowia</t>
  </si>
  <si>
    <t>Przeciwdziałanie alkoholizmowi</t>
  </si>
  <si>
    <t>Gospodarka ściekowa i ochrona wód</t>
  </si>
  <si>
    <t>eksploatacja bieżąca i konserwacja kanalizacji deszczowej</t>
  </si>
  <si>
    <t>eksploatacja bieżąca i konserwacja zdrojów ulicznych, zbiorników p.poż. i punktów szybkiego napełniania wody, zabezpieczenie ujęcia wodnego</t>
  </si>
  <si>
    <t>Przedszkole Niepubliczne im. św. Józefa; Zgromadzenie Sióstr św. Józefa z Cluny, 
ul. Krzywa 1A, 20-124 Lublin</t>
  </si>
  <si>
    <t>Transport i łączność</t>
  </si>
  <si>
    <t>Drogi publiczne w miastach na prawach powiatu</t>
  </si>
  <si>
    <t>remonty dróg</t>
  </si>
  <si>
    <t>dokumentacja techniczna</t>
  </si>
  <si>
    <t>Zakup usług remontowych</t>
  </si>
  <si>
    <t>Rady miast i miast na prawach powiatu</t>
  </si>
  <si>
    <t>Prywatne Przedszkole "STRUMYK" A. i W. Rożek nr 3; Anna i Wiesław Rożek, 
ul. Lwowska 24/34, 20-128 Lublin</t>
  </si>
  <si>
    <t>Przedszkole Prywatne "PIOTRUŚ PAN 2"; Mirosława Kamienobrodzka, 
ul. Krasińskiego 3/53,  20-709 Lublin</t>
  </si>
  <si>
    <t>Przedszkole Parafialne im. bł. Honorata Koźmińskiego; Parafia Rzymsko-Katolicka 
św. Stanisława Biskupa i Męczennika, ul. Zbożowa 75, 20-827 Lublin</t>
  </si>
  <si>
    <t>Wynagrodzenia</t>
  </si>
  <si>
    <t>Pochodne od wynagrodzeń</t>
  </si>
  <si>
    <t>Wydatki rzeczowe</t>
  </si>
  <si>
    <t xml:space="preserve">       Nazwa</t>
  </si>
  <si>
    <t>§ 4010</t>
  </si>
  <si>
    <t>§ 4040</t>
  </si>
  <si>
    <t>§ 4170</t>
  </si>
  <si>
    <t>§ 4110</t>
  </si>
  <si>
    <t>§ 4120</t>
  </si>
  <si>
    <t>§ 3020</t>
  </si>
  <si>
    <t>§ 3240</t>
  </si>
  <si>
    <t>§ 3260</t>
  </si>
  <si>
    <t>§ 4130</t>
  </si>
  <si>
    <t>§ 4140</t>
  </si>
  <si>
    <t>§ 4210</t>
  </si>
  <si>
    <t>§ 4220</t>
  </si>
  <si>
    <t>§ 4240</t>
  </si>
  <si>
    <t>§ 4260</t>
  </si>
  <si>
    <t>§ 4280</t>
  </si>
  <si>
    <t>§ 4300</t>
  </si>
  <si>
    <t>§ 4350</t>
  </si>
  <si>
    <t xml:space="preserve">  § 4410</t>
  </si>
  <si>
    <t>§ 4420</t>
  </si>
  <si>
    <t>§ 4430</t>
  </si>
  <si>
    <t>§ 4480</t>
  </si>
  <si>
    <t xml:space="preserve">           paragrafu</t>
  </si>
  <si>
    <t>Dodatkowe</t>
  </si>
  <si>
    <t>Składki na</t>
  </si>
  <si>
    <t>Składki</t>
  </si>
  <si>
    <t>Stypendia</t>
  </si>
  <si>
    <t>Inne formy</t>
  </si>
  <si>
    <t xml:space="preserve">Składki </t>
  </si>
  <si>
    <t>Wpłaty na</t>
  </si>
  <si>
    <t>Zakup</t>
  </si>
  <si>
    <t xml:space="preserve">Zakup </t>
  </si>
  <si>
    <t>Opłaty za</t>
  </si>
  <si>
    <t>Podróże</t>
  </si>
  <si>
    <t>Różne</t>
  </si>
  <si>
    <t xml:space="preserve">Podatek </t>
  </si>
  <si>
    <t>osobowe</t>
  </si>
  <si>
    <t>wynagr.</t>
  </si>
  <si>
    <t>bezosobowe</t>
  </si>
  <si>
    <t>ubezpiecz.</t>
  </si>
  <si>
    <t xml:space="preserve">na </t>
  </si>
  <si>
    <t>dla</t>
  </si>
  <si>
    <t>pomocy</t>
  </si>
  <si>
    <t>na</t>
  </si>
  <si>
    <t>Państwowy</t>
  </si>
  <si>
    <t xml:space="preserve">materiałów </t>
  </si>
  <si>
    <t>środków</t>
  </si>
  <si>
    <t>energii</t>
  </si>
  <si>
    <t xml:space="preserve">usług </t>
  </si>
  <si>
    <t>usług</t>
  </si>
  <si>
    <t>usługi</t>
  </si>
  <si>
    <t>służbowe</t>
  </si>
  <si>
    <t>opłaty</t>
  </si>
  <si>
    <t>od</t>
  </si>
  <si>
    <t>pracowników</t>
  </si>
  <si>
    <t>roczne</t>
  </si>
  <si>
    <t>społeczne</t>
  </si>
  <si>
    <t>Fundusz</t>
  </si>
  <si>
    <t>niezalicz.</t>
  </si>
  <si>
    <t>uczniów</t>
  </si>
  <si>
    <t>ubezpieczenie</t>
  </si>
  <si>
    <t>i</t>
  </si>
  <si>
    <t>żywności</t>
  </si>
  <si>
    <t>naukowych,</t>
  </si>
  <si>
    <t>zdrowotnych</t>
  </si>
  <si>
    <t>pozostałych</t>
  </si>
  <si>
    <t>internetowe</t>
  </si>
  <si>
    <t>krajowe</t>
  </si>
  <si>
    <t>zagran.</t>
  </si>
  <si>
    <t>i składki</t>
  </si>
  <si>
    <t>nieruchomości</t>
  </si>
  <si>
    <t>Razem</t>
  </si>
  <si>
    <t>Pracy</t>
  </si>
  <si>
    <t xml:space="preserve">do </t>
  </si>
  <si>
    <t>zdrowotne</t>
  </si>
  <si>
    <t>Rehabilitacji</t>
  </si>
  <si>
    <t>wyposażenia</t>
  </si>
  <si>
    <t>dydaktycznych</t>
  </si>
  <si>
    <t xml:space="preserve">       szkoły</t>
  </si>
  <si>
    <t>i książek</t>
  </si>
  <si>
    <t>rozdz. 80101 - Szkoły podstawowe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</si>
  <si>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</si>
  <si>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</si>
  <si>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</si>
  <si>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</si>
  <si>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</si>
  <si>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</si>
  <si>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</si>
  <si>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</si>
  <si>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</si>
  <si>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</si>
  <si>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</si>
  <si>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</si>
  <si>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</si>
  <si>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</si>
  <si>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</si>
  <si>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</si>
  <si>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</si>
  <si>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</si>
  <si>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</si>
  <si>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</si>
  <si>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</si>
  <si>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</si>
  <si>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</si>
  <si>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</si>
  <si>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Pozostałe zadania w zakresie kultury</t>
  </si>
  <si>
    <t>Podróże służbowe zagraniczne</t>
  </si>
  <si>
    <t>Kultura i ochrona dziedzictwa narodowego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</si>
  <si>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</si>
  <si>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</si>
  <si>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</si>
  <si>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</si>
  <si>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</si>
  <si>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</si>
  <si>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rozdz. 80101 - Szkoły podstawowe-zadanie "Bezpieczna droga"</t>
  </si>
  <si>
    <t xml:space="preserve">Szkoła Podstawowa nr 31 </t>
  </si>
  <si>
    <t xml:space="preserve">Zespół Szkół nr 4 </t>
  </si>
  <si>
    <t>remonty przedszkoli</t>
  </si>
  <si>
    <t>Internaty i bursy szkolne</t>
  </si>
  <si>
    <t xml:space="preserve">Zespół Szkół Mechanicznych </t>
  </si>
  <si>
    <t>10. Szkoły i placówki oświatowe</t>
  </si>
  <si>
    <t>Ośrodek Szkolno-Wychowawczy dla Dzieci i Młodzieży Niesłyszącej i Słabo Słyszącej</t>
  </si>
  <si>
    <t>rozdz. 80102 - Szkoły podstawowe specjalne</t>
  </si>
  <si>
    <t xml:space="preserve">Specjalny Ośrodek Szkolno-Wychowawczy nr 2 </t>
  </si>
  <si>
    <t>Ośrodek Szkolno - Wychowawczy dla Dzieci i Młodzieży Słabo Widzącej</t>
  </si>
  <si>
    <t>Ośrodek Szkolno - Wychowawczy dla Dzieci i Młodzieży Niesłyszącej i Słabo Słyszącej</t>
  </si>
  <si>
    <t xml:space="preserve">rozdz. 80104 - Przedszkola </t>
  </si>
  <si>
    <t>rozdz. 80105 - Przedszkola specjalne</t>
  </si>
  <si>
    <t>Przedszkole Specjalne nr 11</t>
  </si>
  <si>
    <t>Zespół Szkół Ogólnokształcących nr 2</t>
  </si>
  <si>
    <t>Zespół Szkół Ogólnokształcących nr 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</si>
</sst>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b/>
      <i/>
      <u val="single"/>
      <sz val="11"/>
      <name val="Arial CE"/>
      <family val="2"/>
    </font>
    <font>
      <i/>
      <sz val="10"/>
      <name val="Arial"/>
      <family val="2"/>
    </font>
    <font>
      <b/>
      <sz val="9"/>
      <name val="Arial CE"/>
      <family val="2"/>
    </font>
    <font>
      <i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53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sz val="9"/>
      <name val="Arial"/>
      <family val="2"/>
    </font>
    <font>
      <i/>
      <sz val="11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vertAlign val="superscript"/>
      <sz val="10"/>
      <name val="Arial CE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1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</fills>
  <borders count="13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tted"/>
      <bottom style="hair"/>
    </border>
    <border>
      <left style="double"/>
      <right style="double"/>
      <top>
        <color indexed="63"/>
      </top>
      <bottom style="thin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ashDotDot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ashDot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>
        <color indexed="63"/>
      </top>
      <bottom style="dotted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ashDot"/>
      <bottom style="dotted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hair"/>
      <bottom style="thin"/>
    </border>
    <border>
      <left style="thin"/>
      <right style="thin"/>
      <top style="hair"/>
      <bottom style="dotted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7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9" xfId="0" applyFont="1" applyAlignment="1">
      <alignment horizontal="center" vertical="center" wrapText="1"/>
    </xf>
    <xf numFmtId="3" fontId="14" fillId="0" borderId="9" xfId="0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3" fontId="17" fillId="0" borderId="9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Alignment="1">
      <alignment/>
    </xf>
    <xf numFmtId="3" fontId="21" fillId="0" borderId="0" xfId="0" applyAlignment="1">
      <alignment/>
    </xf>
    <xf numFmtId="3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20" fillId="0" borderId="0" xfId="0" applyFont="1" applyFill="1" applyBorder="1" applyAlignment="1">
      <alignment wrapText="1"/>
    </xf>
    <xf numFmtId="3" fontId="16" fillId="0" borderId="0" xfId="0" applyFont="1" applyAlignment="1">
      <alignment horizontal="right"/>
    </xf>
    <xf numFmtId="0" fontId="18" fillId="0" borderId="11" xfId="0" applyAlignment="1">
      <alignment/>
    </xf>
    <xf numFmtId="0" fontId="18" fillId="0" borderId="11" xfId="0" applyAlignment="1">
      <alignment horizontal="center"/>
    </xf>
    <xf numFmtId="3" fontId="18" fillId="0" borderId="11" xfId="0" applyAlignment="1">
      <alignment horizontal="center" vertical="center"/>
    </xf>
    <xf numFmtId="3" fontId="18" fillId="0" borderId="12" xfId="0" applyAlignment="1">
      <alignment horizontal="center" vertical="center"/>
    </xf>
    <xf numFmtId="0" fontId="18" fillId="0" borderId="13" xfId="0" applyAlignment="1">
      <alignment horizontal="center" vertical="top" wrapText="1"/>
    </xf>
    <xf numFmtId="0" fontId="18" fillId="0" borderId="14" xfId="0" applyFont="1" applyAlignment="1">
      <alignment horizontal="center" vertical="center"/>
    </xf>
    <xf numFmtId="3" fontId="18" fillId="0" borderId="15" xfId="0" applyAlignment="1">
      <alignment horizontal="center" vertical="top" wrapText="1"/>
    </xf>
    <xf numFmtId="0" fontId="22" fillId="0" borderId="9" xfId="0" applyAlignment="1">
      <alignment horizontal="center" vertical="center"/>
    </xf>
    <xf numFmtId="3" fontId="22" fillId="0" borderId="9" xfId="0" applyAlignment="1">
      <alignment horizontal="center" vertical="center"/>
    </xf>
    <xf numFmtId="0" fontId="11" fillId="0" borderId="0" xfId="0" applyFont="1" applyAlignment="1">
      <alignment/>
    </xf>
    <xf numFmtId="3" fontId="13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 horizontal="right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>
      <alignment wrapText="1"/>
    </xf>
    <xf numFmtId="0" fontId="5" fillId="3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0" fillId="3" borderId="20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 wrapText="1"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/>
    </xf>
    <xf numFmtId="3" fontId="12" fillId="3" borderId="20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wrapText="1"/>
    </xf>
    <xf numFmtId="3" fontId="7" fillId="3" borderId="23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23" xfId="0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4" fillId="3" borderId="2" xfId="0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0" fillId="3" borderId="20" xfId="0" applyNumberFormat="1" applyFont="1" applyFill="1" applyBorder="1" applyAlignment="1">
      <alignment wrapText="1"/>
    </xf>
    <xf numFmtId="0" fontId="0" fillId="3" borderId="20" xfId="0" applyFont="1" applyFill="1" applyBorder="1" applyAlignment="1">
      <alignment wrapText="1"/>
    </xf>
    <xf numFmtId="3" fontId="5" fillId="4" borderId="24" xfId="0" applyNumberFormat="1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3" fontId="0" fillId="3" borderId="21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7" fillId="3" borderId="23" xfId="0" applyFont="1" applyFill="1" applyBorder="1" applyAlignment="1">
      <alignment wrapText="1"/>
    </xf>
    <xf numFmtId="3" fontId="7" fillId="3" borderId="23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5" fillId="5" borderId="24" xfId="0" applyFont="1" applyFill="1" applyBorder="1" applyAlignment="1">
      <alignment wrapText="1"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5" fillId="3" borderId="20" xfId="0" applyFont="1" applyFill="1" applyBorder="1" applyAlignment="1">
      <alignment horizontal="center"/>
    </xf>
    <xf numFmtId="0" fontId="11" fillId="6" borderId="26" xfId="0" applyFont="1" applyFill="1" applyAlignment="1">
      <alignment horizontal="center" vertical="center"/>
    </xf>
    <xf numFmtId="0" fontId="10" fillId="6" borderId="27" xfId="0" applyFont="1" applyFill="1" applyAlignment="1">
      <alignment horizontal="center" vertical="center"/>
    </xf>
    <xf numFmtId="3" fontId="10" fillId="6" borderId="27" xfId="0" applyNumberFormat="1" applyFont="1" applyFill="1" applyAlignment="1">
      <alignment horizontal="right"/>
    </xf>
    <xf numFmtId="0" fontId="0" fillId="6" borderId="28" xfId="0" applyFont="1" applyFill="1" applyAlignment="1">
      <alignment horizontal="center" vertical="center"/>
    </xf>
    <xf numFmtId="0" fontId="0" fillId="6" borderId="28" xfId="0" applyFont="1" applyFill="1" applyAlignment="1">
      <alignment horizontal="left" vertical="center"/>
    </xf>
    <xf numFmtId="3" fontId="0" fillId="6" borderId="29" xfId="0" applyNumberFormat="1" applyFont="1" applyFill="1" applyAlignment="1">
      <alignment horizontal="center" vertical="center"/>
    </xf>
    <xf numFmtId="3" fontId="0" fillId="6" borderId="28" xfId="0" applyNumberFormat="1" applyFont="1" applyFill="1" applyAlignment="1">
      <alignment horizontal="center" vertical="center"/>
    </xf>
    <xf numFmtId="0" fontId="0" fillId="3" borderId="28" xfId="0" applyFont="1" applyFill="1" applyAlignment="1">
      <alignment horizontal="center" vertical="center"/>
    </xf>
    <xf numFmtId="0" fontId="12" fillId="3" borderId="28" xfId="0" applyFont="1" applyFill="1" applyAlignment="1">
      <alignment horizontal="center" vertical="center"/>
    </xf>
    <xf numFmtId="3" fontId="12" fillId="3" borderId="28" xfId="0" applyNumberFormat="1" applyFont="1" applyFill="1" applyAlignment="1">
      <alignment horizontal="center" vertical="center"/>
    </xf>
    <xf numFmtId="3" fontId="0" fillId="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5" fillId="4" borderId="2" xfId="0" applyFont="1" applyFill="1" applyBorder="1" applyAlignment="1">
      <alignment horizontal="right"/>
    </xf>
    <xf numFmtId="0" fontId="14" fillId="0" borderId="30" xfId="0" applyFont="1" applyBorder="1" applyAlignment="1">
      <alignment horizontal="center" vertical="center" wrapText="1"/>
    </xf>
    <xf numFmtId="0" fontId="14" fillId="0" borderId="9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0" fillId="7" borderId="21" xfId="0" applyFont="1" applyFill="1" applyBorder="1" applyAlignment="1">
      <alignment/>
    </xf>
    <xf numFmtId="0" fontId="4" fillId="7" borderId="31" xfId="0" applyFont="1" applyFill="1" applyBorder="1" applyAlignment="1">
      <alignment/>
    </xf>
    <xf numFmtId="0" fontId="10" fillId="0" borderId="0" xfId="0" applyFont="1" applyAlignment="1">
      <alignment horizontal="center"/>
    </xf>
    <xf numFmtId="3" fontId="7" fillId="3" borderId="2" xfId="0" applyNumberFormat="1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" borderId="21" xfId="0" applyFont="1" applyFill="1" applyBorder="1" applyAlignment="1">
      <alignment/>
    </xf>
    <xf numFmtId="3" fontId="4" fillId="3" borderId="24" xfId="0" applyNumberFormat="1" applyFont="1" applyFill="1" applyBorder="1" applyAlignment="1">
      <alignment/>
    </xf>
    <xf numFmtId="0" fontId="4" fillId="3" borderId="20" xfId="0" applyFont="1" applyFill="1" applyBorder="1" applyAlignment="1">
      <alignment wrapText="1"/>
    </xf>
    <xf numFmtId="3" fontId="4" fillId="7" borderId="31" xfId="0" applyNumberFormat="1" applyFont="1" applyFill="1" applyBorder="1" applyAlignment="1">
      <alignment horizontal="right" wrapText="1"/>
    </xf>
    <xf numFmtId="3" fontId="4" fillId="7" borderId="3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8" borderId="20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4" xfId="0" applyFont="1" applyFill="1" applyBorder="1" applyAlignment="1">
      <alignment wrapText="1"/>
    </xf>
    <xf numFmtId="3" fontId="0" fillId="3" borderId="24" xfId="0" applyNumberFormat="1" applyFont="1" applyFill="1" applyBorder="1" applyAlignment="1">
      <alignment wrapText="1"/>
    </xf>
    <xf numFmtId="0" fontId="0" fillId="3" borderId="33" xfId="0" applyFont="1" applyFill="1" applyBorder="1" applyAlignment="1">
      <alignment wrapText="1"/>
    </xf>
    <xf numFmtId="0" fontId="4" fillId="8" borderId="20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3" fontId="0" fillId="3" borderId="33" xfId="0" applyNumberFormat="1" applyFont="1" applyFill="1" applyBorder="1" applyAlignment="1">
      <alignment wrapText="1"/>
    </xf>
    <xf numFmtId="3" fontId="7" fillId="3" borderId="33" xfId="0" applyNumberFormat="1" applyFont="1" applyFill="1" applyBorder="1" applyAlignment="1">
      <alignment wrapText="1"/>
    </xf>
    <xf numFmtId="0" fontId="4" fillId="6" borderId="31" xfId="0" applyFont="1" applyFill="1" applyBorder="1" applyAlignment="1">
      <alignment/>
    </xf>
    <xf numFmtId="0" fontId="4" fillId="6" borderId="31" xfId="0" applyFont="1" applyFill="1" applyBorder="1" applyAlignment="1">
      <alignment horizontal="left" wrapText="1"/>
    </xf>
    <xf numFmtId="0" fontId="0" fillId="4" borderId="24" xfId="0" applyFont="1" applyFill="1" applyBorder="1" applyAlignment="1">
      <alignment/>
    </xf>
    <xf numFmtId="3" fontId="7" fillId="4" borderId="2" xfId="0" applyNumberFormat="1" applyFont="1" applyFill="1" applyBorder="1" applyAlignment="1">
      <alignment wrapText="1"/>
    </xf>
    <xf numFmtId="3" fontId="4" fillId="8" borderId="20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3" fontId="5" fillId="3" borderId="2" xfId="0" applyNumberFormat="1" applyFont="1" applyFill="1" applyBorder="1" applyAlignment="1">
      <alignment/>
    </xf>
    <xf numFmtId="3" fontId="0" fillId="3" borderId="33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3" borderId="20" xfId="0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 horizontal="right"/>
    </xf>
    <xf numFmtId="3" fontId="0" fillId="3" borderId="33" xfId="0" applyNumberFormat="1" applyFont="1" applyFill="1" applyBorder="1" applyAlignment="1">
      <alignment horizontal="right" wrapText="1"/>
    </xf>
    <xf numFmtId="3" fontId="5" fillId="4" borderId="2" xfId="0" applyNumberFormat="1" applyFont="1" applyFill="1" applyBorder="1" applyAlignment="1">
      <alignment horizontal="right" wrapText="1"/>
    </xf>
    <xf numFmtId="0" fontId="0" fillId="3" borderId="2" xfId="0" applyFill="1" applyBorder="1" applyAlignment="1">
      <alignment/>
    </xf>
    <xf numFmtId="0" fontId="5" fillId="4" borderId="24" xfId="0" applyFont="1" applyFill="1" applyBorder="1" applyAlignment="1">
      <alignment/>
    </xf>
    <xf numFmtId="3" fontId="0" fillId="3" borderId="34" xfId="0" applyNumberFormat="1" applyFont="1" applyFill="1" applyBorder="1" applyAlignment="1">
      <alignment wrapText="1"/>
    </xf>
    <xf numFmtId="3" fontId="5" fillId="3" borderId="24" xfId="0" applyNumberFormat="1" applyFont="1" applyFill="1" applyBorder="1" applyAlignment="1">
      <alignment wrapText="1"/>
    </xf>
    <xf numFmtId="3" fontId="0" fillId="3" borderId="24" xfId="0" applyNumberFormat="1" applyFont="1" applyFill="1" applyBorder="1" applyAlignment="1">
      <alignment/>
    </xf>
    <xf numFmtId="0" fontId="7" fillId="3" borderId="35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3" fontId="4" fillId="3" borderId="32" xfId="0" applyNumberFormat="1" applyFont="1" applyFill="1" applyBorder="1" applyAlignment="1">
      <alignment wrapText="1"/>
    </xf>
    <xf numFmtId="0" fontId="5" fillId="3" borderId="32" xfId="0" applyFont="1" applyFill="1" applyBorder="1" applyAlignment="1">
      <alignment wrapText="1"/>
    </xf>
    <xf numFmtId="0" fontId="7" fillId="3" borderId="20" xfId="0" applyFont="1" applyFill="1" applyBorder="1" applyAlignment="1">
      <alignment/>
    </xf>
    <xf numFmtId="0" fontId="12" fillId="3" borderId="2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3" fontId="12" fillId="3" borderId="20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wrapText="1"/>
    </xf>
    <xf numFmtId="0" fontId="4" fillId="4" borderId="24" xfId="0" applyFont="1" applyFill="1" applyBorder="1" applyAlignment="1">
      <alignment/>
    </xf>
    <xf numFmtId="0" fontId="7" fillId="3" borderId="24" xfId="0" applyFont="1" applyFill="1" applyBorder="1" applyAlignment="1">
      <alignment/>
    </xf>
    <xf numFmtId="3" fontId="7" fillId="3" borderId="23" xfId="0" applyNumberFormat="1" applyFont="1" applyFill="1" applyBorder="1" applyAlignment="1">
      <alignment horizontal="right"/>
    </xf>
    <xf numFmtId="3" fontId="0" fillId="3" borderId="33" xfId="0" applyNumberFormat="1" applyFont="1" applyFill="1" applyBorder="1" applyAlignment="1">
      <alignment horizontal="right"/>
    </xf>
    <xf numFmtId="3" fontId="5" fillId="4" borderId="24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/>
    </xf>
    <xf numFmtId="0" fontId="5" fillId="4" borderId="24" xfId="0" applyFont="1" applyFill="1" applyBorder="1" applyAlignment="1">
      <alignment wrapText="1"/>
    </xf>
    <xf numFmtId="0" fontId="4" fillId="3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5" fillId="4" borderId="24" xfId="0" applyFont="1" applyFill="1" applyBorder="1" applyAlignment="1">
      <alignment horizontal="right"/>
    </xf>
    <xf numFmtId="0" fontId="5" fillId="3" borderId="24" xfId="0" applyFont="1" applyFill="1" applyBorder="1" applyAlignment="1">
      <alignment/>
    </xf>
    <xf numFmtId="0" fontId="0" fillId="3" borderId="20" xfId="0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21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3" fontId="0" fillId="3" borderId="34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0" fontId="0" fillId="3" borderId="34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3" borderId="38" xfId="0" applyFont="1" applyFill="1" applyBorder="1" applyAlignment="1">
      <alignment wrapText="1"/>
    </xf>
    <xf numFmtId="0" fontId="4" fillId="3" borderId="39" xfId="0" applyFont="1" applyFill="1" applyBorder="1" applyAlignment="1">
      <alignment wrapText="1"/>
    </xf>
    <xf numFmtId="3" fontId="4" fillId="3" borderId="32" xfId="0" applyNumberFormat="1" applyFont="1" applyFill="1" applyBorder="1" applyAlignment="1">
      <alignment/>
    </xf>
    <xf numFmtId="0" fontId="27" fillId="0" borderId="36" xfId="0" applyFont="1" applyBorder="1" applyAlignment="1">
      <alignment horizontal="left" wrapText="1"/>
    </xf>
    <xf numFmtId="0" fontId="27" fillId="0" borderId="37" xfId="0" applyFont="1" applyBorder="1" applyAlignment="1">
      <alignment horizontal="left" wrapText="1"/>
    </xf>
    <xf numFmtId="3" fontId="5" fillId="3" borderId="37" xfId="0" applyNumberFormat="1" applyFont="1" applyFill="1" applyBorder="1" applyAlignment="1">
      <alignment/>
    </xf>
    <xf numFmtId="3" fontId="5" fillId="3" borderId="36" xfId="0" applyNumberFormat="1" applyFont="1" applyFill="1" applyBorder="1" applyAlignment="1">
      <alignment/>
    </xf>
    <xf numFmtId="3" fontId="7" fillId="3" borderId="36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4" fillId="3" borderId="40" xfId="0" applyFont="1" applyFill="1" applyBorder="1" applyAlignment="1">
      <alignment/>
    </xf>
    <xf numFmtId="3" fontId="4" fillId="3" borderId="40" xfId="0" applyNumberFormat="1" applyFont="1" applyFill="1" applyBorder="1" applyAlignment="1">
      <alignment/>
    </xf>
    <xf numFmtId="1" fontId="0" fillId="3" borderId="20" xfId="0" applyNumberFormat="1" applyFont="1" applyFill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0" fillId="3" borderId="41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horizontal="right"/>
    </xf>
    <xf numFmtId="3" fontId="5" fillId="4" borderId="24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26" fillId="3" borderId="23" xfId="0" applyNumberFormat="1" applyFont="1" applyFill="1" applyBorder="1" applyAlignment="1">
      <alignment horizontal="center"/>
    </xf>
    <xf numFmtId="0" fontId="0" fillId="3" borderId="42" xfId="0" applyFont="1" applyFill="1" applyBorder="1" applyAlignment="1">
      <alignment wrapText="1"/>
    </xf>
    <xf numFmtId="0" fontId="0" fillId="3" borderId="42" xfId="0" applyFont="1" applyFill="1" applyBorder="1" applyAlignment="1">
      <alignment/>
    </xf>
    <xf numFmtId="3" fontId="0" fillId="3" borderId="4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left" wrapText="1"/>
    </xf>
    <xf numFmtId="3" fontId="4" fillId="3" borderId="39" xfId="0" applyNumberFormat="1" applyFont="1" applyFill="1" applyBorder="1" applyAlignment="1">
      <alignment/>
    </xf>
    <xf numFmtId="3" fontId="4" fillId="3" borderId="43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0" fontId="0" fillId="3" borderId="33" xfId="0" applyFont="1" applyFill="1" applyBorder="1" applyAlignment="1">
      <alignment/>
    </xf>
    <xf numFmtId="3" fontId="5" fillId="4" borderId="20" xfId="0" applyNumberFormat="1" applyFont="1" applyFill="1" applyBorder="1" applyAlignment="1">
      <alignment wrapText="1"/>
    </xf>
    <xf numFmtId="0" fontId="7" fillId="4" borderId="24" xfId="0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3" fontId="5" fillId="3" borderId="44" xfId="0" applyNumberFormat="1" applyFont="1" applyFill="1" applyBorder="1" applyAlignment="1">
      <alignment/>
    </xf>
    <xf numFmtId="3" fontId="5" fillId="3" borderId="45" xfId="0" applyNumberFormat="1" applyFont="1" applyFill="1" applyBorder="1" applyAlignment="1">
      <alignment/>
    </xf>
    <xf numFmtId="3" fontId="7" fillId="3" borderId="46" xfId="0" applyNumberFormat="1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5" fillId="3" borderId="44" xfId="0" applyFont="1" applyFill="1" applyBorder="1" applyAlignment="1">
      <alignment horizontal="right"/>
    </xf>
    <xf numFmtId="0" fontId="5" fillId="3" borderId="45" xfId="0" applyFont="1" applyFill="1" applyBorder="1" applyAlignment="1">
      <alignment/>
    </xf>
    <xf numFmtId="0" fontId="7" fillId="3" borderId="46" xfId="0" applyFont="1" applyFill="1" applyBorder="1" applyAlignment="1">
      <alignment/>
    </xf>
    <xf numFmtId="0" fontId="7" fillId="3" borderId="46" xfId="0" applyFont="1" applyFill="1" applyBorder="1" applyAlignment="1">
      <alignment wrapText="1"/>
    </xf>
    <xf numFmtId="3" fontId="5" fillId="3" borderId="48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/>
    </xf>
    <xf numFmtId="0" fontId="5" fillId="3" borderId="49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31" xfId="0" applyFont="1" applyFill="1" applyBorder="1" applyAlignment="1">
      <alignment horizontal="right"/>
    </xf>
    <xf numFmtId="0" fontId="5" fillId="3" borderId="50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3" fontId="5" fillId="3" borderId="51" xfId="0" applyNumberFormat="1" applyFont="1" applyFill="1" applyBorder="1" applyAlignment="1">
      <alignment/>
    </xf>
    <xf numFmtId="3" fontId="5" fillId="3" borderId="45" xfId="0" applyNumberFormat="1" applyFont="1" applyFill="1" applyBorder="1" applyAlignment="1">
      <alignment/>
    </xf>
    <xf numFmtId="3" fontId="5" fillId="3" borderId="48" xfId="0" applyNumberFormat="1" applyFont="1" applyFill="1" applyBorder="1" applyAlignment="1">
      <alignment/>
    </xf>
    <xf numFmtId="0" fontId="6" fillId="3" borderId="4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right" vertical="center"/>
    </xf>
    <xf numFmtId="3" fontId="10" fillId="3" borderId="48" xfId="0" applyNumberFormat="1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3" fontId="7" fillId="3" borderId="45" xfId="0" applyNumberFormat="1" applyFont="1" applyFill="1" applyBorder="1" applyAlignment="1">
      <alignment/>
    </xf>
    <xf numFmtId="3" fontId="7" fillId="3" borderId="45" xfId="0" applyNumberFormat="1" applyFont="1" applyFill="1" applyBorder="1" applyAlignment="1">
      <alignment horizontal="right"/>
    </xf>
    <xf numFmtId="3" fontId="7" fillId="3" borderId="46" xfId="0" applyNumberFormat="1" applyFont="1" applyFill="1" applyBorder="1" applyAlignment="1">
      <alignment/>
    </xf>
    <xf numFmtId="3" fontId="7" fillId="3" borderId="46" xfId="0" applyNumberFormat="1" applyFont="1" applyFill="1" applyBorder="1" applyAlignment="1">
      <alignment horizontal="right"/>
    </xf>
    <xf numFmtId="0" fontId="5" fillId="3" borderId="48" xfId="0" applyFont="1" applyFill="1" applyBorder="1" applyAlignment="1">
      <alignment/>
    </xf>
    <xf numFmtId="0" fontId="5" fillId="3" borderId="45" xfId="0" applyFont="1" applyFill="1" applyBorder="1" applyAlignment="1">
      <alignment wrapText="1"/>
    </xf>
    <xf numFmtId="0" fontId="10" fillId="3" borderId="45" xfId="0" applyFont="1" applyFill="1" applyBorder="1" applyAlignment="1">
      <alignment wrapText="1"/>
    </xf>
    <xf numFmtId="3" fontId="10" fillId="3" borderId="45" xfId="0" applyNumberFormat="1" applyFont="1" applyFill="1" applyBorder="1" applyAlignment="1">
      <alignment horizontal="right"/>
    </xf>
    <xf numFmtId="3" fontId="10" fillId="3" borderId="52" xfId="0" applyNumberFormat="1" applyFont="1" applyFill="1" applyBorder="1" applyAlignment="1">
      <alignment horizontal="right"/>
    </xf>
    <xf numFmtId="3" fontId="10" fillId="3" borderId="53" xfId="0" applyNumberFormat="1" applyFont="1" applyFill="1" applyBorder="1" applyAlignment="1">
      <alignment horizontal="right"/>
    </xf>
    <xf numFmtId="3" fontId="0" fillId="3" borderId="54" xfId="0" applyNumberFormat="1" applyFont="1" applyFill="1" applyBorder="1" applyAlignment="1">
      <alignment/>
    </xf>
    <xf numFmtId="3" fontId="0" fillId="3" borderId="55" xfId="0" applyNumberFormat="1" applyFont="1" applyFill="1" applyBorder="1" applyAlignment="1">
      <alignment/>
    </xf>
    <xf numFmtId="0" fontId="25" fillId="3" borderId="23" xfId="0" applyFont="1" applyFill="1" applyBorder="1" applyAlignment="1">
      <alignment wrapText="1"/>
    </xf>
    <xf numFmtId="3" fontId="25" fillId="3" borderId="23" xfId="0" applyNumberFormat="1" applyFont="1" applyFill="1" applyBorder="1" applyAlignment="1">
      <alignment/>
    </xf>
    <xf numFmtId="3" fontId="25" fillId="3" borderId="7" xfId="0" applyNumberFormat="1" applyFont="1" applyFill="1" applyBorder="1" applyAlignment="1">
      <alignment/>
    </xf>
    <xf numFmtId="3" fontId="25" fillId="3" borderId="56" xfId="0" applyNumberFormat="1" applyFont="1" applyFill="1" applyBorder="1" applyAlignment="1">
      <alignment/>
    </xf>
    <xf numFmtId="3" fontId="5" fillId="3" borderId="20" xfId="0" applyNumberFormat="1" applyFont="1" applyFill="1" applyBorder="1" applyAlignment="1">
      <alignment/>
    </xf>
    <xf numFmtId="0" fontId="18" fillId="6" borderId="57" xfId="0" applyFill="1" applyBorder="1" applyAlignment="1">
      <alignment/>
    </xf>
    <xf numFmtId="0" fontId="18" fillId="6" borderId="58" xfId="0" applyFill="1" applyBorder="1" applyAlignment="1">
      <alignment horizontal="left"/>
    </xf>
    <xf numFmtId="3" fontId="18" fillId="6" borderId="58" xfId="0" applyNumberFormat="1" applyFill="1" applyAlignment="1">
      <alignment horizontal="right"/>
    </xf>
    <xf numFmtId="3" fontId="18" fillId="6" borderId="58" xfId="0" applyNumberFormat="1" applyFont="1" applyFill="1" applyAlignment="1">
      <alignment horizontal="right"/>
    </xf>
    <xf numFmtId="0" fontId="13" fillId="6" borderId="59" xfId="0" applyFill="1" applyBorder="1" applyAlignment="1">
      <alignment horizontal="center"/>
    </xf>
    <xf numFmtId="0" fontId="14" fillId="9" borderId="60" xfId="0" applyFont="1" applyFill="1" applyBorder="1" applyAlignment="1">
      <alignment horizontal="center"/>
    </xf>
    <xf numFmtId="3" fontId="14" fillId="9" borderId="60" xfId="0" applyNumberFormat="1" applyFill="1" applyAlignment="1">
      <alignment horizontal="right"/>
    </xf>
    <xf numFmtId="0" fontId="13" fillId="6" borderId="59" xfId="0" applyFill="1" applyBorder="1" applyAlignment="1">
      <alignment/>
    </xf>
    <xf numFmtId="0" fontId="19" fillId="9" borderId="28" xfId="0" applyFill="1" applyBorder="1" applyAlignment="1">
      <alignment horizontal="center"/>
    </xf>
    <xf numFmtId="3" fontId="19" fillId="9" borderId="28" xfId="0" applyNumberFormat="1" applyFill="1" applyAlignment="1">
      <alignment horizontal="center"/>
    </xf>
    <xf numFmtId="0" fontId="20" fillId="3" borderId="58" xfId="0" applyFont="1" applyFill="1" applyBorder="1" applyAlignment="1">
      <alignment/>
    </xf>
    <xf numFmtId="3" fontId="7" fillId="3" borderId="35" xfId="0" applyNumberFormat="1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12" fillId="3" borderId="20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3" fontId="12" fillId="3" borderId="20" xfId="0" applyNumberFormat="1" applyFont="1" applyFill="1" applyBorder="1" applyAlignment="1">
      <alignment horizontal="center" wrapText="1"/>
    </xf>
    <xf numFmtId="0" fontId="4" fillId="3" borderId="40" xfId="0" applyFont="1" applyFill="1" applyBorder="1" applyAlignment="1">
      <alignment wrapText="1"/>
    </xf>
    <xf numFmtId="3" fontId="0" fillId="3" borderId="61" xfId="0" applyNumberFormat="1" applyFont="1" applyFill="1" applyBorder="1" applyAlignment="1">
      <alignment/>
    </xf>
    <xf numFmtId="3" fontId="4" fillId="3" borderId="36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3" borderId="62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3" fontId="5" fillId="3" borderId="44" xfId="0" applyNumberFormat="1" applyFont="1" applyFill="1" applyBorder="1" applyAlignment="1">
      <alignment/>
    </xf>
    <xf numFmtId="0" fontId="0" fillId="3" borderId="47" xfId="0" applyFont="1" applyFill="1" applyBorder="1" applyAlignment="1">
      <alignment horizontal="left"/>
    </xf>
    <xf numFmtId="3" fontId="5" fillId="3" borderId="47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left"/>
    </xf>
    <xf numFmtId="3" fontId="0" fillId="3" borderId="24" xfId="0" applyNumberFormat="1" applyFont="1" applyFill="1" applyBorder="1" applyAlignment="1">
      <alignment horizontal="right" wrapText="1"/>
    </xf>
    <xf numFmtId="3" fontId="0" fillId="3" borderId="24" xfId="0" applyNumberFormat="1" applyFont="1" applyFill="1" applyBorder="1" applyAlignment="1">
      <alignment horizontal="right"/>
    </xf>
    <xf numFmtId="3" fontId="0" fillId="3" borderId="64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3" borderId="65" xfId="0" applyNumberFormat="1" applyFont="1" applyFill="1" applyBorder="1" applyAlignment="1">
      <alignment/>
    </xf>
    <xf numFmtId="1" fontId="5" fillId="3" borderId="66" xfId="0" applyNumberFormat="1" applyFont="1" applyFill="1" applyBorder="1" applyAlignment="1">
      <alignment/>
    </xf>
    <xf numFmtId="3" fontId="5" fillId="3" borderId="66" xfId="0" applyNumberFormat="1" applyFont="1" applyFill="1" applyBorder="1" applyAlignment="1">
      <alignment wrapText="1"/>
    </xf>
    <xf numFmtId="3" fontId="5" fillId="3" borderId="66" xfId="0" applyNumberFormat="1" applyFont="1" applyFill="1" applyBorder="1" applyAlignment="1">
      <alignment/>
    </xf>
    <xf numFmtId="3" fontId="5" fillId="3" borderId="67" xfId="0" applyNumberFormat="1" applyFont="1" applyFill="1" applyBorder="1" applyAlignment="1">
      <alignment/>
    </xf>
    <xf numFmtId="3" fontId="5" fillId="3" borderId="68" xfId="0" applyNumberFormat="1" applyFont="1" applyFill="1" applyBorder="1" applyAlignment="1">
      <alignment/>
    </xf>
    <xf numFmtId="3" fontId="5" fillId="3" borderId="69" xfId="0" applyNumberFormat="1" applyFont="1" applyFill="1" applyBorder="1" applyAlignment="1">
      <alignment/>
    </xf>
    <xf numFmtId="1" fontId="5" fillId="3" borderId="70" xfId="0" applyNumberFormat="1" applyFont="1" applyFill="1" applyBorder="1" applyAlignment="1">
      <alignment/>
    </xf>
    <xf numFmtId="3" fontId="5" fillId="3" borderId="70" xfId="0" applyNumberFormat="1" applyFont="1" applyFill="1" applyBorder="1" applyAlignment="1">
      <alignment wrapText="1"/>
    </xf>
    <xf numFmtId="3" fontId="5" fillId="3" borderId="70" xfId="0" applyNumberFormat="1" applyFont="1" applyFill="1" applyBorder="1" applyAlignment="1">
      <alignment/>
    </xf>
    <xf numFmtId="3" fontId="5" fillId="3" borderId="71" xfId="0" applyNumberFormat="1" applyFont="1" applyFill="1" applyBorder="1" applyAlignment="1">
      <alignment/>
    </xf>
    <xf numFmtId="3" fontId="5" fillId="3" borderId="72" xfId="0" applyNumberFormat="1" applyFont="1" applyFill="1" applyBorder="1" applyAlignment="1">
      <alignment/>
    </xf>
    <xf numFmtId="3" fontId="5" fillId="3" borderId="73" xfId="0" applyNumberFormat="1" applyFont="1" applyFill="1" applyBorder="1" applyAlignment="1">
      <alignment/>
    </xf>
    <xf numFmtId="1" fontId="5" fillId="3" borderId="20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3" fontId="5" fillId="3" borderId="31" xfId="0" applyNumberFormat="1" applyFont="1" applyFill="1" applyBorder="1" applyAlignment="1">
      <alignment wrapText="1"/>
    </xf>
    <xf numFmtId="3" fontId="5" fillId="3" borderId="41" xfId="0" applyNumberFormat="1" applyFont="1" applyFill="1" applyBorder="1" applyAlignment="1">
      <alignment wrapText="1"/>
    </xf>
    <xf numFmtId="3" fontId="5" fillId="3" borderId="25" xfId="0" applyNumberFormat="1" applyFont="1" applyFill="1" applyBorder="1" applyAlignment="1">
      <alignment wrapText="1"/>
    </xf>
    <xf numFmtId="3" fontId="5" fillId="3" borderId="74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18" fillId="6" borderId="26" xfId="0" applyFill="1" applyBorder="1" applyAlignment="1">
      <alignment horizontal="left"/>
    </xf>
    <xf numFmtId="0" fontId="13" fillId="6" borderId="28" xfId="0" applyFill="1" applyBorder="1" applyAlignment="1">
      <alignment horizontal="center"/>
    </xf>
    <xf numFmtId="0" fontId="13" fillId="6" borderId="28" xfId="0" applyFill="1" applyBorder="1" applyAlignment="1">
      <alignment/>
    </xf>
    <xf numFmtId="0" fontId="0" fillId="3" borderId="75" xfId="0" applyFont="1" applyFill="1" applyBorder="1" applyAlignment="1">
      <alignment/>
    </xf>
    <xf numFmtId="0" fontId="7" fillId="3" borderId="75" xfId="0" applyFont="1" applyFill="1" applyBorder="1" applyAlignment="1">
      <alignment/>
    </xf>
    <xf numFmtId="0" fontId="5" fillId="4" borderId="76" xfId="0" applyFont="1" applyFill="1" applyBorder="1" applyAlignment="1">
      <alignment/>
    </xf>
    <xf numFmtId="0" fontId="4" fillId="3" borderId="75" xfId="0" applyFont="1" applyFill="1" applyBorder="1" applyAlignment="1">
      <alignment/>
    </xf>
    <xf numFmtId="0" fontId="14" fillId="0" borderId="9" xfId="0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3" fontId="4" fillId="3" borderId="37" xfId="0" applyNumberFormat="1" applyFont="1" applyFill="1" applyBorder="1" applyAlignment="1">
      <alignment/>
    </xf>
    <xf numFmtId="3" fontId="4" fillId="3" borderId="40" xfId="0" applyNumberFormat="1" applyFont="1" applyFill="1" applyBorder="1" applyAlignment="1">
      <alignment wrapText="1"/>
    </xf>
    <xf numFmtId="3" fontId="5" fillId="3" borderId="70" xfId="0" applyNumberFormat="1" applyFont="1" applyFill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 vertical="center"/>
    </xf>
    <xf numFmtId="3" fontId="0" fillId="3" borderId="20" xfId="0" applyNumberFormat="1" applyFont="1" applyFill="1" applyBorder="1" applyAlignment="1">
      <alignment horizontal="right" vertical="center"/>
    </xf>
    <xf numFmtId="3" fontId="0" fillId="3" borderId="77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0" fillId="3" borderId="24" xfId="0" applyNumberFormat="1" applyFont="1" applyFill="1" applyBorder="1" applyAlignment="1">
      <alignment horizontal="right" vertical="center"/>
    </xf>
    <xf numFmtId="3" fontId="5" fillId="3" borderId="70" xfId="15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top"/>
    </xf>
    <xf numFmtId="0" fontId="29" fillId="0" borderId="0" xfId="0" applyFont="1" applyAlignment="1">
      <alignment/>
    </xf>
    <xf numFmtId="3" fontId="30" fillId="3" borderId="2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3" fontId="4" fillId="3" borderId="2" xfId="0" applyNumberFormat="1" applyFont="1" applyFill="1" applyBorder="1" applyAlignment="1">
      <alignment horizontal="right" wrapText="1"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78" xfId="0" applyFont="1" applyBorder="1" applyAlignment="1">
      <alignment wrapText="1"/>
    </xf>
    <xf numFmtId="0" fontId="5" fillId="5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 wrapText="1"/>
    </xf>
    <xf numFmtId="3" fontId="5" fillId="5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33" xfId="0" applyNumberFormat="1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0" fillId="3" borderId="79" xfId="0" applyNumberFormat="1" applyFont="1" applyFill="1" applyBorder="1" applyAlignment="1">
      <alignment/>
    </xf>
    <xf numFmtId="0" fontId="9" fillId="3" borderId="20" xfId="0" applyFont="1" applyFill="1" applyBorder="1" applyAlignment="1">
      <alignment/>
    </xf>
    <xf numFmtId="0" fontId="28" fillId="3" borderId="20" xfId="0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28" fillId="3" borderId="2" xfId="0" applyFont="1" applyFill="1" applyBorder="1" applyAlignment="1">
      <alignment/>
    </xf>
    <xf numFmtId="3" fontId="9" fillId="0" borderId="34" xfId="0" applyNumberFormat="1" applyFont="1" applyBorder="1" applyAlignment="1">
      <alignment/>
    </xf>
    <xf numFmtId="0" fontId="0" fillId="0" borderId="79" xfId="0" applyFont="1" applyBorder="1" applyAlignment="1">
      <alignment/>
    </xf>
    <xf numFmtId="0" fontId="0" fillId="0" borderId="3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79" xfId="0" applyNumberFormat="1" applyFont="1" applyBorder="1" applyAlignment="1">
      <alignment/>
    </xf>
    <xf numFmtId="3" fontId="4" fillId="0" borderId="20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5" fillId="5" borderId="24" xfId="0" applyNumberFormat="1" applyFont="1" applyFill="1" applyBorder="1" applyAlignment="1">
      <alignment wrapText="1"/>
    </xf>
    <xf numFmtId="3" fontId="4" fillId="0" borderId="32" xfId="0" applyNumberFormat="1" applyFont="1" applyBorder="1" applyAlignment="1">
      <alignment wrapText="1"/>
    </xf>
    <xf numFmtId="3" fontId="7" fillId="3" borderId="20" xfId="0" applyNumberFormat="1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0" fontId="7" fillId="3" borderId="20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3" fontId="0" fillId="3" borderId="2" xfId="0" applyNumberFormat="1" applyFont="1" applyFill="1" applyBorder="1" applyAlignment="1">
      <alignment/>
    </xf>
    <xf numFmtId="0" fontId="0" fillId="3" borderId="61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 horizontal="left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3" fontId="5" fillId="0" borderId="31" xfId="0" applyNumberFormat="1" applyFont="1" applyBorder="1" applyAlignment="1">
      <alignment horizontal="right" wrapText="1"/>
    </xf>
    <xf numFmtId="3" fontId="0" fillId="0" borderId="81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7" fillId="3" borderId="44" xfId="0" applyFont="1" applyFill="1" applyBorder="1" applyAlignment="1">
      <alignment wrapText="1"/>
    </xf>
    <xf numFmtId="3" fontId="7" fillId="3" borderId="44" xfId="0" applyNumberFormat="1" applyFont="1" applyFill="1" applyBorder="1" applyAlignment="1">
      <alignment/>
    </xf>
    <xf numFmtId="0" fontId="0" fillId="0" borderId="82" xfId="0" applyFont="1" applyBorder="1" applyAlignment="1">
      <alignment horizontal="left" wrapText="1"/>
    </xf>
    <xf numFmtId="0" fontId="5" fillId="5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5" fillId="5" borderId="31" xfId="0" applyFont="1" applyFill="1" applyBorder="1" applyAlignment="1">
      <alignment horizontal="left" wrapText="1"/>
    </xf>
    <xf numFmtId="3" fontId="5" fillId="5" borderId="31" xfId="0" applyNumberFormat="1" applyFont="1" applyFill="1" applyBorder="1" applyAlignment="1">
      <alignment horizontal="right" wrapText="1"/>
    </xf>
    <xf numFmtId="3" fontId="0" fillId="0" borderId="82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3" fontId="26" fillId="3" borderId="23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 wrapText="1"/>
    </xf>
    <xf numFmtId="0" fontId="7" fillId="2" borderId="23" xfId="0" applyFont="1" applyFill="1" applyBorder="1" applyAlignment="1">
      <alignment wrapText="1"/>
    </xf>
    <xf numFmtId="3" fontId="4" fillId="3" borderId="79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0" fontId="0" fillId="3" borderId="2" xfId="0" applyFont="1" applyFill="1" applyBorder="1" applyAlignment="1">
      <alignment horizontal="left"/>
    </xf>
    <xf numFmtId="3" fontId="0" fillId="3" borderId="2" xfId="0" applyNumberFormat="1" applyFont="1" applyFill="1" applyBorder="1" applyAlignment="1">
      <alignment horizontal="right" wrapText="1"/>
    </xf>
    <xf numFmtId="3" fontId="0" fillId="3" borderId="2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wrapText="1"/>
    </xf>
    <xf numFmtId="3" fontId="5" fillId="2" borderId="23" xfId="0" applyNumberFormat="1" applyFont="1" applyFill="1" applyBorder="1" applyAlignment="1">
      <alignment horizontal="right"/>
    </xf>
    <xf numFmtId="3" fontId="7" fillId="2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wrapText="1"/>
    </xf>
    <xf numFmtId="3" fontId="7" fillId="3" borderId="35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 wrapText="1"/>
    </xf>
    <xf numFmtId="3" fontId="5" fillId="2" borderId="53" xfId="0" applyNumberFormat="1" applyFont="1" applyFill="1" applyBorder="1" applyAlignment="1">
      <alignment/>
    </xf>
    <xf numFmtId="3" fontId="0" fillId="3" borderId="83" xfId="0" applyNumberFormat="1" applyFont="1" applyFill="1" applyBorder="1" applyAlignment="1">
      <alignment/>
    </xf>
    <xf numFmtId="3" fontId="0" fillId="3" borderId="84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0" fontId="7" fillId="3" borderId="85" xfId="0" applyFont="1" applyFill="1" applyBorder="1" applyAlignment="1">
      <alignment/>
    </xf>
    <xf numFmtId="3" fontId="7" fillId="3" borderId="85" xfId="0" applyNumberFormat="1" applyFont="1" applyFill="1" applyBorder="1" applyAlignment="1">
      <alignment/>
    </xf>
    <xf numFmtId="0" fontId="0" fillId="3" borderId="40" xfId="0" applyFont="1" applyFill="1" applyBorder="1" applyAlignment="1">
      <alignment wrapText="1"/>
    </xf>
    <xf numFmtId="0" fontId="0" fillId="3" borderId="86" xfId="0" applyFont="1" applyFill="1" applyBorder="1" applyAlignment="1">
      <alignment wrapText="1"/>
    </xf>
    <xf numFmtId="3" fontId="0" fillId="3" borderId="86" xfId="0" applyNumberFormat="1" applyFont="1" applyFill="1" applyBorder="1" applyAlignment="1">
      <alignment wrapText="1"/>
    </xf>
    <xf numFmtId="0" fontId="4" fillId="3" borderId="87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81" xfId="0" applyFont="1" applyFill="1" applyBorder="1" applyAlignment="1">
      <alignment wrapText="1"/>
    </xf>
    <xf numFmtId="0" fontId="4" fillId="2" borderId="31" xfId="0" applyFont="1" applyFill="1" applyBorder="1" applyAlignment="1">
      <alignment/>
    </xf>
    <xf numFmtId="0" fontId="4" fillId="2" borderId="88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3" xfId="0" applyFont="1" applyBorder="1" applyAlignment="1">
      <alignment/>
    </xf>
    <xf numFmtId="3" fontId="5" fillId="4" borderId="31" xfId="0" applyNumberFormat="1" applyFont="1" applyFill="1" applyBorder="1" applyAlignment="1">
      <alignment horizontal="right" wrapText="1"/>
    </xf>
    <xf numFmtId="3" fontId="5" fillId="3" borderId="31" xfId="0" applyNumberFormat="1" applyFont="1" applyFill="1" applyBorder="1" applyAlignment="1">
      <alignment horizontal="right" wrapText="1"/>
    </xf>
    <xf numFmtId="3" fontId="0" fillId="3" borderId="81" xfId="0" applyNumberFormat="1" applyFont="1" applyFill="1" applyBorder="1" applyAlignment="1">
      <alignment horizontal="right" wrapText="1"/>
    </xf>
    <xf numFmtId="0" fontId="7" fillId="3" borderId="31" xfId="0" applyFont="1" applyFill="1" applyBorder="1" applyAlignment="1">
      <alignment/>
    </xf>
    <xf numFmtId="0" fontId="0" fillId="3" borderId="75" xfId="0" applyFont="1" applyFill="1" applyBorder="1" applyAlignment="1">
      <alignment/>
    </xf>
    <xf numFmtId="3" fontId="4" fillId="3" borderId="20" xfId="0" applyNumberFormat="1" applyFont="1" applyFill="1" applyBorder="1" applyAlignment="1">
      <alignment wrapText="1"/>
    </xf>
    <xf numFmtId="0" fontId="0" fillId="3" borderId="21" xfId="0" applyFont="1" applyFill="1" applyBorder="1" applyAlignment="1">
      <alignment/>
    </xf>
    <xf numFmtId="3" fontId="0" fillId="3" borderId="21" xfId="0" applyNumberFormat="1" applyFont="1" applyFill="1" applyBorder="1" applyAlignment="1">
      <alignment wrapText="1"/>
    </xf>
    <xf numFmtId="3" fontId="4" fillId="7" borderId="88" xfId="0" applyNumberFormat="1" applyFont="1" applyFill="1" applyBorder="1" applyAlignment="1">
      <alignment horizontal="right" wrapText="1"/>
    </xf>
    <xf numFmtId="3" fontId="5" fillId="3" borderId="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56" xfId="0" applyFill="1" applyBorder="1" applyAlignment="1">
      <alignment/>
    </xf>
    <xf numFmtId="0" fontId="5" fillId="5" borderId="31" xfId="0" applyFont="1" applyFill="1" applyBorder="1" applyAlignment="1">
      <alignment wrapText="1"/>
    </xf>
    <xf numFmtId="0" fontId="5" fillId="0" borderId="82" xfId="0" applyFont="1" applyBorder="1" applyAlignment="1">
      <alignment wrapText="1"/>
    </xf>
    <xf numFmtId="0" fontId="0" fillId="0" borderId="8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0" fillId="3" borderId="24" xfId="0" applyFont="1" applyFill="1" applyBorder="1" applyAlignment="1">
      <alignment/>
    </xf>
    <xf numFmtId="0" fontId="0" fillId="2" borderId="33" xfId="0" applyFont="1" applyFill="1" applyBorder="1" applyAlignment="1">
      <alignment wrapText="1"/>
    </xf>
    <xf numFmtId="0" fontId="0" fillId="0" borderId="89" xfId="0" applyFont="1" applyBorder="1" applyAlignment="1">
      <alignment wrapText="1"/>
    </xf>
    <xf numFmtId="3" fontId="0" fillId="0" borderId="24" xfId="0" applyNumberFormat="1" applyFont="1" applyBorder="1" applyAlignment="1">
      <alignment horizontal="right"/>
    </xf>
    <xf numFmtId="0" fontId="7" fillId="0" borderId="23" xfId="0" applyFont="1" applyBorder="1" applyAlignment="1">
      <alignment wrapText="1"/>
    </xf>
    <xf numFmtId="0" fontId="0" fillId="0" borderId="86" xfId="0" applyFont="1" applyBorder="1" applyAlignment="1">
      <alignment wrapText="1"/>
    </xf>
    <xf numFmtId="0" fontId="11" fillId="3" borderId="20" xfId="0" applyFont="1" applyFill="1" applyBorder="1" applyAlignment="1">
      <alignment/>
    </xf>
    <xf numFmtId="0" fontId="12" fillId="0" borderId="20" xfId="0" applyFont="1" applyBorder="1" applyAlignment="1">
      <alignment horizontal="center" wrapText="1"/>
    </xf>
    <xf numFmtId="49" fontId="2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4" fillId="2" borderId="2" xfId="0" applyFont="1" applyFill="1" applyBorder="1" applyAlignment="1">
      <alignment wrapText="1"/>
    </xf>
    <xf numFmtId="3" fontId="5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3" fillId="3" borderId="0" xfId="0" applyNumberFormat="1" applyFont="1" applyFill="1" applyBorder="1" applyAlignment="1">
      <alignment horizontal="right"/>
    </xf>
    <xf numFmtId="3" fontId="5" fillId="3" borderId="0" xfId="15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right"/>
    </xf>
    <xf numFmtId="3" fontId="5" fillId="3" borderId="90" xfId="0" applyNumberFormat="1" applyFont="1" applyFill="1" applyBorder="1" applyAlignment="1">
      <alignment horizontal="left"/>
    </xf>
    <xf numFmtId="3" fontId="5" fillId="3" borderId="91" xfId="15" applyNumberFormat="1" applyFont="1" applyFill="1" applyBorder="1" applyAlignment="1">
      <alignment horizontal="left"/>
    </xf>
    <xf numFmtId="3" fontId="5" fillId="3" borderId="16" xfId="15" applyNumberFormat="1" applyFont="1" applyFill="1" applyBorder="1" applyAlignment="1">
      <alignment horizontal="left"/>
    </xf>
    <xf numFmtId="3" fontId="5" fillId="3" borderId="92" xfId="15" applyNumberFormat="1" applyFont="1" applyFill="1" applyBorder="1" applyAlignment="1">
      <alignment horizontal="left"/>
    </xf>
    <xf numFmtId="3" fontId="28" fillId="3" borderId="91" xfId="15" applyNumberFormat="1" applyFont="1" applyFill="1" applyBorder="1" applyAlignment="1">
      <alignment horizontal="left"/>
    </xf>
    <xf numFmtId="3" fontId="0" fillId="3" borderId="93" xfId="0" applyNumberFormat="1" applyFont="1" applyFill="1" applyBorder="1" applyAlignment="1">
      <alignment/>
    </xf>
    <xf numFmtId="3" fontId="0" fillId="3" borderId="94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3" xfId="15" applyNumberFormat="1" applyFont="1" applyFill="1" applyBorder="1" applyAlignment="1">
      <alignment horizontal="center"/>
    </xf>
    <xf numFmtId="3" fontId="0" fillId="3" borderId="20" xfId="0" applyNumberFormat="1" applyFont="1" applyFill="1" applyBorder="1" applyAlignment="1">
      <alignment horizontal="centerContinuous"/>
    </xf>
    <xf numFmtId="3" fontId="0" fillId="3" borderId="20" xfId="0" applyNumberFormat="1" applyFont="1" applyFill="1" applyBorder="1" applyAlignment="1">
      <alignment horizontal="center"/>
    </xf>
    <xf numFmtId="0" fontId="5" fillId="3" borderId="95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3" borderId="96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0" fontId="0" fillId="3" borderId="6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/>
    </xf>
    <xf numFmtId="0" fontId="5" fillId="3" borderId="63" xfId="0" applyFont="1" applyFill="1" applyBorder="1" applyAlignment="1">
      <alignment horizontal="center"/>
    </xf>
    <xf numFmtId="3" fontId="0" fillId="3" borderId="96" xfId="0" applyNumberFormat="1" applyFont="1" applyFill="1" applyBorder="1" applyAlignment="1">
      <alignment horizontal="left"/>
    </xf>
    <xf numFmtId="3" fontId="6" fillId="3" borderId="20" xfId="0" applyNumberFormat="1" applyFont="1" applyFill="1" applyBorder="1" applyAlignment="1">
      <alignment horizontal="center"/>
    </xf>
    <xf numFmtId="3" fontId="0" fillId="3" borderId="31" xfId="0" applyNumberFormat="1" applyFont="1" applyFill="1" applyBorder="1" applyAlignment="1">
      <alignment horizontal="center"/>
    </xf>
    <xf numFmtId="3" fontId="6" fillId="3" borderId="31" xfId="0" applyNumberFormat="1" applyFont="1" applyFill="1" applyBorder="1" applyAlignment="1">
      <alignment horizontal="center"/>
    </xf>
    <xf numFmtId="3" fontId="9" fillId="3" borderId="3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97" xfId="0" applyFont="1" applyFill="1" applyBorder="1" applyAlignment="1">
      <alignment horizontal="center"/>
    </xf>
    <xf numFmtId="3" fontId="6" fillId="3" borderId="98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6" fillId="3" borderId="99" xfId="0" applyNumberFormat="1" applyFont="1" applyFill="1" applyBorder="1" applyAlignment="1">
      <alignment horizontal="center"/>
    </xf>
    <xf numFmtId="3" fontId="6" fillId="3" borderId="94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vertical="center"/>
    </xf>
    <xf numFmtId="3" fontId="5" fillId="3" borderId="100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right" vertical="center"/>
    </xf>
    <xf numFmtId="3" fontId="5" fillId="3" borderId="101" xfId="15" applyNumberFormat="1" applyFont="1" applyFill="1" applyBorder="1" applyAlignment="1">
      <alignment horizontal="right" vertical="center"/>
    </xf>
    <xf numFmtId="4" fontId="0" fillId="3" borderId="0" xfId="0" applyNumberFormat="1" applyFont="1" applyFill="1" applyBorder="1" applyAlignment="1">
      <alignment horizontal="center" vertical="center"/>
    </xf>
    <xf numFmtId="3" fontId="7" fillId="3" borderId="98" xfId="0" applyNumberFormat="1" applyFont="1" applyFill="1" applyBorder="1" applyAlignment="1">
      <alignment horizontal="center" wrapText="1"/>
    </xf>
    <xf numFmtId="3" fontId="5" fillId="3" borderId="24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/>
    </xf>
    <xf numFmtId="3" fontId="5" fillId="3" borderId="102" xfId="0" applyNumberFormat="1" applyFont="1" applyFill="1" applyBorder="1" applyAlignment="1">
      <alignment horizontal="left" vertical="center"/>
    </xf>
    <xf numFmtId="3" fontId="5" fillId="3" borderId="70" xfId="0" applyNumberFormat="1" applyFont="1" applyFill="1" applyBorder="1" applyAlignment="1">
      <alignment horizontal="right" wrapText="1"/>
    </xf>
    <xf numFmtId="4" fontId="5" fillId="3" borderId="0" xfId="0" applyNumberFormat="1" applyFont="1" applyFill="1" applyBorder="1" applyAlignment="1">
      <alignment horizontal="center" vertical="center"/>
    </xf>
    <xf numFmtId="3" fontId="0" fillId="3" borderId="98" xfId="0" applyNumberFormat="1" applyFont="1" applyFill="1" applyBorder="1" applyAlignment="1">
      <alignment vertical="center"/>
    </xf>
    <xf numFmtId="3" fontId="0" fillId="3" borderId="24" xfId="0" applyNumberFormat="1" applyFont="1" applyFill="1" applyBorder="1" applyAlignment="1">
      <alignment/>
    </xf>
    <xf numFmtId="4" fontId="0" fillId="3" borderId="0" xfId="0" applyNumberFormat="1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/>
    </xf>
    <xf numFmtId="3" fontId="5" fillId="3" borderId="102" xfId="0" applyNumberFormat="1" applyFont="1" applyFill="1" applyBorder="1" applyAlignment="1">
      <alignment horizontal="left" vertical="center" wrapText="1"/>
    </xf>
    <xf numFmtId="3" fontId="5" fillId="3" borderId="102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3" fontId="0" fillId="3" borderId="24" xfId="0" applyNumberFormat="1" applyFont="1" applyFill="1" applyBorder="1" applyAlignment="1">
      <alignment vertical="center"/>
    </xf>
    <xf numFmtId="3" fontId="5" fillId="3" borderId="103" xfId="0" applyNumberFormat="1" applyFont="1" applyFill="1" applyBorder="1" applyAlignment="1">
      <alignment horizontal="left" vertical="center"/>
    </xf>
    <xf numFmtId="3" fontId="5" fillId="3" borderId="45" xfId="0" applyNumberFormat="1" applyFont="1" applyFill="1" applyBorder="1" applyAlignment="1">
      <alignment vertical="center"/>
    </xf>
    <xf numFmtId="0" fontId="0" fillId="3" borderId="77" xfId="0" applyNumberFormat="1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vertical="center"/>
    </xf>
    <xf numFmtId="0" fontId="0" fillId="3" borderId="98" xfId="0" applyNumberFormat="1" applyFont="1" applyFill="1" applyBorder="1" applyAlignment="1">
      <alignment vertical="center" wrapText="1"/>
    </xf>
    <xf numFmtId="0" fontId="0" fillId="3" borderId="77" xfId="0" applyNumberFormat="1" applyFont="1" applyFill="1" applyBorder="1" applyAlignment="1">
      <alignment vertical="center" wrapText="1"/>
    </xf>
    <xf numFmtId="0" fontId="0" fillId="3" borderId="100" xfId="0" applyNumberFormat="1" applyFont="1" applyFill="1" applyBorder="1" applyAlignment="1">
      <alignment vertical="center" wrapText="1"/>
    </xf>
    <xf numFmtId="3" fontId="0" fillId="3" borderId="21" xfId="0" applyNumberFormat="1" applyFont="1" applyFill="1" applyBorder="1" applyAlignment="1">
      <alignment vertical="center"/>
    </xf>
    <xf numFmtId="3" fontId="5" fillId="3" borderId="54" xfId="15" applyNumberFormat="1" applyFont="1" applyFill="1" applyBorder="1" applyAlignment="1">
      <alignment horizontal="right" vertical="center"/>
    </xf>
    <xf numFmtId="3" fontId="5" fillId="3" borderId="84" xfId="15" applyNumberFormat="1" applyFont="1" applyFill="1" applyBorder="1" applyAlignment="1">
      <alignment horizontal="right" vertical="center"/>
    </xf>
    <xf numFmtId="3" fontId="5" fillId="3" borderId="65" xfId="0" applyNumberFormat="1" applyFont="1" applyFill="1" applyBorder="1" applyAlignment="1">
      <alignment horizontal="left" vertical="center" wrapText="1"/>
    </xf>
    <xf numFmtId="3" fontId="5" fillId="3" borderId="20" xfId="0" applyNumberFormat="1" applyFont="1" applyFill="1" applyBorder="1" applyAlignment="1">
      <alignment vertical="center"/>
    </xf>
    <xf numFmtId="3" fontId="0" fillId="6" borderId="24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/>
    </xf>
    <xf numFmtId="3" fontId="0" fillId="10" borderId="98" xfId="0" applyNumberFormat="1" applyFont="1" applyFill="1" applyBorder="1" applyAlignment="1">
      <alignment vertical="center"/>
    </xf>
    <xf numFmtId="3" fontId="0" fillId="10" borderId="24" xfId="0" applyNumberFormat="1" applyFont="1" applyFill="1" applyBorder="1" applyAlignment="1">
      <alignment vertical="center"/>
    </xf>
    <xf numFmtId="0" fontId="5" fillId="3" borderId="102" xfId="0" applyFont="1" applyFill="1" applyBorder="1" applyAlignment="1">
      <alignment vertical="center"/>
    </xf>
    <xf numFmtId="3" fontId="0" fillId="3" borderId="82" xfId="0" applyNumberFormat="1" applyFont="1" applyFill="1" applyBorder="1" applyAlignment="1">
      <alignment vertical="center"/>
    </xf>
    <xf numFmtId="0" fontId="0" fillId="3" borderId="77" xfId="0" applyFont="1" applyFill="1" applyBorder="1" applyAlignment="1">
      <alignment vertical="center"/>
    </xf>
    <xf numFmtId="3" fontId="0" fillId="3" borderId="31" xfId="15" applyNumberFormat="1" applyFont="1" applyFill="1" applyBorder="1" applyAlignment="1">
      <alignment horizontal="right" vertical="center"/>
    </xf>
    <xf numFmtId="3" fontId="5" fillId="3" borderId="70" xfId="0" applyNumberFormat="1" applyFont="1" applyFill="1" applyBorder="1" applyAlignment="1">
      <alignment vertical="center"/>
    </xf>
    <xf numFmtId="3" fontId="0" fillId="3" borderId="24" xfId="15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3" fontId="0" fillId="3" borderId="98" xfId="0" applyNumberFormat="1" applyFont="1" applyFill="1" applyBorder="1" applyAlignment="1">
      <alignment vertical="center" wrapText="1"/>
    </xf>
    <xf numFmtId="3" fontId="0" fillId="3" borderId="24" xfId="15" applyNumberFormat="1" applyFont="1" applyFill="1" applyBorder="1" applyAlignment="1">
      <alignment horizontal="right" vertical="center"/>
    </xf>
    <xf numFmtId="3" fontId="0" fillId="3" borderId="77" xfId="0" applyNumberFormat="1" applyFont="1" applyFill="1" applyBorder="1" applyAlignment="1">
      <alignment vertical="center" wrapText="1"/>
    </xf>
    <xf numFmtId="3" fontId="0" fillId="3" borderId="2" xfId="15" applyNumberFormat="1" applyFont="1" applyFill="1" applyBorder="1" applyAlignment="1">
      <alignment horizontal="right" vertical="center"/>
    </xf>
    <xf numFmtId="3" fontId="0" fillId="3" borderId="100" xfId="0" applyNumberFormat="1" applyFont="1" applyFill="1" applyBorder="1" applyAlignment="1">
      <alignment vertical="center"/>
    </xf>
    <xf numFmtId="3" fontId="0" fillId="3" borderId="21" xfId="15" applyNumberFormat="1" applyFont="1" applyFill="1" applyBorder="1" applyAlignment="1">
      <alignment horizontal="right" vertical="center"/>
    </xf>
    <xf numFmtId="1" fontId="0" fillId="3" borderId="77" xfId="0" applyNumberFormat="1" applyFont="1" applyFill="1" applyBorder="1" applyAlignment="1">
      <alignment vertical="center" wrapText="1"/>
    </xf>
    <xf numFmtId="1" fontId="0" fillId="3" borderId="98" xfId="0" applyNumberFormat="1" applyFont="1" applyFill="1" applyBorder="1" applyAlignment="1">
      <alignment vertical="center" wrapText="1"/>
    </xf>
    <xf numFmtId="3" fontId="5" fillId="3" borderId="104" xfId="15" applyNumberFormat="1" applyFont="1" applyFill="1" applyBorder="1" applyAlignment="1">
      <alignment horizontal="right" vertical="center"/>
    </xf>
    <xf numFmtId="3" fontId="0" fillId="3" borderId="2" xfId="15" applyNumberFormat="1" applyFont="1" applyFill="1" applyBorder="1" applyAlignment="1">
      <alignment vertical="center"/>
    </xf>
    <xf numFmtId="3" fontId="0" fillId="3" borderId="24" xfId="0" applyNumberFormat="1" applyFont="1" applyFill="1" applyBorder="1" applyAlignment="1">
      <alignment vertical="center" wrapText="1"/>
    </xf>
    <xf numFmtId="3" fontId="5" fillId="3" borderId="105" xfId="0" applyNumberFormat="1" applyFont="1" applyFill="1" applyBorder="1" applyAlignment="1">
      <alignment horizontal="left" vertical="center"/>
    </xf>
    <xf numFmtId="3" fontId="5" fillId="3" borderId="51" xfId="15" applyNumberFormat="1" applyFont="1" applyFill="1" applyBorder="1" applyAlignment="1">
      <alignment horizontal="right" vertical="center"/>
    </xf>
    <xf numFmtId="3" fontId="0" fillId="3" borderId="24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3" fontId="0" fillId="3" borderId="98" xfId="0" applyNumberFormat="1" applyFont="1" applyFill="1" applyBorder="1" applyAlignment="1">
      <alignment wrapText="1"/>
    </xf>
    <xf numFmtId="0" fontId="0" fillId="3" borderId="98" xfId="0" applyFont="1" applyFill="1" applyBorder="1" applyAlignment="1">
      <alignment horizontal="left" wrapText="1"/>
    </xf>
    <xf numFmtId="0" fontId="0" fillId="3" borderId="98" xfId="0" applyFont="1" applyFill="1" applyBorder="1" applyAlignment="1">
      <alignment vertical="center"/>
    </xf>
    <xf numFmtId="3" fontId="0" fillId="3" borderId="98" xfId="0" applyNumberFormat="1" applyFont="1" applyFill="1" applyBorder="1" applyAlignment="1">
      <alignment horizontal="left" vertical="center" wrapText="1"/>
    </xf>
    <xf numFmtId="3" fontId="10" fillId="3" borderId="106" xfId="15" applyNumberFormat="1" applyFont="1" applyFill="1" applyBorder="1" applyAlignment="1">
      <alignment horizontal="right" vertical="center"/>
    </xf>
    <xf numFmtId="3" fontId="5" fillId="3" borderId="107" xfId="0" applyNumberFormat="1" applyFont="1" applyFill="1" applyBorder="1" applyAlignment="1">
      <alignment horizontal="left" vertical="center"/>
    </xf>
    <xf numFmtId="3" fontId="5" fillId="3" borderId="48" xfId="15" applyNumberFormat="1" applyFont="1" applyFill="1" applyBorder="1" applyAlignment="1">
      <alignment horizontal="right" vertical="center"/>
    </xf>
    <xf numFmtId="0" fontId="0" fillId="3" borderId="98" xfId="0" applyFont="1" applyFill="1" applyBorder="1" applyAlignment="1">
      <alignment/>
    </xf>
    <xf numFmtId="4" fontId="5" fillId="3" borderId="0" xfId="0" applyNumberFormat="1" applyFont="1" applyFill="1" applyBorder="1" applyAlignment="1">
      <alignment/>
    </xf>
    <xf numFmtId="3" fontId="0" fillId="3" borderId="98" xfId="0" applyNumberFormat="1" applyFont="1" applyFill="1" applyBorder="1" applyAlignment="1">
      <alignment/>
    </xf>
    <xf numFmtId="3" fontId="5" fillId="3" borderId="102" xfId="0" applyNumberFormat="1" applyFont="1" applyFill="1" applyBorder="1" applyAlignment="1">
      <alignment vertical="center" wrapText="1"/>
    </xf>
    <xf numFmtId="3" fontId="0" fillId="3" borderId="2" xfId="15" applyNumberFormat="1" applyFont="1" applyFill="1" applyBorder="1" applyAlignment="1">
      <alignment horizontal="right" vertical="center" wrapText="1"/>
    </xf>
    <xf numFmtId="4" fontId="5" fillId="3" borderId="94" xfId="0" applyNumberFormat="1" applyFont="1" applyFill="1" applyBorder="1" applyAlignment="1">
      <alignment horizontal="right" wrapText="1"/>
    </xf>
    <xf numFmtId="4" fontId="5" fillId="3" borderId="0" xfId="0" applyNumberFormat="1" applyFont="1" applyFill="1" applyBorder="1" applyAlignment="1">
      <alignment horizontal="right" wrapText="1"/>
    </xf>
    <xf numFmtId="0" fontId="5" fillId="3" borderId="102" xfId="0" applyFont="1" applyFill="1" applyBorder="1" applyAlignment="1">
      <alignment vertical="center" wrapText="1"/>
    </xf>
    <xf numFmtId="4" fontId="0" fillId="3" borderId="0" xfId="0" applyNumberFormat="1" applyFont="1" applyFill="1" applyBorder="1" applyAlignment="1" quotePrefix="1">
      <alignment horizontal="center" vertical="center"/>
    </xf>
    <xf numFmtId="0" fontId="5" fillId="3" borderId="102" xfId="0" applyNumberFormat="1" applyFont="1" applyFill="1" applyBorder="1" applyAlignment="1">
      <alignment vertical="center"/>
    </xf>
    <xf numFmtId="0" fontId="7" fillId="3" borderId="77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horizontal="right" vertical="center"/>
    </xf>
    <xf numFmtId="3" fontId="7" fillId="3" borderId="2" xfId="15" applyNumberFormat="1" applyFont="1" applyFill="1" applyBorder="1" applyAlignment="1">
      <alignment horizontal="right" vertical="center"/>
    </xf>
    <xf numFmtId="0" fontId="0" fillId="3" borderId="24" xfId="0" applyFont="1" applyFill="1" applyBorder="1" applyAlignment="1">
      <alignment vertical="center"/>
    </xf>
    <xf numFmtId="3" fontId="11" fillId="3" borderId="24" xfId="0" applyNumberFormat="1" applyFont="1" applyFill="1" applyBorder="1" applyAlignment="1">
      <alignment/>
    </xf>
    <xf numFmtId="0" fontId="7" fillId="3" borderId="108" xfId="0" applyNumberFormat="1" applyFont="1" applyFill="1" applyBorder="1" applyAlignment="1">
      <alignment vertical="center"/>
    </xf>
    <xf numFmtId="3" fontId="7" fillId="3" borderId="66" xfId="0" applyNumberFormat="1" applyFont="1" applyFill="1" applyBorder="1" applyAlignment="1">
      <alignment horizontal="right" vertical="center"/>
    </xf>
    <xf numFmtId="0" fontId="0" fillId="3" borderId="2" xfId="0" applyNumberFormat="1" applyFont="1" applyFill="1" applyBorder="1" applyAlignment="1">
      <alignment vertical="center"/>
    </xf>
    <xf numFmtId="0" fontId="0" fillId="3" borderId="24" xfId="0" applyNumberFormat="1" applyFont="1" applyFill="1" applyBorder="1" applyAlignment="1">
      <alignment vertical="center"/>
    </xf>
    <xf numFmtId="0" fontId="5" fillId="3" borderId="70" xfId="0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0" fontId="10" fillId="3" borderId="109" xfId="0" applyFont="1" applyFill="1" applyBorder="1" applyAlignment="1">
      <alignment horizontal="center" vertical="center"/>
    </xf>
    <xf numFmtId="3" fontId="10" fillId="3" borderId="44" xfId="15" applyNumberFormat="1" applyFont="1" applyFill="1" applyBorder="1" applyAlignment="1">
      <alignment horizontal="right" vertical="center"/>
    </xf>
    <xf numFmtId="0" fontId="5" fillId="3" borderId="102" xfId="0" applyNumberFormat="1" applyFont="1" applyFill="1" applyBorder="1" applyAlignment="1">
      <alignment vertical="center" wrapText="1"/>
    </xf>
    <xf numFmtId="3" fontId="7" fillId="3" borderId="96" xfId="0" applyNumberFormat="1" applyFont="1" applyFill="1" applyBorder="1" applyAlignment="1">
      <alignment vertical="center" wrapText="1"/>
    </xf>
    <xf numFmtId="3" fontId="7" fillId="3" borderId="20" xfId="0" applyNumberFormat="1" applyFont="1" applyFill="1" applyBorder="1" applyAlignment="1">
      <alignment horizontal="right" vertical="center"/>
    </xf>
    <xf numFmtId="3" fontId="7" fillId="3" borderId="101" xfId="15" applyNumberFormat="1" applyFont="1" applyFill="1" applyBorder="1" applyAlignment="1">
      <alignment horizontal="right" vertical="center"/>
    </xf>
    <xf numFmtId="0" fontId="3" fillId="3" borderId="109" xfId="0" applyNumberFormat="1" applyFont="1" applyFill="1" applyBorder="1" applyAlignment="1">
      <alignment horizontal="left" vertical="center"/>
    </xf>
    <xf numFmtId="3" fontId="10" fillId="3" borderId="44" xfId="0" applyNumberFormat="1" applyFont="1" applyFill="1" applyBorder="1" applyAlignment="1">
      <alignment horizontal="right" vertical="center"/>
    </xf>
    <xf numFmtId="3" fontId="5" fillId="3" borderId="110" xfId="15" applyNumberFormat="1" applyFont="1" applyFill="1" applyBorder="1" applyAlignment="1">
      <alignment horizontal="right" vertical="center"/>
    </xf>
    <xf numFmtId="3" fontId="5" fillId="3" borderId="103" xfId="0" applyNumberFormat="1" applyFont="1" applyFill="1" applyBorder="1" applyAlignment="1">
      <alignment horizontal="left" vertical="center" wrapText="1"/>
    </xf>
    <xf numFmtId="3" fontId="5" fillId="3" borderId="45" xfId="0" applyNumberFormat="1" applyFont="1" applyFill="1" applyBorder="1" applyAlignment="1">
      <alignment horizontal="right" vertical="center"/>
    </xf>
    <xf numFmtId="3" fontId="5" fillId="3" borderId="111" xfId="15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0" fontId="0" fillId="3" borderId="24" xfId="0" applyFont="1" applyFill="1" applyBorder="1" applyAlignment="1">
      <alignment horizontal="right" vertical="center"/>
    </xf>
    <xf numFmtId="3" fontId="0" fillId="3" borderId="0" xfId="15" applyNumberFormat="1" applyFont="1" applyFill="1" applyAlignment="1">
      <alignment horizontal="right"/>
    </xf>
    <xf numFmtId="0" fontId="5" fillId="3" borderId="45" xfId="0" applyFont="1" applyFill="1" applyBorder="1" applyAlignment="1">
      <alignment vertical="center"/>
    </xf>
    <xf numFmtId="3" fontId="0" fillId="3" borderId="83" xfId="0" applyNumberFormat="1" applyFont="1" applyFill="1" applyBorder="1" applyAlignment="1">
      <alignment/>
    </xf>
    <xf numFmtId="0" fontId="32" fillId="3" borderId="20" xfId="0" applyFont="1" applyFill="1" applyBorder="1" applyAlignment="1">
      <alignment/>
    </xf>
    <xf numFmtId="3" fontId="0" fillId="3" borderId="112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3" borderId="20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3" fontId="4" fillId="3" borderId="33" xfId="0" applyNumberFormat="1" applyFont="1" applyFill="1" applyBorder="1" applyAlignment="1">
      <alignment wrapText="1"/>
    </xf>
    <xf numFmtId="0" fontId="0" fillId="3" borderId="21" xfId="0" applyFont="1" applyFill="1" applyBorder="1" applyAlignment="1">
      <alignment horizontal="left"/>
    </xf>
    <xf numFmtId="3" fontId="0" fillId="3" borderId="21" xfId="0" applyNumberFormat="1" applyFont="1" applyFill="1" applyBorder="1" applyAlignment="1">
      <alignment horizontal="right" wrapText="1"/>
    </xf>
    <xf numFmtId="0" fontId="0" fillId="3" borderId="39" xfId="0" applyFont="1" applyFill="1" applyBorder="1" applyAlignment="1">
      <alignment horizontal="left"/>
    </xf>
    <xf numFmtId="3" fontId="0" fillId="3" borderId="39" xfId="0" applyNumberFormat="1" applyFont="1" applyFill="1" applyBorder="1" applyAlignment="1">
      <alignment horizontal="right" wrapText="1"/>
    </xf>
    <xf numFmtId="3" fontId="0" fillId="3" borderId="39" xfId="0" applyNumberFormat="1" applyFont="1" applyFill="1" applyBorder="1" applyAlignment="1">
      <alignment horizontal="right"/>
    </xf>
    <xf numFmtId="0" fontId="4" fillId="3" borderId="36" xfId="0" applyFont="1" applyFill="1" applyBorder="1" applyAlignment="1">
      <alignment wrapText="1"/>
    </xf>
    <xf numFmtId="3" fontId="4" fillId="3" borderId="36" xfId="0" applyNumberFormat="1" applyFont="1" applyFill="1" applyBorder="1" applyAlignment="1">
      <alignment wrapText="1"/>
    </xf>
    <xf numFmtId="3" fontId="0" fillId="3" borderId="45" xfId="0" applyNumberFormat="1" applyFont="1" applyFill="1" applyBorder="1" applyAlignment="1">
      <alignment/>
    </xf>
    <xf numFmtId="3" fontId="0" fillId="3" borderId="113" xfId="0" applyNumberFormat="1" applyFont="1" applyFill="1" applyBorder="1" applyAlignment="1">
      <alignment/>
    </xf>
    <xf numFmtId="3" fontId="0" fillId="3" borderId="114" xfId="0" applyNumberFormat="1" applyFont="1" applyFill="1" applyBorder="1" applyAlignment="1">
      <alignment wrapText="1"/>
    </xf>
    <xf numFmtId="3" fontId="0" fillId="3" borderId="115" xfId="0" applyNumberFormat="1" applyFont="1" applyFill="1" applyBorder="1" applyAlignment="1">
      <alignment wrapText="1"/>
    </xf>
    <xf numFmtId="3" fontId="0" fillId="3" borderId="116" xfId="0" applyNumberFormat="1" applyFont="1" applyFill="1" applyBorder="1" applyAlignment="1">
      <alignment wrapText="1"/>
    </xf>
    <xf numFmtId="3" fontId="0" fillId="3" borderId="117" xfId="0" applyNumberFormat="1" applyFont="1" applyFill="1" applyBorder="1" applyAlignment="1">
      <alignment wrapText="1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 wrapText="1"/>
    </xf>
    <xf numFmtId="49" fontId="33" fillId="0" borderId="0" xfId="0" applyNumberFormat="1" applyFont="1" applyAlignment="1">
      <alignment horizontal="center"/>
    </xf>
    <xf numFmtId="0" fontId="5" fillId="0" borderId="24" xfId="0" applyFont="1" applyBorder="1" applyAlignment="1">
      <alignment/>
    </xf>
    <xf numFmtId="0" fontId="27" fillId="0" borderId="2" xfId="0" applyFont="1" applyBorder="1" applyAlignment="1">
      <alignment/>
    </xf>
    <xf numFmtId="0" fontId="27" fillId="2" borderId="2" xfId="0" applyFont="1" applyFill="1" applyBorder="1" applyAlignment="1">
      <alignment wrapText="1"/>
    </xf>
    <xf numFmtId="0" fontId="27" fillId="0" borderId="24" xfId="0" applyFont="1" applyBorder="1" applyAlignment="1">
      <alignment/>
    </xf>
    <xf numFmtId="0" fontId="27" fillId="2" borderId="2" xfId="0" applyFont="1" applyFill="1" applyBorder="1" applyAlignment="1">
      <alignment/>
    </xf>
    <xf numFmtId="0" fontId="27" fillId="3" borderId="20" xfId="0" applyFont="1" applyFill="1" applyBorder="1" applyAlignment="1">
      <alignment/>
    </xf>
    <xf numFmtId="0" fontId="27" fillId="0" borderId="20" xfId="0" applyFont="1" applyBorder="1" applyAlignment="1">
      <alignment/>
    </xf>
    <xf numFmtId="3" fontId="27" fillId="3" borderId="2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3" borderId="24" xfId="0" applyNumberFormat="1" applyFont="1" applyFill="1" applyBorder="1" applyAlignment="1">
      <alignment/>
    </xf>
    <xf numFmtId="0" fontId="27" fillId="0" borderId="20" xfId="0" applyFont="1" applyBorder="1" applyAlignment="1">
      <alignment/>
    </xf>
    <xf numFmtId="0" fontId="27" fillId="3" borderId="2" xfId="0" applyFont="1" applyFill="1" applyBorder="1" applyAlignment="1">
      <alignment/>
    </xf>
    <xf numFmtId="0" fontId="27" fillId="2" borderId="20" xfId="0" applyFont="1" applyFill="1" applyBorder="1" applyAlignment="1">
      <alignment wrapText="1"/>
    </xf>
    <xf numFmtId="0" fontId="27" fillId="2" borderId="24" xfId="0" applyFont="1" applyFill="1" applyBorder="1" applyAlignment="1">
      <alignment wrapText="1"/>
    </xf>
    <xf numFmtId="3" fontId="4" fillId="3" borderId="24" xfId="0" applyNumberFormat="1" applyFont="1" applyFill="1" applyBorder="1" applyAlignment="1">
      <alignment wrapText="1"/>
    </xf>
    <xf numFmtId="0" fontId="27" fillId="2" borderId="24" xfId="0" applyFont="1" applyFill="1" applyBorder="1" applyAlignment="1">
      <alignment/>
    </xf>
    <xf numFmtId="0" fontId="26" fillId="3" borderId="24" xfId="0" applyFont="1" applyFill="1" applyBorder="1" applyAlignment="1">
      <alignment horizontal="center" vertical="center"/>
    </xf>
    <xf numFmtId="3" fontId="26" fillId="3" borderId="24" xfId="0" applyNumberFormat="1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" borderId="31" xfId="0" applyFont="1" applyFill="1" applyBorder="1" applyAlignment="1">
      <alignment horizontal="right"/>
    </xf>
    <xf numFmtId="0" fontId="4" fillId="0" borderId="64" xfId="0" applyFont="1" applyBorder="1" applyAlignment="1">
      <alignment/>
    </xf>
    <xf numFmtId="0" fontId="4" fillId="3" borderId="2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3" fontId="0" fillId="3" borderId="89" xfId="0" applyNumberFormat="1" applyFont="1" applyFill="1" applyBorder="1" applyAlignment="1">
      <alignment/>
    </xf>
    <xf numFmtId="0" fontId="0" fillId="3" borderId="86" xfId="0" applyFont="1" applyFill="1" applyBorder="1" applyAlignment="1">
      <alignment/>
    </xf>
    <xf numFmtId="3" fontId="0" fillId="3" borderId="86" xfId="0" applyNumberFormat="1" applyFont="1" applyFill="1" applyBorder="1" applyAlignment="1">
      <alignment/>
    </xf>
    <xf numFmtId="3" fontId="0" fillId="0" borderId="89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0" fontId="0" fillId="0" borderId="79" xfId="0" applyFont="1" applyBorder="1" applyAlignment="1">
      <alignment wrapText="1"/>
    </xf>
    <xf numFmtId="3" fontId="0" fillId="0" borderId="79" xfId="0" applyNumberFormat="1" applyFont="1" applyBorder="1" applyAlignment="1">
      <alignment wrapText="1"/>
    </xf>
    <xf numFmtId="0" fontId="4" fillId="0" borderId="32" xfId="0" applyFont="1" applyBorder="1" applyAlignment="1">
      <alignment horizontal="left" wrapText="1"/>
    </xf>
    <xf numFmtId="3" fontId="4" fillId="3" borderId="33" xfId="0" applyNumberFormat="1" applyFont="1" applyFill="1" applyBorder="1" applyAlignment="1">
      <alignment/>
    </xf>
    <xf numFmtId="0" fontId="33" fillId="3" borderId="20" xfId="0" applyFont="1" applyFill="1" applyBorder="1" applyAlignment="1">
      <alignment/>
    </xf>
    <xf numFmtId="0" fontId="33" fillId="0" borderId="20" xfId="0" applyFont="1" applyBorder="1" applyAlignment="1">
      <alignment/>
    </xf>
    <xf numFmtId="0" fontId="30" fillId="0" borderId="0" xfId="0" applyFont="1" applyAlignment="1">
      <alignment/>
    </xf>
    <xf numFmtId="0" fontId="30" fillId="3" borderId="75" xfId="0" applyFont="1" applyFill="1" applyBorder="1" applyAlignment="1">
      <alignment/>
    </xf>
    <xf numFmtId="3" fontId="30" fillId="3" borderId="2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0" fontId="12" fillId="3" borderId="20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/>
    </xf>
    <xf numFmtId="0" fontId="12" fillId="0" borderId="20" xfId="0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0" fillId="3" borderId="20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0" borderId="114" xfId="0" applyFont="1" applyBorder="1" applyAlignment="1">
      <alignment wrapText="1"/>
    </xf>
    <xf numFmtId="3" fontId="4" fillId="0" borderId="114" xfId="0" applyNumberFormat="1" applyFont="1" applyBorder="1" applyAlignment="1">
      <alignment wrapText="1"/>
    </xf>
    <xf numFmtId="0" fontId="33" fillId="0" borderId="0" xfId="0" applyFont="1" applyBorder="1" applyAlignment="1">
      <alignment/>
    </xf>
    <xf numFmtId="0" fontId="27" fillId="0" borderId="2" xfId="0" applyFont="1" applyBorder="1" applyAlignment="1">
      <alignment/>
    </xf>
    <xf numFmtId="0" fontId="33" fillId="2" borderId="33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wrapText="1"/>
    </xf>
    <xf numFmtId="0" fontId="0" fillId="0" borderId="20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wrapText="1"/>
    </xf>
    <xf numFmtId="3" fontId="4" fillId="0" borderId="32" xfId="0" applyNumberFormat="1" applyFont="1" applyFill="1" applyBorder="1" applyAlignment="1">
      <alignment wrapText="1"/>
    </xf>
    <xf numFmtId="3" fontId="0" fillId="0" borderId="34" xfId="0" applyNumberFormat="1" applyFont="1" applyFill="1" applyBorder="1" applyAlignment="1">
      <alignment wrapText="1"/>
    </xf>
    <xf numFmtId="0" fontId="4" fillId="3" borderId="37" xfId="0" applyFont="1" applyFill="1" applyBorder="1" applyAlignment="1">
      <alignment wrapText="1"/>
    </xf>
    <xf numFmtId="0" fontId="4" fillId="3" borderId="37" xfId="0" applyFont="1" applyFill="1" applyBorder="1" applyAlignment="1">
      <alignment/>
    </xf>
    <xf numFmtId="3" fontId="16" fillId="3" borderId="20" xfId="0" applyNumberFormat="1" applyFont="1" applyFill="1" applyBorder="1" applyAlignment="1">
      <alignment/>
    </xf>
    <xf numFmtId="3" fontId="13" fillId="3" borderId="21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3" fontId="7" fillId="3" borderId="96" xfId="0" applyNumberFormat="1" applyFont="1" applyFill="1" applyBorder="1" applyAlignment="1">
      <alignment vertical="center"/>
    </xf>
    <xf numFmtId="3" fontId="7" fillId="3" borderId="65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6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3" fontId="5" fillId="5" borderId="24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vertical="center"/>
    </xf>
    <xf numFmtId="0" fontId="5" fillId="11" borderId="20" xfId="0" applyFont="1" applyFill="1" applyBorder="1" applyAlignment="1">
      <alignment/>
    </xf>
    <xf numFmtId="3" fontId="5" fillId="11" borderId="20" xfId="0" applyNumberFormat="1" applyFont="1" applyFill="1" applyBorder="1" applyAlignment="1">
      <alignment/>
    </xf>
    <xf numFmtId="0" fontId="37" fillId="11" borderId="47" xfId="0" applyFont="1" applyFill="1" applyBorder="1" applyAlignment="1">
      <alignment horizontal="center"/>
    </xf>
    <xf numFmtId="3" fontId="37" fillId="11" borderId="47" xfId="0" applyNumberFormat="1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5" fillId="11" borderId="2" xfId="0" applyFont="1" applyFill="1" applyBorder="1" applyAlignment="1">
      <alignment horizontal="center"/>
    </xf>
    <xf numFmtId="3" fontId="5" fillId="11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5" fillId="3" borderId="113" xfId="15" applyNumberFormat="1" applyFont="1" applyFill="1" applyBorder="1" applyAlignment="1">
      <alignment horizontal="right" vertical="center"/>
    </xf>
    <xf numFmtId="0" fontId="0" fillId="3" borderId="102" xfId="0" applyNumberFormat="1" applyFont="1" applyFill="1" applyBorder="1" applyAlignment="1">
      <alignment vertical="center" wrapText="1"/>
    </xf>
    <xf numFmtId="3" fontId="0" fillId="3" borderId="70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/>
    </xf>
    <xf numFmtId="3" fontId="0" fillId="3" borderId="96" xfId="0" applyNumberFormat="1" applyFont="1" applyFill="1" applyBorder="1" applyAlignment="1">
      <alignment horizontal="left" vertical="center" wrapText="1"/>
    </xf>
    <xf numFmtId="3" fontId="0" fillId="3" borderId="65" xfId="0" applyNumberFormat="1" applyFont="1" applyFill="1" applyBorder="1" applyAlignment="1">
      <alignment vertical="center"/>
    </xf>
    <xf numFmtId="3" fontId="0" fillId="3" borderId="118" xfId="0" applyNumberFormat="1" applyFont="1" applyFill="1" applyBorder="1" applyAlignment="1">
      <alignment vertical="center"/>
    </xf>
    <xf numFmtId="3" fontId="4" fillId="3" borderId="118" xfId="0" applyNumberFormat="1" applyFont="1" applyFill="1" applyBorder="1" applyAlignment="1">
      <alignment vertical="center"/>
    </xf>
    <xf numFmtId="3" fontId="4" fillId="3" borderId="65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/>
    </xf>
    <xf numFmtId="3" fontId="4" fillId="3" borderId="77" xfId="0" applyNumberFormat="1" applyFont="1" applyFill="1" applyBorder="1" applyAlignment="1">
      <alignment horizontal="left" vertical="center" wrapText="1"/>
    </xf>
    <xf numFmtId="3" fontId="4" fillId="3" borderId="25" xfId="0" applyNumberFormat="1" applyFont="1" applyFill="1" applyBorder="1" applyAlignment="1">
      <alignment vertical="center"/>
    </xf>
    <xf numFmtId="3" fontId="0" fillId="3" borderId="119" xfId="0" applyNumberFormat="1" applyFont="1" applyFill="1" applyBorder="1" applyAlignment="1">
      <alignment horizontal="left" vertical="center" wrapText="1"/>
    </xf>
    <xf numFmtId="3" fontId="0" fillId="3" borderId="120" xfId="0" applyNumberFormat="1" applyFont="1" applyFill="1" applyBorder="1" applyAlignment="1">
      <alignment vertical="center"/>
    </xf>
    <xf numFmtId="0" fontId="4" fillId="0" borderId="121" xfId="0" applyFont="1" applyBorder="1" applyAlignment="1">
      <alignment wrapText="1"/>
    </xf>
    <xf numFmtId="3" fontId="0" fillId="3" borderId="65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3" borderId="20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/>
    </xf>
    <xf numFmtId="0" fontId="4" fillId="3" borderId="24" xfId="0" applyFont="1" applyFill="1" applyBorder="1" applyAlignment="1">
      <alignment horizontal="left" wrapText="1"/>
    </xf>
    <xf numFmtId="0" fontId="5" fillId="3" borderId="8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0" fontId="4" fillId="0" borderId="65" xfId="0" applyFont="1" applyFill="1" applyBorder="1" applyAlignment="1">
      <alignment/>
    </xf>
    <xf numFmtId="3" fontId="4" fillId="0" borderId="65" xfId="0" applyNumberFormat="1" applyFont="1" applyFill="1" applyBorder="1" applyAlignment="1">
      <alignment/>
    </xf>
    <xf numFmtId="0" fontId="0" fillId="3" borderId="22" xfId="0" applyFont="1" applyFill="1" applyBorder="1" applyAlignment="1">
      <alignment wrapText="1"/>
    </xf>
    <xf numFmtId="3" fontId="5" fillId="3" borderId="45" xfId="0" applyNumberFormat="1" applyFont="1" applyFill="1" applyBorder="1" applyAlignment="1">
      <alignment wrapText="1"/>
    </xf>
    <xf numFmtId="3" fontId="5" fillId="3" borderId="122" xfId="0" applyNumberFormat="1" applyFont="1" applyFill="1" applyBorder="1" applyAlignment="1">
      <alignment/>
    </xf>
    <xf numFmtId="3" fontId="5" fillId="3" borderId="123" xfId="0" applyNumberFormat="1" applyFont="1" applyFill="1" applyBorder="1" applyAlignment="1">
      <alignment/>
    </xf>
    <xf numFmtId="3" fontId="5" fillId="3" borderId="53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0" fontId="25" fillId="3" borderId="35" xfId="0" applyFont="1" applyFill="1" applyBorder="1" applyAlignment="1">
      <alignment wrapText="1"/>
    </xf>
    <xf numFmtId="3" fontId="25" fillId="3" borderId="35" xfId="0" applyNumberFormat="1" applyFont="1" applyFill="1" applyBorder="1" applyAlignment="1">
      <alignment/>
    </xf>
    <xf numFmtId="3" fontId="25" fillId="3" borderId="110" xfId="0" applyNumberFormat="1" applyFont="1" applyFill="1" applyBorder="1" applyAlignment="1">
      <alignment/>
    </xf>
    <xf numFmtId="3" fontId="25" fillId="3" borderId="4" xfId="0" applyNumberFormat="1" applyFont="1" applyFill="1" applyBorder="1" applyAlignment="1">
      <alignment/>
    </xf>
    <xf numFmtId="3" fontId="25" fillId="3" borderId="124" xfId="0" applyNumberFormat="1" applyFont="1" applyFill="1" applyBorder="1" applyAlignment="1">
      <alignment/>
    </xf>
    <xf numFmtId="0" fontId="7" fillId="3" borderId="45" xfId="0" applyFont="1" applyFill="1" applyBorder="1" applyAlignment="1">
      <alignment wrapText="1"/>
    </xf>
    <xf numFmtId="3" fontId="7" fillId="3" borderId="45" xfId="0" applyNumberFormat="1" applyFont="1" applyFill="1" applyBorder="1" applyAlignment="1">
      <alignment/>
    </xf>
    <xf numFmtId="3" fontId="7" fillId="3" borderId="123" xfId="0" applyNumberFormat="1" applyFont="1" applyFill="1" applyBorder="1" applyAlignment="1">
      <alignment/>
    </xf>
    <xf numFmtId="3" fontId="7" fillId="3" borderId="125" xfId="0" applyNumberFormat="1" applyFont="1" applyFill="1" applyBorder="1" applyAlignment="1">
      <alignment/>
    </xf>
    <xf numFmtId="0" fontId="4" fillId="3" borderId="47" xfId="0" applyFont="1" applyFill="1" applyBorder="1" applyAlignment="1">
      <alignment wrapText="1"/>
    </xf>
    <xf numFmtId="3" fontId="4" fillId="3" borderId="47" xfId="0" applyNumberFormat="1" applyFont="1" applyFill="1" applyBorder="1" applyAlignment="1">
      <alignment/>
    </xf>
    <xf numFmtId="3" fontId="4" fillId="3" borderId="50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3" fontId="4" fillId="3" borderId="126" xfId="0" applyNumberFormat="1" applyFont="1" applyFill="1" applyBorder="1" applyAlignment="1">
      <alignment/>
    </xf>
    <xf numFmtId="0" fontId="4" fillId="3" borderId="39" xfId="0" applyFont="1" applyFill="1" applyBorder="1" applyAlignment="1">
      <alignment/>
    </xf>
    <xf numFmtId="0" fontId="4" fillId="2" borderId="40" xfId="0" applyFont="1" applyFill="1" applyBorder="1" applyAlignment="1">
      <alignment wrapText="1"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left"/>
    </xf>
    <xf numFmtId="3" fontId="10" fillId="0" borderId="48" xfId="0" applyNumberFormat="1" applyFont="1" applyBorder="1" applyAlignment="1">
      <alignment horizontal="right"/>
    </xf>
    <xf numFmtId="0" fontId="10" fillId="0" borderId="48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46" xfId="0" applyFont="1" applyBorder="1" applyAlignment="1">
      <alignment wrapText="1"/>
    </xf>
    <xf numFmtId="3" fontId="5" fillId="0" borderId="46" xfId="0" applyNumberFormat="1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5" borderId="2" xfId="0" applyFont="1" applyFill="1" applyBorder="1" applyAlignment="1">
      <alignment wrapText="1"/>
    </xf>
    <xf numFmtId="3" fontId="5" fillId="5" borderId="2" xfId="0" applyNumberFormat="1" applyFont="1" applyFill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wrapText="1"/>
    </xf>
    <xf numFmtId="3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wrapText="1"/>
    </xf>
    <xf numFmtId="3" fontId="0" fillId="3" borderId="77" xfId="0" applyNumberFormat="1" applyFont="1" applyFill="1" applyBorder="1" applyAlignment="1">
      <alignment horizontal="left" vertical="center"/>
    </xf>
    <xf numFmtId="0" fontId="0" fillId="3" borderId="127" xfId="0" applyFont="1" applyFill="1" applyBorder="1" applyAlignment="1">
      <alignment vertical="center"/>
    </xf>
    <xf numFmtId="3" fontId="0" fillId="3" borderId="25" xfId="0" applyNumberFormat="1" applyFont="1" applyFill="1" applyBorder="1" applyAlignment="1">
      <alignment/>
    </xf>
    <xf numFmtId="3" fontId="5" fillId="3" borderId="45" xfId="15" applyNumberFormat="1" applyFont="1" applyFill="1" applyBorder="1" applyAlignment="1">
      <alignment horizontal="right" vertical="center"/>
    </xf>
    <xf numFmtId="3" fontId="0" fillId="3" borderId="77" xfId="0" applyNumberFormat="1" applyFont="1" applyFill="1" applyBorder="1" applyAlignment="1">
      <alignment horizontal="left" vertical="center" wrapText="1"/>
    </xf>
    <xf numFmtId="3" fontId="0" fillId="3" borderId="25" xfId="0" applyNumberFormat="1" applyFont="1" applyFill="1" applyBorder="1" applyAlignment="1">
      <alignment vertical="center"/>
    </xf>
    <xf numFmtId="3" fontId="5" fillId="3" borderId="19" xfId="15" applyNumberFormat="1" applyFont="1" applyFill="1" applyBorder="1" applyAlignment="1">
      <alignment horizontal="right" vertical="center"/>
    </xf>
    <xf numFmtId="3" fontId="7" fillId="3" borderId="111" xfId="15" applyNumberFormat="1" applyFont="1" applyFill="1" applyBorder="1" applyAlignment="1">
      <alignment horizontal="right" vertical="center"/>
    </xf>
    <xf numFmtId="3" fontId="5" fillId="3" borderId="128" xfId="15" applyNumberFormat="1" applyFont="1" applyFill="1" applyBorder="1" applyAlignment="1">
      <alignment horizontal="right" vertical="center"/>
    </xf>
    <xf numFmtId="3" fontId="5" fillId="3" borderId="129" xfId="15" applyNumberFormat="1" applyFont="1" applyFill="1" applyBorder="1" applyAlignment="1">
      <alignment horizontal="right" vertical="center"/>
    </xf>
    <xf numFmtId="3" fontId="0" fillId="3" borderId="112" xfId="0" applyNumberFormat="1" applyFont="1" applyFill="1" applyBorder="1" applyAlignment="1">
      <alignment horizontal="left" vertical="center" wrapText="1"/>
    </xf>
    <xf numFmtId="3" fontId="0" fillId="3" borderId="130" xfId="0" applyNumberFormat="1" applyFont="1" applyFill="1" applyBorder="1" applyAlignment="1">
      <alignment vertical="center"/>
    </xf>
    <xf numFmtId="3" fontId="0" fillId="3" borderId="53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horizontal="right" wrapText="1"/>
    </xf>
    <xf numFmtId="3" fontId="4" fillId="3" borderId="131" xfId="0" applyNumberFormat="1" applyFont="1" applyFill="1" applyBorder="1" applyAlignment="1">
      <alignment/>
    </xf>
    <xf numFmtId="0" fontId="0" fillId="0" borderId="0" xfId="18">
      <alignment/>
      <protection/>
    </xf>
    <xf numFmtId="3" fontId="8" fillId="0" borderId="0" xfId="18" applyNumberFormat="1" applyFont="1" applyFill="1" applyBorder="1" applyAlignment="1">
      <alignment horizontal="centerContinuous"/>
      <protection/>
    </xf>
    <xf numFmtId="3" fontId="36" fillId="0" borderId="0" xfId="18" applyNumberFormat="1" applyFont="1" applyFill="1" applyBorder="1" applyAlignment="1">
      <alignment horizontal="centerContinuous"/>
      <protection/>
    </xf>
    <xf numFmtId="3" fontId="36" fillId="0" borderId="0" xfId="18" applyNumberFormat="1" applyFont="1" applyFill="1" applyBorder="1" applyAlignment="1">
      <alignment horizontal="center"/>
      <protection/>
    </xf>
    <xf numFmtId="0" fontId="11" fillId="0" borderId="0" xfId="18" applyFont="1">
      <alignment/>
      <protection/>
    </xf>
    <xf numFmtId="0" fontId="23" fillId="0" borderId="0" xfId="18" applyFont="1" applyAlignment="1">
      <alignment/>
      <protection/>
    </xf>
    <xf numFmtId="0" fontId="36" fillId="0" borderId="0" xfId="18" applyFont="1" applyAlignment="1">
      <alignment vertical="top" wrapText="1"/>
      <protection/>
    </xf>
    <xf numFmtId="0" fontId="23" fillId="2" borderId="0" xfId="0" applyFont="1" applyFill="1" applyAlignment="1">
      <alignment/>
    </xf>
    <xf numFmtId="3" fontId="8" fillId="0" borderId="0" xfId="18" applyNumberFormat="1" applyFont="1" applyFill="1" applyBorder="1" applyAlignment="1">
      <alignment horizontal="left"/>
      <protection/>
    </xf>
    <xf numFmtId="0" fontId="0" fillId="0" borderId="0" xfId="18" applyAlignment="1">
      <alignment/>
      <protection/>
    </xf>
    <xf numFmtId="3" fontId="8" fillId="0" borderId="0" xfId="18" applyNumberFormat="1" applyFont="1" applyFill="1" applyBorder="1" applyAlignment="1">
      <alignment horizontal="left" vertical="top" wrapText="1"/>
      <protection/>
    </xf>
    <xf numFmtId="3" fontId="11" fillId="0" borderId="0" xfId="18" applyNumberFormat="1" applyFont="1" applyFill="1" applyBorder="1" applyAlignment="1">
      <alignment horizontal="left" vertical="top" wrapText="1"/>
      <protection/>
    </xf>
    <xf numFmtId="3" fontId="9" fillId="0" borderId="0" xfId="18" applyNumberFormat="1" applyFont="1">
      <alignment/>
      <protection/>
    </xf>
    <xf numFmtId="3" fontId="9" fillId="0" borderId="0" xfId="18" applyNumberFormat="1" applyFont="1" applyFill="1" applyBorder="1" applyAlignment="1">
      <alignment horizontal="center"/>
      <protection/>
    </xf>
    <xf numFmtId="3" fontId="9" fillId="0" borderId="0" xfId="18" applyNumberFormat="1" applyFont="1" applyFill="1" applyBorder="1" applyAlignment="1">
      <alignment horizontal="centerContinuous"/>
      <protection/>
    </xf>
    <xf numFmtId="3" fontId="11" fillId="0" borderId="0" xfId="18" applyNumberFormat="1" applyFont="1" applyFill="1" applyBorder="1" applyAlignment="1">
      <alignment horizontal="center"/>
      <protection/>
    </xf>
    <xf numFmtId="3" fontId="10" fillId="0" borderId="1" xfId="18" applyNumberFormat="1" applyFont="1" applyFill="1" applyBorder="1" applyAlignment="1">
      <alignment horizontal="center" vertical="center"/>
      <protection/>
    </xf>
    <xf numFmtId="3" fontId="10" fillId="0" borderId="1" xfId="18" applyNumberFormat="1" applyFont="1" applyFill="1" applyBorder="1" applyAlignment="1">
      <alignment horizontal="center" vertical="center" wrapText="1"/>
      <protection/>
    </xf>
    <xf numFmtId="0" fontId="11" fillId="0" borderId="0" xfId="18" applyFont="1" applyAlignment="1">
      <alignment horizontal="center"/>
      <protection/>
    </xf>
    <xf numFmtId="3" fontId="9" fillId="0" borderId="1" xfId="18" applyNumberFormat="1" applyFont="1" applyFill="1" applyBorder="1" applyAlignment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0" fontId="10" fillId="0" borderId="0" xfId="18" applyFont="1" applyFill="1" applyBorder="1" applyAlignment="1">
      <alignment horizontal="left"/>
      <protection/>
    </xf>
    <xf numFmtId="3" fontId="3" fillId="5" borderId="132" xfId="18" applyNumberFormat="1" applyFont="1" applyFill="1" applyBorder="1" applyAlignment="1">
      <alignment horizontal="right"/>
      <protection/>
    </xf>
    <xf numFmtId="3" fontId="3" fillId="5" borderId="2" xfId="18" applyNumberFormat="1" applyFont="1" applyFill="1" applyBorder="1" applyAlignment="1">
      <alignment horizontal="left"/>
      <protection/>
    </xf>
    <xf numFmtId="3" fontId="3" fillId="5" borderId="2" xfId="18" applyNumberFormat="1" applyFont="1" applyFill="1" applyBorder="1" applyAlignment="1">
      <alignment horizontal="left" wrapText="1"/>
      <protection/>
    </xf>
    <xf numFmtId="3" fontId="3" fillId="5" borderId="2" xfId="18" applyNumberFormat="1" applyFont="1" applyFill="1" applyBorder="1" applyAlignment="1">
      <alignment horizontal="right"/>
      <protection/>
    </xf>
    <xf numFmtId="0" fontId="10" fillId="2" borderId="0" xfId="18" applyFont="1" applyFill="1" applyBorder="1" applyAlignment="1">
      <alignment horizontal="left"/>
      <protection/>
    </xf>
    <xf numFmtId="3" fontId="3" fillId="2" borderId="21" xfId="18" applyNumberFormat="1" applyFont="1" applyFill="1" applyBorder="1" applyAlignment="1">
      <alignment horizontal="right"/>
      <protection/>
    </xf>
    <xf numFmtId="1" fontId="3" fillId="2" borderId="2" xfId="18" applyNumberFormat="1" applyFont="1" applyFill="1" applyBorder="1" applyAlignment="1">
      <alignment horizontal="right"/>
      <protection/>
    </xf>
    <xf numFmtId="3" fontId="3" fillId="2" borderId="2" xfId="18" applyNumberFormat="1" applyFont="1" applyFill="1" applyBorder="1" applyAlignment="1">
      <alignment horizontal="left" wrapText="1"/>
      <protection/>
    </xf>
    <xf numFmtId="3" fontId="3" fillId="2" borderId="2" xfId="18" applyNumberFormat="1" applyFont="1" applyFill="1" applyBorder="1" applyAlignment="1">
      <alignment horizontal="right"/>
      <protection/>
    </xf>
    <xf numFmtId="3" fontId="0" fillId="0" borderId="0" xfId="18" applyNumberFormat="1">
      <alignment/>
      <protection/>
    </xf>
    <xf numFmtId="0" fontId="10" fillId="0" borderId="0" xfId="18" applyFont="1" applyAlignment="1">
      <alignment horizontal="left"/>
      <protection/>
    </xf>
    <xf numFmtId="3" fontId="3" fillId="0" borderId="20" xfId="18" applyNumberFormat="1" applyFont="1" applyFill="1" applyBorder="1" applyAlignment="1">
      <alignment horizontal="left"/>
      <protection/>
    </xf>
    <xf numFmtId="3" fontId="3" fillId="0" borderId="20" xfId="18" applyNumberFormat="1" applyFont="1" applyFill="1" applyBorder="1" applyAlignment="1">
      <alignment horizontal="right"/>
      <protection/>
    </xf>
    <xf numFmtId="0" fontId="23" fillId="0" borderId="20" xfId="18" applyFont="1" applyBorder="1" applyAlignment="1">
      <alignment/>
      <protection/>
    </xf>
    <xf numFmtId="3" fontId="23" fillId="0" borderId="20" xfId="18" applyNumberFormat="1" applyFont="1" applyFill="1" applyBorder="1" applyAlignment="1">
      <alignment horizontal="right"/>
      <protection/>
    </xf>
    <xf numFmtId="3" fontId="23" fillId="0" borderId="21" xfId="18" applyNumberFormat="1" applyFont="1" applyFill="1" applyBorder="1" applyAlignment="1">
      <alignment horizontal="right"/>
      <protection/>
    </xf>
    <xf numFmtId="0" fontId="35" fillId="0" borderId="0" xfId="18" applyFont="1" applyBorder="1">
      <alignment/>
      <protection/>
    </xf>
    <xf numFmtId="3" fontId="29" fillId="0" borderId="20" xfId="18" applyNumberFormat="1" applyFont="1" applyFill="1" applyBorder="1">
      <alignment/>
      <protection/>
    </xf>
    <xf numFmtId="0" fontId="23" fillId="0" borderId="37" xfId="18" applyFont="1" applyBorder="1" applyAlignment="1">
      <alignment/>
      <protection/>
    </xf>
    <xf numFmtId="3" fontId="23" fillId="0" borderId="37" xfId="18" applyNumberFormat="1" applyFont="1" applyFill="1" applyBorder="1" applyAlignment="1">
      <alignment horizontal="right"/>
      <protection/>
    </xf>
    <xf numFmtId="0" fontId="35" fillId="0" borderId="133" xfId="18" applyFont="1" applyBorder="1">
      <alignment/>
      <protection/>
    </xf>
    <xf numFmtId="0" fontId="11" fillId="0" borderId="0" xfId="18" applyFont="1" applyBorder="1">
      <alignment/>
      <protection/>
    </xf>
    <xf numFmtId="3" fontId="23" fillId="0" borderId="20" xfId="18" applyNumberFormat="1" applyFont="1" applyFill="1" applyBorder="1">
      <alignment/>
      <protection/>
    </xf>
    <xf numFmtId="3" fontId="23" fillId="0" borderId="37" xfId="18" applyNumberFormat="1" applyFont="1" applyBorder="1" applyAlignment="1">
      <alignment/>
      <protection/>
    </xf>
    <xf numFmtId="0" fontId="11" fillId="0" borderId="133" xfId="18" applyFont="1" applyBorder="1">
      <alignment/>
      <protection/>
    </xf>
    <xf numFmtId="0" fontId="0" fillId="0" borderId="133" xfId="18" applyBorder="1">
      <alignment/>
      <protection/>
    </xf>
    <xf numFmtId="0" fontId="0" fillId="0" borderId="0" xfId="18" applyBorder="1">
      <alignment/>
      <protection/>
    </xf>
    <xf numFmtId="0" fontId="23" fillId="0" borderId="37" xfId="0" applyFont="1" applyBorder="1" applyAlignment="1">
      <alignment/>
    </xf>
    <xf numFmtId="3" fontId="23" fillId="0" borderId="37" xfId="18" applyNumberFormat="1" applyFont="1" applyFill="1" applyBorder="1" applyAlignment="1">
      <alignment/>
      <protection/>
    </xf>
    <xf numFmtId="3" fontId="23" fillId="0" borderId="2" xfId="18" applyNumberFormat="1" applyFont="1" applyFill="1" applyBorder="1">
      <alignment/>
      <protection/>
    </xf>
    <xf numFmtId="0" fontId="23" fillId="0" borderId="39" xfId="0" applyFont="1" applyBorder="1" applyAlignment="1">
      <alignment/>
    </xf>
    <xf numFmtId="3" fontId="23" fillId="0" borderId="39" xfId="18" applyNumberFormat="1" applyFont="1" applyFill="1" applyBorder="1" applyAlignment="1">
      <alignment/>
      <protection/>
    </xf>
    <xf numFmtId="3" fontId="23" fillId="0" borderId="39" xfId="18" applyNumberFormat="1" applyFont="1" applyFill="1" applyBorder="1" applyAlignment="1">
      <alignment horizontal="right"/>
      <protection/>
    </xf>
    <xf numFmtId="3" fontId="0" fillId="0" borderId="0" xfId="18" applyNumberFormat="1" applyFill="1" applyBorder="1">
      <alignment/>
      <protection/>
    </xf>
    <xf numFmtId="3" fontId="0" fillId="0" borderId="0" xfId="18" applyNumberFormat="1" applyFill="1" applyBorder="1" applyAlignment="1">
      <alignment horizontal="center"/>
      <protection/>
    </xf>
    <xf numFmtId="3" fontId="0" fillId="0" borderId="0" xfId="18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3" fontId="5" fillId="0" borderId="48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left"/>
    </xf>
    <xf numFmtId="3" fontId="5" fillId="5" borderId="2" xfId="0" applyNumberFormat="1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right" wrapText="1"/>
    </xf>
    <xf numFmtId="1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left" wrapText="1"/>
    </xf>
    <xf numFmtId="0" fontId="0" fillId="2" borderId="2" xfId="0" applyFont="1" applyFill="1" applyBorder="1" applyAlignment="1">
      <alignment/>
    </xf>
    <xf numFmtId="3" fontId="0" fillId="0" borderId="3" xfId="0" applyNumberFormat="1" applyFont="1" applyBorder="1" applyAlignment="1">
      <alignment horizontal="right" wrapText="1"/>
    </xf>
    <xf numFmtId="3" fontId="4" fillId="2" borderId="3" xfId="0" applyNumberFormat="1" applyFont="1" applyFill="1" applyBorder="1" applyAlignment="1">
      <alignment horizontal="right"/>
    </xf>
    <xf numFmtId="0" fontId="0" fillId="3" borderId="114" xfId="0" applyFont="1" applyFill="1" applyBorder="1" applyAlignment="1">
      <alignment wrapText="1"/>
    </xf>
    <xf numFmtId="3" fontId="0" fillId="3" borderId="31" xfId="0" applyNumberFormat="1" applyFont="1" applyFill="1" applyBorder="1" applyAlignment="1">
      <alignment wrapText="1"/>
    </xf>
    <xf numFmtId="3" fontId="0" fillId="3" borderId="25" xfId="0" applyNumberFormat="1" applyFont="1" applyFill="1" applyBorder="1" applyAlignment="1">
      <alignment wrapText="1"/>
    </xf>
    <xf numFmtId="3" fontId="0" fillId="3" borderId="134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2" xfId="0" applyNumberFormat="1" applyFont="1" applyFill="1" applyBorder="1" applyAlignment="1">
      <alignment wrapText="1"/>
    </xf>
    <xf numFmtId="0" fontId="33" fillId="2" borderId="34" xfId="0" applyFont="1" applyFill="1" applyBorder="1" applyAlignment="1">
      <alignment wrapText="1"/>
    </xf>
    <xf numFmtId="3" fontId="0" fillId="0" borderId="33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horizontal="right"/>
    </xf>
    <xf numFmtId="0" fontId="0" fillId="3" borderId="79" xfId="0" applyFont="1" applyFill="1" applyBorder="1" applyAlignment="1">
      <alignment wrapText="1"/>
    </xf>
    <xf numFmtId="3" fontId="0" fillId="3" borderId="79" xfId="0" applyNumberFormat="1" applyFont="1" applyFill="1" applyBorder="1" applyAlignment="1">
      <alignment wrapText="1"/>
    </xf>
    <xf numFmtId="0" fontId="0" fillId="0" borderId="82" xfId="0" applyFont="1" applyBorder="1" applyAlignment="1">
      <alignment wrapText="1"/>
    </xf>
    <xf numFmtId="0" fontId="4" fillId="2" borderId="31" xfId="0" applyFont="1" applyFill="1" applyBorder="1" applyAlignment="1">
      <alignment wrapText="1"/>
    </xf>
    <xf numFmtId="0" fontId="0" fillId="2" borderId="82" xfId="0" applyFont="1" applyFill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82" xfId="0" applyFont="1" applyBorder="1" applyAlignment="1">
      <alignment/>
    </xf>
    <xf numFmtId="3" fontId="0" fillId="3" borderId="82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right" wrapText="1"/>
    </xf>
    <xf numFmtId="0" fontId="0" fillId="0" borderId="88" xfId="0" applyFont="1" applyBorder="1" applyAlignment="1">
      <alignment wrapText="1"/>
    </xf>
    <xf numFmtId="3" fontId="0" fillId="0" borderId="88" xfId="0" applyNumberFormat="1" applyFont="1" applyBorder="1" applyAlignment="1">
      <alignment horizontal="right" wrapText="1"/>
    </xf>
    <xf numFmtId="3" fontId="0" fillId="3" borderId="88" xfId="0" applyNumberFormat="1" applyFont="1" applyFill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0" fontId="0" fillId="2" borderId="24" xfId="0" applyFont="1" applyFill="1" applyBorder="1" applyAlignment="1">
      <alignment/>
    </xf>
    <xf numFmtId="0" fontId="4" fillId="3" borderId="21" xfId="0" applyFont="1" applyFill="1" applyBorder="1" applyAlignment="1">
      <alignment wrapText="1"/>
    </xf>
    <xf numFmtId="0" fontId="0" fillId="2" borderId="118" xfId="0" applyFont="1" applyFill="1" applyBorder="1" applyAlignment="1">
      <alignment/>
    </xf>
    <xf numFmtId="0" fontId="33" fillId="2" borderId="42" xfId="0" applyFont="1" applyFill="1" applyBorder="1" applyAlignment="1">
      <alignment wrapText="1"/>
    </xf>
    <xf numFmtId="3" fontId="0" fillId="3" borderId="42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/>
    </xf>
    <xf numFmtId="0" fontId="27" fillId="2" borderId="37" xfId="0" applyFont="1" applyFill="1" applyBorder="1" applyAlignment="1">
      <alignment wrapText="1"/>
    </xf>
    <xf numFmtId="3" fontId="7" fillId="3" borderId="37" xfId="0" applyNumberFormat="1" applyFont="1" applyFill="1" applyBorder="1" applyAlignment="1">
      <alignment/>
    </xf>
    <xf numFmtId="3" fontId="7" fillId="3" borderId="21" xfId="0" applyNumberFormat="1" applyFont="1" applyFill="1" applyBorder="1" applyAlignment="1">
      <alignment/>
    </xf>
    <xf numFmtId="0" fontId="26" fillId="3" borderId="2" xfId="0" applyFont="1" applyFill="1" applyBorder="1" applyAlignment="1">
      <alignment horizontal="center" vertical="center"/>
    </xf>
    <xf numFmtId="3" fontId="26" fillId="3" borderId="2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wrapText="1"/>
    </xf>
    <xf numFmtId="1" fontId="0" fillId="3" borderId="66" xfId="0" applyNumberFormat="1" applyFont="1" applyFill="1" applyBorder="1" applyAlignment="1">
      <alignment/>
    </xf>
    <xf numFmtId="0" fontId="0" fillId="3" borderId="32" xfId="0" applyFont="1" applyFill="1" applyBorder="1" applyAlignment="1">
      <alignment wrapText="1"/>
    </xf>
    <xf numFmtId="3" fontId="0" fillId="3" borderId="32" xfId="0" applyNumberFormat="1" applyFont="1" applyFill="1" applyBorder="1" applyAlignment="1">
      <alignment wrapText="1"/>
    </xf>
    <xf numFmtId="0" fontId="4" fillId="0" borderId="2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36" xfId="0" applyFont="1" applyBorder="1" applyAlignment="1">
      <alignment/>
    </xf>
    <xf numFmtId="3" fontId="0" fillId="3" borderId="32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3" fontId="4" fillId="3" borderId="21" xfId="0" applyNumberFormat="1" applyFont="1" applyFill="1" applyBorder="1" applyAlignment="1">
      <alignment wrapText="1"/>
    </xf>
    <xf numFmtId="0" fontId="0" fillId="0" borderId="135" xfId="0" applyFont="1" applyBorder="1" applyAlignment="1">
      <alignment/>
    </xf>
    <xf numFmtId="3" fontId="0" fillId="0" borderId="135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3" borderId="38" xfId="0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0" fontId="0" fillId="0" borderId="135" xfId="0" applyFont="1" applyBorder="1" applyAlignment="1">
      <alignment wrapText="1"/>
    </xf>
    <xf numFmtId="3" fontId="0" fillId="3" borderId="135" xfId="0" applyNumberFormat="1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33" fillId="0" borderId="2" xfId="0" applyFont="1" applyBorder="1" applyAlignment="1">
      <alignment/>
    </xf>
    <xf numFmtId="0" fontId="33" fillId="2" borderId="32" xfId="0" applyFont="1" applyFill="1" applyBorder="1" applyAlignment="1">
      <alignment wrapText="1"/>
    </xf>
    <xf numFmtId="3" fontId="33" fillId="3" borderId="32" xfId="0" applyNumberFormat="1" applyFont="1" applyFill="1" applyBorder="1" applyAlignment="1">
      <alignment/>
    </xf>
    <xf numFmtId="0" fontId="33" fillId="0" borderId="2" xfId="0" applyFont="1" applyBorder="1" applyAlignment="1">
      <alignment/>
    </xf>
    <xf numFmtId="3" fontId="27" fillId="3" borderId="21" xfId="0" applyNumberFormat="1" applyFont="1" applyFill="1" applyBorder="1" applyAlignment="1">
      <alignment/>
    </xf>
    <xf numFmtId="3" fontId="27" fillId="3" borderId="32" xfId="0" applyNumberFormat="1" applyFont="1" applyFill="1" applyBorder="1" applyAlignment="1">
      <alignment/>
    </xf>
    <xf numFmtId="0" fontId="4" fillId="0" borderId="79" xfId="0" applyFont="1" applyBorder="1" applyAlignment="1">
      <alignment wrapText="1"/>
    </xf>
    <xf numFmtId="0" fontId="4" fillId="3" borderId="79" xfId="0" applyFont="1" applyFill="1" applyBorder="1" applyAlignment="1">
      <alignment wrapText="1"/>
    </xf>
    <xf numFmtId="0" fontId="0" fillId="3" borderId="135" xfId="0" applyFont="1" applyFill="1" applyBorder="1" applyAlignment="1">
      <alignment wrapText="1"/>
    </xf>
    <xf numFmtId="3" fontId="0" fillId="3" borderId="135" xfId="0" applyNumberFormat="1" applyFont="1" applyFill="1" applyBorder="1" applyAlignment="1">
      <alignment/>
    </xf>
    <xf numFmtId="0" fontId="0" fillId="0" borderId="99" xfId="0" applyFont="1" applyBorder="1" applyAlignment="1">
      <alignment/>
    </xf>
    <xf numFmtId="0" fontId="4" fillId="0" borderId="99" xfId="0" applyFont="1" applyBorder="1" applyAlignment="1">
      <alignment wrapText="1"/>
    </xf>
    <xf numFmtId="0" fontId="4" fillId="3" borderId="99" xfId="0" applyFont="1" applyFill="1" applyBorder="1" applyAlignment="1">
      <alignment wrapText="1"/>
    </xf>
    <xf numFmtId="0" fontId="0" fillId="3" borderId="99" xfId="0" applyFont="1" applyFill="1" applyBorder="1" applyAlignment="1">
      <alignment/>
    </xf>
    <xf numFmtId="0" fontId="4" fillId="3" borderId="99" xfId="0" applyFont="1" applyFill="1" applyBorder="1" applyAlignment="1">
      <alignment/>
    </xf>
    <xf numFmtId="3" fontId="4" fillId="3" borderId="99" xfId="0" applyNumberFormat="1" applyFont="1" applyFill="1" applyBorder="1" applyAlignment="1">
      <alignment/>
    </xf>
    <xf numFmtId="0" fontId="5" fillId="3" borderId="99" xfId="0" applyFont="1" applyFill="1" applyBorder="1" applyAlignment="1">
      <alignment/>
    </xf>
    <xf numFmtId="0" fontId="0" fillId="3" borderId="99" xfId="0" applyFont="1" applyFill="1" applyBorder="1" applyAlignment="1">
      <alignment horizontal="left"/>
    </xf>
    <xf numFmtId="3" fontId="0" fillId="3" borderId="99" xfId="0" applyNumberFormat="1" applyFont="1" applyFill="1" applyBorder="1" applyAlignment="1">
      <alignment horizontal="right" wrapText="1"/>
    </xf>
    <xf numFmtId="3" fontId="0" fillId="3" borderId="99" xfId="0" applyNumberFormat="1" applyFont="1" applyFill="1" applyBorder="1" applyAlignment="1">
      <alignment horizontal="right"/>
    </xf>
    <xf numFmtId="3" fontId="24" fillId="0" borderId="20" xfId="0" applyNumberFormat="1" applyFont="1" applyBorder="1" applyAlignment="1">
      <alignment/>
    </xf>
    <xf numFmtId="0" fontId="9" fillId="3" borderId="99" xfId="0" applyFont="1" applyFill="1" applyBorder="1" applyAlignment="1">
      <alignment/>
    </xf>
    <xf numFmtId="0" fontId="28" fillId="3" borderId="99" xfId="0" applyFont="1" applyFill="1" applyBorder="1" applyAlignment="1">
      <alignment/>
    </xf>
    <xf numFmtId="0" fontId="4" fillId="0" borderId="99" xfId="0" applyFont="1" applyBorder="1" applyAlignment="1">
      <alignment/>
    </xf>
    <xf numFmtId="3" fontId="4" fillId="0" borderId="99" xfId="0" applyNumberFormat="1" applyFont="1" applyBorder="1" applyAlignment="1">
      <alignment/>
    </xf>
    <xf numFmtId="3" fontId="4" fillId="3" borderId="99" xfId="0" applyNumberFormat="1" applyFont="1" applyFill="1" applyBorder="1" applyAlignment="1">
      <alignment wrapText="1"/>
    </xf>
    <xf numFmtId="0" fontId="27" fillId="3" borderId="99" xfId="0" applyFont="1" applyFill="1" applyBorder="1" applyAlignment="1">
      <alignment/>
    </xf>
    <xf numFmtId="0" fontId="27" fillId="0" borderId="99" xfId="0" applyFont="1" applyBorder="1" applyAlignment="1">
      <alignment/>
    </xf>
    <xf numFmtId="0" fontId="27" fillId="2" borderId="99" xfId="0" applyFont="1" applyFill="1" applyBorder="1" applyAlignment="1">
      <alignment/>
    </xf>
    <xf numFmtId="3" fontId="27" fillId="3" borderId="99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horizontal="right" wrapText="1"/>
    </xf>
    <xf numFmtId="0" fontId="27" fillId="2" borderId="32" xfId="0" applyFont="1" applyFill="1" applyBorder="1" applyAlignment="1">
      <alignment wrapText="1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5" fillId="3" borderId="99" xfId="0" applyFont="1" applyFill="1" applyBorder="1" applyAlignment="1">
      <alignment/>
    </xf>
    <xf numFmtId="0" fontId="4" fillId="2" borderId="99" xfId="0" applyFont="1" applyFill="1" applyBorder="1" applyAlignment="1">
      <alignment/>
    </xf>
    <xf numFmtId="0" fontId="0" fillId="0" borderId="99" xfId="0" applyFont="1" applyBorder="1" applyAlignment="1">
      <alignment horizontal="right"/>
    </xf>
    <xf numFmtId="0" fontId="0" fillId="0" borderId="99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99" xfId="0" applyFont="1" applyBorder="1" applyAlignment="1">
      <alignment horizontal="left" wrapText="1"/>
    </xf>
    <xf numFmtId="3" fontId="4" fillId="0" borderId="99" xfId="0" applyNumberFormat="1" applyFont="1" applyBorder="1" applyAlignment="1">
      <alignment horizontal="right" wrapText="1"/>
    </xf>
    <xf numFmtId="3" fontId="4" fillId="3" borderId="99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3" fontId="4" fillId="3" borderId="0" xfId="0" applyNumberFormat="1" applyFont="1" applyFill="1" applyBorder="1" applyAlignment="1">
      <alignment horizontal="right" wrapText="1"/>
    </xf>
    <xf numFmtId="3" fontId="0" fillId="0" borderId="32" xfId="0" applyNumberFormat="1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33" fillId="2" borderId="78" xfId="0" applyFont="1" applyFill="1" applyBorder="1" applyAlignment="1">
      <alignment wrapText="1"/>
    </xf>
    <xf numFmtId="3" fontId="0" fillId="3" borderId="78" xfId="0" applyNumberFormat="1" applyFont="1" applyFill="1" applyBorder="1" applyAlignment="1">
      <alignment wrapText="1"/>
    </xf>
    <xf numFmtId="0" fontId="33" fillId="0" borderId="20" xfId="0" applyFont="1" applyBorder="1" applyAlignment="1">
      <alignment/>
    </xf>
    <xf numFmtId="3" fontId="33" fillId="3" borderId="34" xfId="0" applyNumberFormat="1" applyFont="1" applyFill="1" applyBorder="1" applyAlignment="1">
      <alignment/>
    </xf>
    <xf numFmtId="0" fontId="0" fillId="7" borderId="20" xfId="0" applyFont="1" applyFill="1" applyBorder="1" applyAlignment="1">
      <alignment/>
    </xf>
    <xf numFmtId="3" fontId="0" fillId="3" borderId="34" xfId="0" applyNumberFormat="1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3" fontId="4" fillId="2" borderId="20" xfId="0" applyNumberFormat="1" applyFont="1" applyFill="1" applyBorder="1" applyAlignment="1">
      <alignment wrapText="1"/>
    </xf>
    <xf numFmtId="0" fontId="4" fillId="2" borderId="99" xfId="0" applyFont="1" applyFill="1" applyBorder="1" applyAlignment="1">
      <alignment wrapText="1"/>
    </xf>
    <xf numFmtId="3" fontId="4" fillId="2" borderId="99" xfId="0" applyNumberFormat="1" applyFont="1" applyFill="1" applyBorder="1" applyAlignment="1">
      <alignment wrapText="1"/>
    </xf>
    <xf numFmtId="3" fontId="31" fillId="3" borderId="36" xfId="0" applyNumberFormat="1" applyFont="1" applyFill="1" applyBorder="1" applyAlignment="1">
      <alignment/>
    </xf>
    <xf numFmtId="0" fontId="4" fillId="0" borderId="39" xfId="0" applyFont="1" applyBorder="1" applyAlignment="1">
      <alignment wrapText="1"/>
    </xf>
    <xf numFmtId="3" fontId="5" fillId="3" borderId="39" xfId="0" applyNumberFormat="1" applyFont="1" applyFill="1" applyBorder="1" applyAlignment="1">
      <alignment/>
    </xf>
    <xf numFmtId="0" fontId="4" fillId="3" borderId="21" xfId="0" applyFont="1" applyFill="1" applyBorder="1" applyAlignment="1">
      <alignment horizontal="left" wrapText="1"/>
    </xf>
    <xf numFmtId="0" fontId="4" fillId="3" borderId="99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 wrapText="1"/>
    </xf>
    <xf numFmtId="0" fontId="4" fillId="3" borderId="36" xfId="0" applyFont="1" applyFill="1" applyBorder="1" applyAlignment="1">
      <alignment/>
    </xf>
    <xf numFmtId="3" fontId="0" fillId="3" borderId="108" xfId="0" applyNumberFormat="1" applyFont="1" applyFill="1" applyBorder="1" applyAlignment="1">
      <alignment vertical="center"/>
    </xf>
    <xf numFmtId="3" fontId="0" fillId="3" borderId="66" xfId="0" applyNumberFormat="1" applyFont="1" applyFill="1" applyBorder="1" applyAlignment="1">
      <alignment/>
    </xf>
    <xf numFmtId="0" fontId="4" fillId="3" borderId="76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0" fillId="3" borderId="65" xfId="0" applyFont="1" applyFill="1" applyBorder="1" applyAlignment="1">
      <alignment/>
    </xf>
    <xf numFmtId="3" fontId="0" fillId="3" borderId="2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4" fillId="0" borderId="0" xfId="18" applyNumberFormat="1" applyFont="1" applyFill="1" applyBorder="1" applyAlignment="1">
      <alignment horizontal="right"/>
      <protection/>
    </xf>
    <xf numFmtId="3" fontId="10" fillId="0" borderId="0" xfId="0" applyNumberFormat="1" applyFont="1" applyFill="1" applyBorder="1" applyAlignment="1">
      <alignment horizontal="left"/>
    </xf>
    <xf numFmtId="3" fontId="5" fillId="11" borderId="4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61" xfId="0" applyFont="1" applyBorder="1" applyAlignment="1">
      <alignment/>
    </xf>
    <xf numFmtId="3" fontId="0" fillId="0" borderId="61" xfId="0" applyNumberFormat="1" applyFont="1" applyBorder="1" applyAlignment="1">
      <alignment/>
    </xf>
    <xf numFmtId="0" fontId="4" fillId="0" borderId="114" xfId="0" applyFont="1" applyBorder="1" applyAlignment="1">
      <alignment/>
    </xf>
    <xf numFmtId="3" fontId="4" fillId="3" borderId="114" xfId="0" applyNumberFormat="1" applyFont="1" applyFill="1" applyBorder="1" applyAlignment="1">
      <alignment/>
    </xf>
    <xf numFmtId="0" fontId="4" fillId="6" borderId="99" xfId="0" applyFont="1" applyFill="1" applyBorder="1" applyAlignment="1">
      <alignment horizontal="left" wrapText="1"/>
    </xf>
    <xf numFmtId="3" fontId="4" fillId="0" borderId="114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3" fontId="4" fillId="0" borderId="99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0" fontId="4" fillId="3" borderId="114" xfId="0" applyFont="1" applyFill="1" applyBorder="1" applyAlignment="1">
      <alignment/>
    </xf>
    <xf numFmtId="0" fontId="4" fillId="3" borderId="40" xfId="0" applyFont="1" applyFill="1" applyBorder="1" applyAlignment="1">
      <alignment horizontal="left" wrapText="1"/>
    </xf>
    <xf numFmtId="3" fontId="0" fillId="3" borderId="78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3" borderId="2" xfId="0" applyFont="1" applyFill="1" applyBorder="1" applyAlignment="1">
      <alignment horizontal="left" wrapText="1"/>
    </xf>
    <xf numFmtId="0" fontId="5" fillId="3" borderId="99" xfId="0" applyFont="1" applyFill="1" applyBorder="1" applyAlignment="1">
      <alignment wrapText="1"/>
    </xf>
    <xf numFmtId="0" fontId="5" fillId="11" borderId="48" xfId="0" applyFont="1" applyFill="1" applyBorder="1" applyAlignment="1">
      <alignment/>
    </xf>
    <xf numFmtId="3" fontId="5" fillId="11" borderId="48" xfId="0" applyNumberFormat="1" applyFont="1" applyFill="1" applyBorder="1" applyAlignment="1">
      <alignment/>
    </xf>
    <xf numFmtId="0" fontId="5" fillId="11" borderId="44" xfId="0" applyFont="1" applyFill="1" applyBorder="1" applyAlignment="1">
      <alignment horizontal="center"/>
    </xf>
    <xf numFmtId="0" fontId="4" fillId="0" borderId="40" xfId="0" applyFont="1" applyBorder="1" applyAlignment="1">
      <alignment wrapText="1"/>
    </xf>
    <xf numFmtId="3" fontId="4" fillId="0" borderId="40" xfId="0" applyNumberFormat="1" applyFont="1" applyBorder="1" applyAlignment="1">
      <alignment wrapText="1"/>
    </xf>
    <xf numFmtId="0" fontId="32" fillId="3" borderId="21" xfId="0" applyFont="1" applyFill="1" applyBorder="1" applyAlignment="1">
      <alignment horizontal="center"/>
    </xf>
    <xf numFmtId="3" fontId="5" fillId="3" borderId="31" xfId="0" applyNumberFormat="1" applyFont="1" applyFill="1" applyBorder="1" applyAlignment="1">
      <alignment/>
    </xf>
    <xf numFmtId="3" fontId="5" fillId="3" borderId="41" xfId="0" applyNumberFormat="1" applyFont="1" applyFill="1" applyBorder="1" applyAlignment="1">
      <alignment/>
    </xf>
    <xf numFmtId="3" fontId="5" fillId="3" borderId="64" xfId="0" applyNumberFormat="1" applyFont="1" applyFill="1" applyBorder="1" applyAlignment="1">
      <alignment/>
    </xf>
    <xf numFmtId="1" fontId="0" fillId="3" borderId="24" xfId="0" applyNumberFormat="1" applyFont="1" applyFill="1" applyBorder="1" applyAlignment="1">
      <alignment/>
    </xf>
    <xf numFmtId="3" fontId="0" fillId="3" borderId="101" xfId="0" applyNumberFormat="1" applyFont="1" applyFill="1" applyBorder="1" applyAlignment="1">
      <alignment/>
    </xf>
    <xf numFmtId="3" fontId="0" fillId="3" borderId="136" xfId="0" applyNumberFormat="1" applyFont="1" applyFill="1" applyBorder="1" applyAlignment="1">
      <alignment/>
    </xf>
    <xf numFmtId="3" fontId="0" fillId="3" borderId="137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3" fontId="5" fillId="2" borderId="13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9-r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8783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18783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235</xdr:row>
      <xdr:rowOff>0</xdr:rowOff>
    </xdr:from>
    <xdr:to>
      <xdr:col>1</xdr:col>
      <xdr:colOff>0</xdr:colOff>
      <xdr:row>235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201739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23355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235</xdr:row>
      <xdr:rowOff>0</xdr:rowOff>
    </xdr:from>
    <xdr:to>
      <xdr:col>1</xdr:col>
      <xdr:colOff>0</xdr:colOff>
      <xdr:row>235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201739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235</xdr:row>
      <xdr:rowOff>0</xdr:rowOff>
    </xdr:from>
    <xdr:to>
      <xdr:col>1</xdr:col>
      <xdr:colOff>0</xdr:colOff>
      <xdr:row>235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201739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23355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23355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353</xdr:row>
      <xdr:rowOff>0</xdr:rowOff>
    </xdr:from>
    <xdr:to>
      <xdr:col>1</xdr:col>
      <xdr:colOff>0</xdr:colOff>
      <xdr:row>353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353</xdr:row>
      <xdr:rowOff>0</xdr:rowOff>
    </xdr:from>
    <xdr:to>
      <xdr:col>1</xdr:col>
      <xdr:colOff>0</xdr:colOff>
      <xdr:row>353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353</xdr:row>
      <xdr:rowOff>0</xdr:rowOff>
    </xdr:from>
    <xdr:to>
      <xdr:col>1</xdr:col>
      <xdr:colOff>0</xdr:colOff>
      <xdr:row>353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" y="18783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18783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235</xdr:row>
      <xdr:rowOff>0</xdr:rowOff>
    </xdr:from>
    <xdr:to>
      <xdr:col>1</xdr:col>
      <xdr:colOff>0</xdr:colOff>
      <xdr:row>235</xdr:row>
      <xdr:rowOff>0</xdr:rowOff>
    </xdr:to>
    <xdr:sp>
      <xdr:nvSpPr>
        <xdr:cNvPr id="26" name="Line 26"/>
        <xdr:cNvSpPr>
          <a:spLocks/>
        </xdr:cNvSpPr>
      </xdr:nvSpPr>
      <xdr:spPr>
        <a:xfrm>
          <a:off x="28575" y="201739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" y="23355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235</xdr:row>
      <xdr:rowOff>0</xdr:rowOff>
    </xdr:from>
    <xdr:to>
      <xdr:col>1</xdr:col>
      <xdr:colOff>0</xdr:colOff>
      <xdr:row>235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" y="201739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235</xdr:row>
      <xdr:rowOff>0</xdr:rowOff>
    </xdr:from>
    <xdr:to>
      <xdr:col>1</xdr:col>
      <xdr:colOff>0</xdr:colOff>
      <xdr:row>235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" y="201739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" y="23355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" y="23355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36" name="Line 3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353</xdr:row>
      <xdr:rowOff>0</xdr:rowOff>
    </xdr:from>
    <xdr:to>
      <xdr:col>1</xdr:col>
      <xdr:colOff>0</xdr:colOff>
      <xdr:row>353</xdr:row>
      <xdr:rowOff>0</xdr:rowOff>
    </xdr:to>
    <xdr:sp>
      <xdr:nvSpPr>
        <xdr:cNvPr id="37" name="Line 37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353</xdr:row>
      <xdr:rowOff>0</xdr:rowOff>
    </xdr:from>
    <xdr:to>
      <xdr:col>1</xdr:col>
      <xdr:colOff>0</xdr:colOff>
      <xdr:row>353</xdr:row>
      <xdr:rowOff>0</xdr:rowOff>
    </xdr:to>
    <xdr:sp>
      <xdr:nvSpPr>
        <xdr:cNvPr id="38" name="Line 38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353</xdr:row>
      <xdr:rowOff>0</xdr:rowOff>
    </xdr:from>
    <xdr:to>
      <xdr:col>1</xdr:col>
      <xdr:colOff>0</xdr:colOff>
      <xdr:row>353</xdr:row>
      <xdr:rowOff>0</xdr:rowOff>
    </xdr:to>
    <xdr:sp>
      <xdr:nvSpPr>
        <xdr:cNvPr id="39" name="Line 39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" y="32375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4" name="Line 44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5" name="Line 45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47" name="Line 47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9" name="Line 49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51" name="Line 51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52" name="Line 52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53" name="Line 53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59" name="Line 5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61" name="Line 6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5" name="Line 65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6" name="Line 66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7" name="Line 67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68" name="Line 68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69" name="Line 69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77" name="Line 77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78" name="Line 7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80" name="Line 8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87" name="Line 87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8" name="Line 88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89" name="Line 89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0" name="Line 90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91" name="Line 91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92" name="Line 92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93" name="Line 93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94" name="Line 94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96" name="Line 96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97" name="Line 97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98" name="Line 9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99" name="Line 9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05" name="Line 10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28" name="Line 128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29" name="Line 129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30" name="Line 130"/>
        <xdr:cNvSpPr>
          <a:spLocks/>
        </xdr:cNvSpPr>
      </xdr:nvSpPr>
      <xdr:spPr>
        <a:xfrm>
          <a:off x="28575" y="34766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3" name="Line 133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575" y="27908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575" y="134016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575" y="2310765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39" name="Line 13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5" name="Line 14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6" name="Line 14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47" name="Line 147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71" name="Line 171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72" name="Line 172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75" name="Line 17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77" name="Line 177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16" name="Line 216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23" name="Line 22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1</xdr:col>
      <xdr:colOff>0</xdr:colOff>
      <xdr:row>10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575" y="581025"/>
          <a:ext cx="3552825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575" y="142113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575" y="30194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301</xdr:row>
      <xdr:rowOff>0</xdr:rowOff>
    </xdr:from>
    <xdr:to>
      <xdr:col>1</xdr:col>
      <xdr:colOff>0</xdr:colOff>
      <xdr:row>301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543</xdr:row>
      <xdr:rowOff>0</xdr:rowOff>
    </xdr:from>
    <xdr:to>
      <xdr:col>1</xdr:col>
      <xdr:colOff>0</xdr:colOff>
      <xdr:row>543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549</xdr:row>
      <xdr:rowOff>0</xdr:rowOff>
    </xdr:from>
    <xdr:to>
      <xdr:col>1</xdr:col>
      <xdr:colOff>0</xdr:colOff>
      <xdr:row>549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5" name="Line 265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566</xdr:row>
      <xdr:rowOff>0</xdr:rowOff>
    </xdr:from>
    <xdr:to>
      <xdr:col>1</xdr:col>
      <xdr:colOff>0</xdr:colOff>
      <xdr:row>566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8575" y="429387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0" name="Line 27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2" name="Line 27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0" name="Line 28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3" name="Line 28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4" name="Line 28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2" name="Line 29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4" name="Line 29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7" name="Line 29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1" name="Line 30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2" name="Line 30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4" name="Line 30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6" name="Line 30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7" name="Line 30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8" name="Line 30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09" name="Line 30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0" name="Line 31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3" name="Line 31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4" name="Line 31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5" name="Line 31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6" name="Line 31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8" name="Line 31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19" name="Line 31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0" name="Line 32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1" name="Line 32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4" name="Line 32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5" name="Line 32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6" name="Line 32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7" name="Line 32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8" name="Line 328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0" name="Line 330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2" name="Line 332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3" name="Line 333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4" name="Line 334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6" name="Line 336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311</xdr:row>
      <xdr:rowOff>0</xdr:rowOff>
    </xdr:from>
    <xdr:to>
      <xdr:col>1</xdr:col>
      <xdr:colOff>0</xdr:colOff>
      <xdr:row>311</xdr:row>
      <xdr:rowOff>0</xdr:rowOff>
    </xdr:to>
    <xdr:sp>
      <xdr:nvSpPr>
        <xdr:cNvPr id="337" name="Line 337"/>
        <xdr:cNvSpPr>
          <a:spLocks/>
        </xdr:cNvSpPr>
      </xdr:nvSpPr>
      <xdr:spPr>
        <a:xfrm>
          <a:off x="28575" y="2485072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339" name="Line 339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340" name="Line 340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342" name="Line 342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343" name="Line 343"/>
        <xdr:cNvSpPr>
          <a:spLocks/>
        </xdr:cNvSpPr>
      </xdr:nvSpPr>
      <xdr:spPr>
        <a:xfrm>
          <a:off x="28575" y="24041100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514</xdr:row>
      <xdr:rowOff>0</xdr:rowOff>
    </xdr:from>
    <xdr:to>
      <xdr:col>1</xdr:col>
      <xdr:colOff>0</xdr:colOff>
      <xdr:row>514</xdr:row>
      <xdr:rowOff>0</xdr:rowOff>
    </xdr:to>
    <xdr:sp>
      <xdr:nvSpPr>
        <xdr:cNvPr id="344" name="Line 344"/>
        <xdr:cNvSpPr>
          <a:spLocks/>
        </xdr:cNvSpPr>
      </xdr:nvSpPr>
      <xdr:spPr>
        <a:xfrm>
          <a:off x="28575" y="41900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514</xdr:row>
      <xdr:rowOff>0</xdr:rowOff>
    </xdr:from>
    <xdr:to>
      <xdr:col>1</xdr:col>
      <xdr:colOff>0</xdr:colOff>
      <xdr:row>514</xdr:row>
      <xdr:rowOff>0</xdr:rowOff>
    </xdr:to>
    <xdr:sp>
      <xdr:nvSpPr>
        <xdr:cNvPr id="345" name="Line 345"/>
        <xdr:cNvSpPr>
          <a:spLocks/>
        </xdr:cNvSpPr>
      </xdr:nvSpPr>
      <xdr:spPr>
        <a:xfrm>
          <a:off x="28575" y="41900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514</xdr:row>
      <xdr:rowOff>0</xdr:rowOff>
    </xdr:from>
    <xdr:to>
      <xdr:col>1</xdr:col>
      <xdr:colOff>0</xdr:colOff>
      <xdr:row>514</xdr:row>
      <xdr:rowOff>0</xdr:rowOff>
    </xdr:to>
    <xdr:sp>
      <xdr:nvSpPr>
        <xdr:cNvPr id="346" name="Line 346"/>
        <xdr:cNvSpPr>
          <a:spLocks/>
        </xdr:cNvSpPr>
      </xdr:nvSpPr>
      <xdr:spPr>
        <a:xfrm>
          <a:off x="28575" y="41900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514</xdr:row>
      <xdr:rowOff>0</xdr:rowOff>
    </xdr:from>
    <xdr:to>
      <xdr:col>1</xdr:col>
      <xdr:colOff>0</xdr:colOff>
      <xdr:row>514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575" y="41900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514</xdr:row>
      <xdr:rowOff>0</xdr:rowOff>
    </xdr:from>
    <xdr:to>
      <xdr:col>1</xdr:col>
      <xdr:colOff>0</xdr:colOff>
      <xdr:row>514</xdr:row>
      <xdr:rowOff>0</xdr:rowOff>
    </xdr:to>
    <xdr:sp>
      <xdr:nvSpPr>
        <xdr:cNvPr id="348" name="Line 348"/>
        <xdr:cNvSpPr>
          <a:spLocks/>
        </xdr:cNvSpPr>
      </xdr:nvSpPr>
      <xdr:spPr>
        <a:xfrm>
          <a:off x="28575" y="41900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514</xdr:row>
      <xdr:rowOff>0</xdr:rowOff>
    </xdr:from>
    <xdr:to>
      <xdr:col>1</xdr:col>
      <xdr:colOff>0</xdr:colOff>
      <xdr:row>514</xdr:row>
      <xdr:rowOff>0</xdr:rowOff>
    </xdr:to>
    <xdr:sp>
      <xdr:nvSpPr>
        <xdr:cNvPr id="349" name="Line 349"/>
        <xdr:cNvSpPr>
          <a:spLocks/>
        </xdr:cNvSpPr>
      </xdr:nvSpPr>
      <xdr:spPr>
        <a:xfrm>
          <a:off x="28575" y="41900475"/>
          <a:ext cx="355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336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336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812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5622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0" name="Arc 131"/>
        <xdr:cNvSpPr>
          <a:spLocks/>
        </xdr:cNvSpPr>
      </xdr:nvSpPr>
      <xdr:spPr>
        <a:xfrm>
          <a:off x="1009650" y="2581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1" name="Rysowanie 11"/>
        <xdr:cNvSpPr>
          <a:spLocks/>
        </xdr:cNvSpPr>
      </xdr:nvSpPr>
      <xdr:spPr>
        <a:xfrm>
          <a:off x="1104900" y="2581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2" name="Arc 133"/>
        <xdr:cNvSpPr>
          <a:spLocks/>
        </xdr:cNvSpPr>
      </xdr:nvSpPr>
      <xdr:spPr>
        <a:xfrm>
          <a:off x="1009650" y="2581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3" name="Rysowanie 11"/>
        <xdr:cNvSpPr>
          <a:spLocks/>
        </xdr:cNvSpPr>
      </xdr:nvSpPr>
      <xdr:spPr>
        <a:xfrm>
          <a:off x="1104900" y="2581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581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SheetLayoutView="75" workbookViewId="0" topLeftCell="A1">
      <selection activeCell="D72" sqref="D72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7.75390625" style="1" hidden="1" customWidth="1"/>
    <col min="4" max="4" width="65.625" style="1" customWidth="1"/>
    <col min="5" max="5" width="21.75390625" style="1" customWidth="1"/>
    <col min="6" max="6" width="17.25390625" style="1" customWidth="1"/>
    <col min="7" max="7" width="16.625" style="1" customWidth="1"/>
    <col min="8" max="8" width="18.875" style="1" customWidth="1"/>
    <col min="9" max="9" width="12.00390625" style="1" customWidth="1"/>
    <col min="10" max="10" width="11.125" style="1" customWidth="1"/>
    <col min="11" max="11" width="15.25390625" style="1" customWidth="1"/>
    <col min="12" max="16384" width="9.125" style="1" customWidth="1"/>
  </cols>
  <sheetData>
    <row r="1" spans="2:7" ht="15" customHeight="1">
      <c r="B1" s="17"/>
      <c r="C1" s="17"/>
      <c r="G1" s="1" t="s">
        <v>438</v>
      </c>
    </row>
    <row r="2" ht="15.75" customHeight="1">
      <c r="G2" s="1" t="s">
        <v>186</v>
      </c>
    </row>
    <row r="3" spans="4:7" ht="17.25" customHeight="1">
      <c r="D3" s="18" t="s">
        <v>580</v>
      </c>
      <c r="G3" s="1" t="s">
        <v>512</v>
      </c>
    </row>
    <row r="4" ht="17.25" customHeight="1">
      <c r="G4" s="1" t="s">
        <v>265</v>
      </c>
    </row>
    <row r="5" ht="17.25" customHeight="1" thickBot="1">
      <c r="H5" s="3" t="s">
        <v>514</v>
      </c>
    </row>
    <row r="6" spans="1:8" ht="72.75" customHeight="1" thickBot="1" thickTop="1">
      <c r="A6" s="324" t="s">
        <v>515</v>
      </c>
      <c r="B6" s="324" t="s">
        <v>516</v>
      </c>
      <c r="C6" s="84" t="s">
        <v>517</v>
      </c>
      <c r="D6" s="84" t="s">
        <v>137</v>
      </c>
      <c r="E6" s="84" t="s">
        <v>597</v>
      </c>
      <c r="F6" s="5" t="s">
        <v>552</v>
      </c>
      <c r="G6" s="5" t="s">
        <v>542</v>
      </c>
      <c r="H6" s="5" t="s">
        <v>520</v>
      </c>
    </row>
    <row r="7" spans="1:8" s="20" customFormat="1" ht="17.25" customHeight="1" thickBot="1" thickTop="1">
      <c r="A7" s="323">
        <v>1</v>
      </c>
      <c r="B7" s="323">
        <v>2</v>
      </c>
      <c r="C7" s="323">
        <v>3</v>
      </c>
      <c r="D7" s="323">
        <v>3</v>
      </c>
      <c r="E7" s="323">
        <v>4</v>
      </c>
      <c r="F7" s="19">
        <v>5</v>
      </c>
      <c r="G7" s="19">
        <v>6</v>
      </c>
      <c r="H7" s="19">
        <v>7</v>
      </c>
    </row>
    <row r="8" spans="1:11" ht="24" customHeight="1" thickBot="1" thickTop="1">
      <c r="A8" s="272"/>
      <c r="B8" s="272"/>
      <c r="C8" s="272"/>
      <c r="D8" s="273" t="s">
        <v>543</v>
      </c>
      <c r="E8" s="269">
        <v>774457855</v>
      </c>
      <c r="F8" s="269">
        <f>F10+F31</f>
        <v>53800</v>
      </c>
      <c r="G8" s="269">
        <f>G10+G31</f>
        <v>923656</v>
      </c>
      <c r="H8" s="269">
        <f>E8-F8+G8</f>
        <v>775327711</v>
      </c>
      <c r="I8" s="8">
        <f>G8-F8</f>
        <v>869856</v>
      </c>
      <c r="J8" s="8"/>
      <c r="K8" s="8"/>
    </row>
    <row r="9" spans="1:8" ht="15.75" customHeight="1" thickTop="1">
      <c r="A9" s="92"/>
      <c r="B9" s="92"/>
      <c r="C9" s="92"/>
      <c r="D9" s="92" t="s">
        <v>522</v>
      </c>
      <c r="E9" s="113"/>
      <c r="F9" s="113"/>
      <c r="G9" s="113"/>
      <c r="H9" s="113"/>
    </row>
    <row r="10" spans="1:11" ht="15.75" customHeight="1" thickBot="1">
      <c r="A10" s="92"/>
      <c r="B10" s="92"/>
      <c r="C10" s="92"/>
      <c r="D10" s="274" t="s">
        <v>598</v>
      </c>
      <c r="E10" s="270">
        <v>547465848</v>
      </c>
      <c r="F10" s="270">
        <f>F11+F12+F13+F21+F26</f>
        <v>53800</v>
      </c>
      <c r="G10" s="270">
        <f>G11+G12+G13+G21+G26</f>
        <v>83801</v>
      </c>
      <c r="H10" s="270">
        <f aca="true" t="shared" si="0" ref="H10:H41">E10-F10+G10</f>
        <v>547495849</v>
      </c>
      <c r="I10" s="8"/>
      <c r="K10" s="8"/>
    </row>
    <row r="11" spans="1:8" s="17" customFormat="1" ht="19.5" customHeight="1" thickBot="1">
      <c r="A11" s="163"/>
      <c r="B11" s="163"/>
      <c r="C11" s="163"/>
      <c r="D11" s="275" t="s">
        <v>544</v>
      </c>
      <c r="E11" s="131">
        <v>375547074</v>
      </c>
      <c r="F11" s="275"/>
      <c r="G11" s="275"/>
      <c r="H11" s="271">
        <f t="shared" si="0"/>
        <v>375547074</v>
      </c>
    </row>
    <row r="12" spans="1:8" s="17" customFormat="1" ht="19.5" customHeight="1" thickBot="1" thickTop="1">
      <c r="A12" s="163"/>
      <c r="B12" s="163"/>
      <c r="C12" s="163"/>
      <c r="D12" s="130" t="s">
        <v>83</v>
      </c>
      <c r="E12" s="483">
        <v>101029188</v>
      </c>
      <c r="F12" s="131"/>
      <c r="G12" s="131"/>
      <c r="H12" s="131">
        <f t="shared" si="0"/>
        <v>101029188</v>
      </c>
    </row>
    <row r="13" spans="1:8" s="17" customFormat="1" ht="19.5" customHeight="1" thickBot="1" thickTop="1">
      <c r="A13" s="163"/>
      <c r="B13" s="163"/>
      <c r="C13" s="163"/>
      <c r="D13" s="130" t="s">
        <v>546</v>
      </c>
      <c r="E13" s="131">
        <v>11622619</v>
      </c>
      <c r="F13" s="131"/>
      <c r="G13" s="131">
        <f>G14</f>
        <v>43801</v>
      </c>
      <c r="H13" s="131">
        <f t="shared" si="0"/>
        <v>11666420</v>
      </c>
    </row>
    <row r="14" spans="1:8" ht="19.5" customHeight="1" thickTop="1">
      <c r="A14" s="115">
        <v>801</v>
      </c>
      <c r="B14" s="115"/>
      <c r="C14" s="188"/>
      <c r="D14" s="132" t="s">
        <v>532</v>
      </c>
      <c r="E14" s="133">
        <v>12000</v>
      </c>
      <c r="F14" s="133"/>
      <c r="G14" s="133">
        <f>G15+G18</f>
        <v>43801</v>
      </c>
      <c r="H14" s="133">
        <f t="shared" si="0"/>
        <v>55801</v>
      </c>
    </row>
    <row r="15" spans="1:8" ht="19.5" customHeight="1">
      <c r="A15" s="135"/>
      <c r="B15" s="172">
        <v>80101</v>
      </c>
      <c r="C15" s="182"/>
      <c r="D15" s="172" t="s">
        <v>533</v>
      </c>
      <c r="E15" s="174">
        <v>12000</v>
      </c>
      <c r="F15" s="174"/>
      <c r="G15" s="174">
        <f>G16</f>
        <v>43101</v>
      </c>
      <c r="H15" s="174">
        <f t="shared" si="0"/>
        <v>55101</v>
      </c>
    </row>
    <row r="16" spans="1:8" ht="18.75" customHeight="1">
      <c r="A16" s="92"/>
      <c r="B16" s="92"/>
      <c r="C16" s="183"/>
      <c r="D16" s="180" t="s">
        <v>84</v>
      </c>
      <c r="E16" s="179"/>
      <c r="F16" s="179"/>
      <c r="G16" s="179">
        <v>43101</v>
      </c>
      <c r="H16" s="179">
        <f t="shared" si="0"/>
        <v>43101</v>
      </c>
    </row>
    <row r="17" spans="1:8" ht="27" customHeight="1" hidden="1">
      <c r="A17" s="163"/>
      <c r="B17" s="163"/>
      <c r="C17" s="186">
        <v>2030</v>
      </c>
      <c r="D17" s="187" t="s">
        <v>447</v>
      </c>
      <c r="E17" s="117"/>
      <c r="F17" s="117"/>
      <c r="G17" s="117">
        <v>43101</v>
      </c>
      <c r="H17" s="117">
        <f t="shared" si="0"/>
        <v>43101</v>
      </c>
    </row>
    <row r="18" spans="1:8" ht="19.5" customHeight="1">
      <c r="A18" s="163"/>
      <c r="B18" s="172">
        <v>80195</v>
      </c>
      <c r="C18" s="182"/>
      <c r="D18" s="172" t="s">
        <v>531</v>
      </c>
      <c r="E18" s="174"/>
      <c r="F18" s="174"/>
      <c r="G18" s="174">
        <f>G19</f>
        <v>700</v>
      </c>
      <c r="H18" s="174">
        <f t="shared" si="0"/>
        <v>700</v>
      </c>
    </row>
    <row r="19" spans="1:8" ht="24" customHeight="1">
      <c r="A19" s="92"/>
      <c r="B19" s="92"/>
      <c r="C19" s="183"/>
      <c r="D19" s="178" t="s">
        <v>280</v>
      </c>
      <c r="E19" s="179"/>
      <c r="F19" s="179"/>
      <c r="G19" s="179">
        <f>G20</f>
        <v>700</v>
      </c>
      <c r="H19" s="179">
        <f t="shared" si="0"/>
        <v>700</v>
      </c>
    </row>
    <row r="20" spans="1:8" ht="27" customHeight="1" hidden="1">
      <c r="A20" s="163"/>
      <c r="B20" s="163"/>
      <c r="C20" s="186">
        <v>2030</v>
      </c>
      <c r="D20" s="187" t="s">
        <v>447</v>
      </c>
      <c r="E20" s="117"/>
      <c r="F20" s="117"/>
      <c r="G20" s="117">
        <v>700</v>
      </c>
      <c r="H20" s="117">
        <f t="shared" si="0"/>
        <v>700</v>
      </c>
    </row>
    <row r="21" spans="1:8" s="17" customFormat="1" ht="21" customHeight="1" thickBot="1">
      <c r="A21" s="163"/>
      <c r="B21" s="163"/>
      <c r="C21" s="163"/>
      <c r="D21" s="130" t="s">
        <v>435</v>
      </c>
      <c r="E21" s="131">
        <v>260000</v>
      </c>
      <c r="F21" s="131"/>
      <c r="G21" s="131">
        <f>G22</f>
        <v>40000</v>
      </c>
      <c r="H21" s="131">
        <f t="shared" si="0"/>
        <v>300000</v>
      </c>
    </row>
    <row r="22" spans="1:8" ht="19.5" customHeight="1" thickTop="1">
      <c r="A22" s="115">
        <v>710</v>
      </c>
      <c r="B22" s="115"/>
      <c r="C22" s="188"/>
      <c r="D22" s="522" t="s">
        <v>478</v>
      </c>
      <c r="E22" s="133"/>
      <c r="F22" s="133"/>
      <c r="G22" s="133">
        <f>G23</f>
        <v>40000</v>
      </c>
      <c r="H22" s="133">
        <f t="shared" si="0"/>
        <v>40000</v>
      </c>
    </row>
    <row r="23" spans="1:8" ht="19.5" customHeight="1">
      <c r="A23" s="135"/>
      <c r="B23" s="172">
        <v>71035</v>
      </c>
      <c r="C23" s="182"/>
      <c r="D23" s="523" t="s">
        <v>479</v>
      </c>
      <c r="E23" s="174"/>
      <c r="F23" s="174"/>
      <c r="G23" s="174">
        <f>G24</f>
        <v>40000</v>
      </c>
      <c r="H23" s="174">
        <f t="shared" si="0"/>
        <v>40000</v>
      </c>
    </row>
    <row r="24" spans="1:8" ht="27" customHeight="1">
      <c r="A24" s="92"/>
      <c r="B24" s="92"/>
      <c r="C24" s="504"/>
      <c r="D24" s="1004" t="s">
        <v>480</v>
      </c>
      <c r="E24" s="179"/>
      <c r="F24" s="179"/>
      <c r="G24" s="179">
        <f>G25</f>
        <v>40000</v>
      </c>
      <c r="H24" s="179">
        <f t="shared" si="0"/>
        <v>40000</v>
      </c>
    </row>
    <row r="25" spans="1:8" ht="27" customHeight="1" hidden="1">
      <c r="A25" s="163"/>
      <c r="B25" s="163"/>
      <c r="C25" s="506">
        <v>2020</v>
      </c>
      <c r="D25" s="525" t="s">
        <v>481</v>
      </c>
      <c r="E25" s="117"/>
      <c r="F25" s="117"/>
      <c r="G25" s="117">
        <v>40000</v>
      </c>
      <c r="H25" s="117">
        <f t="shared" si="0"/>
        <v>40000</v>
      </c>
    </row>
    <row r="26" spans="1:8" s="17" customFormat="1" ht="30.75" customHeight="1" thickBot="1">
      <c r="A26" s="163"/>
      <c r="B26" s="163"/>
      <c r="C26" s="163"/>
      <c r="D26" s="130" t="s">
        <v>547</v>
      </c>
      <c r="E26" s="131">
        <v>59006967</v>
      </c>
      <c r="F26" s="131">
        <f>F27</f>
        <v>53800</v>
      </c>
      <c r="G26" s="131"/>
      <c r="H26" s="131">
        <f t="shared" si="0"/>
        <v>58953167</v>
      </c>
    </row>
    <row r="27" spans="1:8" s="17" customFormat="1" ht="19.5" customHeight="1" thickTop="1">
      <c r="A27" s="115">
        <v>852</v>
      </c>
      <c r="B27" s="115"/>
      <c r="C27" s="115"/>
      <c r="D27" s="132" t="s">
        <v>511</v>
      </c>
      <c r="E27" s="133">
        <v>57406000</v>
      </c>
      <c r="F27" s="133">
        <f>F28</f>
        <v>53800</v>
      </c>
      <c r="G27" s="133"/>
      <c r="H27" s="133">
        <f t="shared" si="0"/>
        <v>57352200</v>
      </c>
    </row>
    <row r="28" spans="1:8" s="17" customFormat="1" ht="19.5" customHeight="1">
      <c r="A28" s="135"/>
      <c r="B28" s="172">
        <v>85214</v>
      </c>
      <c r="C28" s="172"/>
      <c r="D28" s="172" t="s">
        <v>474</v>
      </c>
      <c r="E28" s="174">
        <v>9258000</v>
      </c>
      <c r="F28" s="174">
        <f>F29</f>
        <v>53800</v>
      </c>
      <c r="G28" s="174"/>
      <c r="H28" s="174">
        <f t="shared" si="0"/>
        <v>9204200</v>
      </c>
    </row>
    <row r="29" spans="1:8" ht="27" customHeight="1">
      <c r="A29" s="105"/>
      <c r="B29" s="105"/>
      <c r="C29" s="1018"/>
      <c r="D29" s="1006" t="s">
        <v>475</v>
      </c>
      <c r="E29" s="179">
        <v>9258000</v>
      </c>
      <c r="F29" s="179">
        <f>F30</f>
        <v>53800</v>
      </c>
      <c r="G29" s="179"/>
      <c r="H29" s="179">
        <f t="shared" si="0"/>
        <v>9204200</v>
      </c>
    </row>
    <row r="30" spans="1:8" ht="27" customHeight="1" hidden="1">
      <c r="A30" s="163"/>
      <c r="B30" s="163"/>
      <c r="C30" s="506">
        <v>2010</v>
      </c>
      <c r="D30" s="1005" t="s">
        <v>476</v>
      </c>
      <c r="E30" s="117">
        <v>9258000</v>
      </c>
      <c r="F30" s="117">
        <v>53800</v>
      </c>
      <c r="G30" s="117"/>
      <c r="H30" s="117">
        <f t="shared" si="0"/>
        <v>9204200</v>
      </c>
    </row>
    <row r="31" spans="1:9" ht="17.25" customHeight="1" thickBot="1">
      <c r="A31" s="92"/>
      <c r="B31" s="92"/>
      <c r="C31" s="92"/>
      <c r="D31" s="274" t="s">
        <v>599</v>
      </c>
      <c r="E31" s="270">
        <v>226992007</v>
      </c>
      <c r="F31" s="270"/>
      <c r="G31" s="270">
        <f>G32+G33+G34+G43+G44</f>
        <v>839855</v>
      </c>
      <c r="H31" s="270">
        <f t="shared" si="0"/>
        <v>227831862</v>
      </c>
      <c r="I31" s="8"/>
    </row>
    <row r="32" spans="1:8" s="164" customFormat="1" ht="21" customHeight="1" thickBot="1">
      <c r="A32" s="163"/>
      <c r="B32" s="163"/>
      <c r="C32" s="163"/>
      <c r="D32" s="276" t="s">
        <v>544</v>
      </c>
      <c r="E32" s="482">
        <v>63095330</v>
      </c>
      <c r="F32" s="271"/>
      <c r="G32" s="271"/>
      <c r="H32" s="271">
        <f t="shared" si="0"/>
        <v>63095330</v>
      </c>
    </row>
    <row r="33" spans="1:8" s="17" customFormat="1" ht="21" customHeight="1" thickBot="1" thickTop="1">
      <c r="A33" s="163"/>
      <c r="B33" s="163"/>
      <c r="C33" s="163"/>
      <c r="D33" s="130" t="s">
        <v>545</v>
      </c>
      <c r="E33" s="107">
        <v>131335640</v>
      </c>
      <c r="F33" s="107"/>
      <c r="G33" s="107"/>
      <c r="H33" s="107">
        <f t="shared" si="0"/>
        <v>131335640</v>
      </c>
    </row>
    <row r="34" spans="1:8" s="17" customFormat="1" ht="21" customHeight="1" thickBot="1" thickTop="1">
      <c r="A34" s="176"/>
      <c r="B34" s="176"/>
      <c r="C34" s="176"/>
      <c r="D34" s="455" t="s">
        <v>546</v>
      </c>
      <c r="E34" s="456">
        <v>8134070</v>
      </c>
      <c r="F34" s="456"/>
      <c r="G34" s="456">
        <f>G35+G39</f>
        <v>128400</v>
      </c>
      <c r="H34" s="456">
        <f t="shared" si="0"/>
        <v>8262470</v>
      </c>
    </row>
    <row r="35" spans="1:8" ht="19.5" customHeight="1" thickTop="1">
      <c r="A35" s="115">
        <v>801</v>
      </c>
      <c r="B35" s="115"/>
      <c r="C35" s="188"/>
      <c r="D35" s="132" t="s">
        <v>532</v>
      </c>
      <c r="E35" s="133"/>
      <c r="F35" s="133"/>
      <c r="G35" s="133">
        <f>G36+G43</f>
        <v>800</v>
      </c>
      <c r="H35" s="133">
        <f t="shared" si="0"/>
        <v>800</v>
      </c>
    </row>
    <row r="36" spans="1:8" ht="19.5" customHeight="1">
      <c r="A36" s="135"/>
      <c r="B36" s="172">
        <v>80195</v>
      </c>
      <c r="C36" s="182"/>
      <c r="D36" s="172" t="s">
        <v>531</v>
      </c>
      <c r="E36" s="174"/>
      <c r="F36" s="174"/>
      <c r="G36" s="174">
        <f>G37</f>
        <v>800</v>
      </c>
      <c r="H36" s="174">
        <f t="shared" si="0"/>
        <v>800</v>
      </c>
    </row>
    <row r="37" spans="1:8" ht="27" customHeight="1">
      <c r="A37" s="163"/>
      <c r="B37" s="163"/>
      <c r="C37" s="183"/>
      <c r="D37" s="178" t="s">
        <v>280</v>
      </c>
      <c r="E37" s="179"/>
      <c r="F37" s="205"/>
      <c r="G37" s="179">
        <f>G38</f>
        <v>800</v>
      </c>
      <c r="H37" s="179">
        <f t="shared" si="0"/>
        <v>800</v>
      </c>
    </row>
    <row r="38" spans="1:8" ht="27" customHeight="1" hidden="1">
      <c r="A38" s="163"/>
      <c r="B38" s="163"/>
      <c r="C38" s="186">
        <v>2130</v>
      </c>
      <c r="D38" s="187" t="s">
        <v>307</v>
      </c>
      <c r="E38" s="117"/>
      <c r="F38" s="117"/>
      <c r="G38" s="117">
        <v>800</v>
      </c>
      <c r="H38" s="117">
        <f t="shared" si="0"/>
        <v>800</v>
      </c>
    </row>
    <row r="39" spans="1:8" ht="19.5" customHeight="1">
      <c r="A39" s="115">
        <v>852</v>
      </c>
      <c r="B39" s="115"/>
      <c r="C39" s="188"/>
      <c r="D39" s="132" t="s">
        <v>511</v>
      </c>
      <c r="E39" s="133">
        <v>8108000</v>
      </c>
      <c r="F39" s="133"/>
      <c r="G39" s="133">
        <f>G40</f>
        <v>127600</v>
      </c>
      <c r="H39" s="133">
        <f t="shared" si="0"/>
        <v>8235600</v>
      </c>
    </row>
    <row r="40" spans="1:8" ht="19.5" customHeight="1">
      <c r="A40" s="135"/>
      <c r="B40" s="172">
        <v>85202</v>
      </c>
      <c r="C40" s="182"/>
      <c r="D40" s="172" t="s">
        <v>240</v>
      </c>
      <c r="E40" s="205">
        <v>7898000</v>
      </c>
      <c r="F40" s="205"/>
      <c r="G40" s="205">
        <f>G41</f>
        <v>127600</v>
      </c>
      <c r="H40" s="205">
        <f t="shared" si="0"/>
        <v>8025600</v>
      </c>
    </row>
    <row r="41" spans="1:8" ht="18.75" customHeight="1">
      <c r="A41" s="163"/>
      <c r="B41" s="163"/>
      <c r="C41" s="183"/>
      <c r="D41" s="178" t="s">
        <v>279</v>
      </c>
      <c r="E41" s="179">
        <v>7858000</v>
      </c>
      <c r="F41" s="205"/>
      <c r="G41" s="179">
        <f>G42</f>
        <v>127600</v>
      </c>
      <c r="H41" s="179">
        <f t="shared" si="0"/>
        <v>7985600</v>
      </c>
    </row>
    <row r="42" spans="1:8" ht="27" customHeight="1" hidden="1">
      <c r="A42" s="163"/>
      <c r="B42" s="163"/>
      <c r="C42" s="186">
        <v>2130</v>
      </c>
      <c r="D42" s="187" t="s">
        <v>307</v>
      </c>
      <c r="E42" s="117">
        <v>7858000</v>
      </c>
      <c r="F42" s="117"/>
      <c r="G42" s="117">
        <v>127600</v>
      </c>
      <c r="H42" s="117">
        <f aca="true" t="shared" si="1" ref="H42:H62">E42-F42+G42</f>
        <v>7985600</v>
      </c>
    </row>
    <row r="43" spans="1:8" s="17" customFormat="1" ht="18.75" customHeight="1" thickBot="1">
      <c r="A43" s="163"/>
      <c r="B43" s="163"/>
      <c r="C43" s="163"/>
      <c r="D43" s="130" t="s">
        <v>435</v>
      </c>
      <c r="E43" s="107">
        <v>4064113</v>
      </c>
      <c r="F43" s="107"/>
      <c r="G43" s="107"/>
      <c r="H43" s="492">
        <f t="shared" si="1"/>
        <v>4064113</v>
      </c>
    </row>
    <row r="44" spans="1:8" s="17" customFormat="1" ht="23.25" customHeight="1" thickBot="1" thickTop="1">
      <c r="A44" s="176"/>
      <c r="B44" s="176"/>
      <c r="C44" s="176"/>
      <c r="D44" s="455" t="s">
        <v>548</v>
      </c>
      <c r="E44" s="456">
        <v>20362854</v>
      </c>
      <c r="F44" s="456"/>
      <c r="G44" s="456">
        <f>G45+G49+G53+G59</f>
        <v>711455</v>
      </c>
      <c r="H44" s="456">
        <f t="shared" si="1"/>
        <v>21074309</v>
      </c>
    </row>
    <row r="45" spans="1:8" s="17" customFormat="1" ht="19.5" customHeight="1" thickTop="1">
      <c r="A45" s="458">
        <v>700</v>
      </c>
      <c r="B45" s="459"/>
      <c r="C45" s="460"/>
      <c r="D45" s="461" t="s">
        <v>603</v>
      </c>
      <c r="E45" s="462">
        <v>345000</v>
      </c>
      <c r="F45" s="510"/>
      <c r="G45" s="510">
        <f>G46</f>
        <v>394868</v>
      </c>
      <c r="H45" s="493">
        <f t="shared" si="1"/>
        <v>739868</v>
      </c>
    </row>
    <row r="46" spans="1:8" ht="19.5" customHeight="1">
      <c r="A46" s="439"/>
      <c r="B46" s="440">
        <v>70005</v>
      </c>
      <c r="C46" s="441"/>
      <c r="D46" s="442" t="s">
        <v>568</v>
      </c>
      <c r="E46" s="450">
        <v>345000</v>
      </c>
      <c r="F46" s="511"/>
      <c r="G46" s="511">
        <f>G47</f>
        <v>394868</v>
      </c>
      <c r="H46" s="454">
        <f t="shared" si="1"/>
        <v>739868</v>
      </c>
    </row>
    <row r="47" spans="1:8" ht="25.5" customHeight="1">
      <c r="A47" s="446"/>
      <c r="B47" s="1007"/>
      <c r="C47" s="1008"/>
      <c r="D47" s="457" t="s">
        <v>158</v>
      </c>
      <c r="E47" s="463">
        <v>345000</v>
      </c>
      <c r="F47" s="1009"/>
      <c r="G47" s="1009">
        <f>G48</f>
        <v>394868</v>
      </c>
      <c r="H47" s="464">
        <f t="shared" si="1"/>
        <v>739868</v>
      </c>
    </row>
    <row r="48" spans="1:8" ht="38.25" hidden="1">
      <c r="A48" s="446"/>
      <c r="B48" s="447"/>
      <c r="C48" s="448">
        <v>2110</v>
      </c>
      <c r="D48" s="449" t="s">
        <v>442</v>
      </c>
      <c r="E48" s="453">
        <v>345000</v>
      </c>
      <c r="F48" s="395"/>
      <c r="G48" s="395">
        <v>394868</v>
      </c>
      <c r="H48" s="453">
        <f t="shared" si="1"/>
        <v>739868</v>
      </c>
    </row>
    <row r="49" spans="1:8" s="17" customFormat="1" ht="19.5" customHeight="1">
      <c r="A49" s="458">
        <v>752</v>
      </c>
      <c r="B49" s="459"/>
      <c r="C49" s="460"/>
      <c r="D49" s="461" t="s">
        <v>225</v>
      </c>
      <c r="E49" s="462"/>
      <c r="F49" s="510"/>
      <c r="G49" s="510">
        <f>G50</f>
        <v>1200</v>
      </c>
      <c r="H49" s="493">
        <f t="shared" si="1"/>
        <v>1200</v>
      </c>
    </row>
    <row r="50" spans="1:8" ht="19.5" customHeight="1">
      <c r="A50" s="439"/>
      <c r="B50" s="440">
        <v>75212</v>
      </c>
      <c r="C50" s="441"/>
      <c r="D50" s="442" t="s">
        <v>226</v>
      </c>
      <c r="E50" s="450"/>
      <c r="F50" s="511"/>
      <c r="G50" s="511">
        <f>G51</f>
        <v>1200</v>
      </c>
      <c r="H50" s="454">
        <f t="shared" si="1"/>
        <v>1200</v>
      </c>
    </row>
    <row r="51" spans="1:8" ht="18.75" customHeight="1">
      <c r="A51" s="446"/>
      <c r="B51" s="1007"/>
      <c r="C51" s="1008"/>
      <c r="D51" s="457" t="s">
        <v>227</v>
      </c>
      <c r="E51" s="463"/>
      <c r="F51" s="1009"/>
      <c r="G51" s="1009">
        <f>G52</f>
        <v>1200</v>
      </c>
      <c r="H51" s="464">
        <f t="shared" si="1"/>
        <v>1200</v>
      </c>
    </row>
    <row r="52" spans="1:8" ht="38.25" hidden="1">
      <c r="A52" s="446"/>
      <c r="B52" s="447"/>
      <c r="C52" s="448">
        <v>2110</v>
      </c>
      <c r="D52" s="449" t="s">
        <v>442</v>
      </c>
      <c r="E52" s="453"/>
      <c r="F52" s="395"/>
      <c r="G52" s="395">
        <v>1200</v>
      </c>
      <c r="H52" s="453">
        <f t="shared" si="1"/>
        <v>1200</v>
      </c>
    </row>
    <row r="53" spans="1:8" s="17" customFormat="1" ht="19.5" customHeight="1">
      <c r="A53" s="458">
        <v>852</v>
      </c>
      <c r="B53" s="459"/>
      <c r="C53" s="460"/>
      <c r="D53" s="461" t="s">
        <v>511</v>
      </c>
      <c r="E53" s="462">
        <v>2374000</v>
      </c>
      <c r="F53" s="510"/>
      <c r="G53" s="510">
        <f>G54</f>
        <v>292800</v>
      </c>
      <c r="H53" s="493">
        <f t="shared" si="1"/>
        <v>2666800</v>
      </c>
    </row>
    <row r="54" spans="1:8" ht="19.5" customHeight="1">
      <c r="A54" s="439"/>
      <c r="B54" s="440">
        <v>85203</v>
      </c>
      <c r="C54" s="441"/>
      <c r="D54" s="442" t="s">
        <v>485</v>
      </c>
      <c r="E54" s="450">
        <v>2123000</v>
      </c>
      <c r="F54" s="511"/>
      <c r="G54" s="511">
        <f>G55+G57</f>
        <v>292800</v>
      </c>
      <c r="H54" s="454">
        <f t="shared" si="1"/>
        <v>2415800</v>
      </c>
    </row>
    <row r="55" spans="1:8" ht="25.5" customHeight="1">
      <c r="A55" s="439"/>
      <c r="B55" s="443"/>
      <c r="C55" s="444"/>
      <c r="D55" s="445" t="s">
        <v>486</v>
      </c>
      <c r="E55" s="451">
        <v>2112000</v>
      </c>
      <c r="F55" s="512"/>
      <c r="G55" s="512">
        <f>G56</f>
        <v>123800</v>
      </c>
      <c r="H55" s="452">
        <f t="shared" si="1"/>
        <v>2235800</v>
      </c>
    </row>
    <row r="56" spans="1:8" ht="38.25" hidden="1">
      <c r="A56" s="439"/>
      <c r="B56" s="468"/>
      <c r="C56" s="1010">
        <v>2110</v>
      </c>
      <c r="D56" s="1011" t="s">
        <v>442</v>
      </c>
      <c r="E56" s="1012">
        <v>2112000</v>
      </c>
      <c r="F56" s="1013"/>
      <c r="G56" s="1013">
        <f>53800+70000</f>
        <v>123800</v>
      </c>
      <c r="H56" s="1012">
        <f t="shared" si="1"/>
        <v>2235800</v>
      </c>
    </row>
    <row r="57" spans="1:8" ht="25.5" customHeight="1">
      <c r="A57" s="446"/>
      <c r="B57" s="447"/>
      <c r="C57" s="447"/>
      <c r="D57" s="1014" t="s">
        <v>247</v>
      </c>
      <c r="E57" s="1015">
        <v>11000</v>
      </c>
      <c r="F57" s="1016"/>
      <c r="G57" s="1016">
        <f>G58</f>
        <v>169000</v>
      </c>
      <c r="H57" s="1017">
        <f t="shared" si="1"/>
        <v>180000</v>
      </c>
    </row>
    <row r="58" spans="1:8" ht="38.25" hidden="1">
      <c r="A58" s="446"/>
      <c r="B58" s="447"/>
      <c r="C58" s="448">
        <v>6410</v>
      </c>
      <c r="D58" s="10" t="s">
        <v>281</v>
      </c>
      <c r="E58" s="453">
        <v>11000</v>
      </c>
      <c r="F58" s="395"/>
      <c r="G58" s="395">
        <f>10000+159000</f>
        <v>169000</v>
      </c>
      <c r="H58" s="453">
        <f t="shared" si="1"/>
        <v>180000</v>
      </c>
    </row>
    <row r="59" spans="1:8" s="17" customFormat="1" ht="19.5" customHeight="1">
      <c r="A59" s="458">
        <v>853</v>
      </c>
      <c r="B59" s="459"/>
      <c r="C59" s="460"/>
      <c r="D59" s="461" t="s">
        <v>560</v>
      </c>
      <c r="E59" s="462">
        <v>505585</v>
      </c>
      <c r="F59" s="510"/>
      <c r="G59" s="510">
        <f>G60</f>
        <v>22587</v>
      </c>
      <c r="H59" s="493">
        <f t="shared" si="1"/>
        <v>528172</v>
      </c>
    </row>
    <row r="60" spans="1:8" ht="19.5" customHeight="1">
      <c r="A60" s="439"/>
      <c r="B60" s="440">
        <v>85334</v>
      </c>
      <c r="C60" s="441"/>
      <c r="D60" s="442" t="s">
        <v>440</v>
      </c>
      <c r="E60" s="450">
        <v>9585</v>
      </c>
      <c r="F60" s="511"/>
      <c r="G60" s="511">
        <f>G61+G63</f>
        <v>22587</v>
      </c>
      <c r="H60" s="454">
        <f t="shared" si="1"/>
        <v>32172</v>
      </c>
    </row>
    <row r="61" spans="1:8" ht="18.75" customHeight="1">
      <c r="A61" s="446"/>
      <c r="B61" s="1007"/>
      <c r="C61" s="1008"/>
      <c r="D61" s="457" t="s">
        <v>441</v>
      </c>
      <c r="E61" s="463">
        <v>9585</v>
      </c>
      <c r="F61" s="1009"/>
      <c r="G61" s="1009">
        <f>G62</f>
        <v>22587</v>
      </c>
      <c r="H61" s="464">
        <f t="shared" si="1"/>
        <v>32172</v>
      </c>
    </row>
    <row r="62" spans="1:8" ht="38.25" hidden="1">
      <c r="A62" s="446"/>
      <c r="B62" s="447"/>
      <c r="C62" s="479">
        <v>2110</v>
      </c>
      <c r="D62" s="449" t="s">
        <v>442</v>
      </c>
      <c r="E62" s="453">
        <v>9585</v>
      </c>
      <c r="F62" s="395"/>
      <c r="G62" s="395">
        <f>16383+6204</f>
        <v>22587</v>
      </c>
      <c r="H62" s="453">
        <f t="shared" si="1"/>
        <v>32172</v>
      </c>
    </row>
    <row r="67" ht="12.75">
      <c r="D67" s="17" t="s">
        <v>24</v>
      </c>
    </row>
    <row r="68" ht="12.75">
      <c r="D68" s="17" t="s">
        <v>23</v>
      </c>
    </row>
    <row r="69" ht="12.75">
      <c r="D69" s="17" t="s">
        <v>22</v>
      </c>
    </row>
  </sheetData>
  <printOptions horizontalCentered="1"/>
  <pageMargins left="0.3937007874015748" right="0.3937007874015748" top="0.6692913385826772" bottom="0.5905511811023623" header="0.5118110236220472" footer="0.3937007874015748"/>
  <pageSetup firstPageNumber="5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0"/>
  <sheetViews>
    <sheetView zoomScaleSheetLayoutView="75" workbookViewId="0" topLeftCell="A1">
      <pane xSplit="4" ySplit="9" topLeftCell="E38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7" sqref="D7:D8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6.375" style="0" customWidth="1"/>
    <col min="4" max="4" width="74.00390625" style="0" customWidth="1"/>
    <col min="5" max="5" width="17.00390625" style="213" customWidth="1"/>
    <col min="6" max="6" width="17.75390625" style="0" customWidth="1"/>
    <col min="7" max="8" width="17.375" style="0" customWidth="1"/>
    <col min="9" max="9" width="11.125" style="0" customWidth="1"/>
    <col min="10" max="10" width="12.125" style="0" customWidth="1"/>
  </cols>
  <sheetData>
    <row r="1" ht="19.5" customHeight="1">
      <c r="G1" s="8" t="s">
        <v>433</v>
      </c>
    </row>
    <row r="2" spans="1:7" ht="19.5" customHeight="1">
      <c r="A2" s="17"/>
      <c r="G2" s="1" t="s">
        <v>186</v>
      </c>
    </row>
    <row r="3" spans="1:7" ht="19.5" customHeight="1">
      <c r="A3" s="17"/>
      <c r="C3" s="139"/>
      <c r="D3" s="2" t="s">
        <v>562</v>
      </c>
      <c r="G3" s="1" t="s">
        <v>512</v>
      </c>
    </row>
    <row r="4" spans="3:7" ht="19.5" customHeight="1">
      <c r="C4" s="139"/>
      <c r="D4" s="2" t="s">
        <v>579</v>
      </c>
      <c r="G4" s="1" t="s">
        <v>265</v>
      </c>
    </row>
    <row r="5" ht="9" customHeight="1"/>
    <row r="6" spans="5:8" ht="18.75" customHeight="1" thickBot="1">
      <c r="E6" s="521"/>
      <c r="H6" s="3" t="s">
        <v>514</v>
      </c>
    </row>
    <row r="7" spans="1:8" ht="21" customHeight="1" thickTop="1">
      <c r="A7" s="1172" t="s">
        <v>549</v>
      </c>
      <c r="B7" s="1175" t="s">
        <v>550</v>
      </c>
      <c r="C7" s="1175" t="s">
        <v>517</v>
      </c>
      <c r="D7" s="1172" t="s">
        <v>551</v>
      </c>
      <c r="E7" s="1170" t="s">
        <v>540</v>
      </c>
      <c r="F7" s="1176"/>
      <c r="G7" s="1170" t="s">
        <v>513</v>
      </c>
      <c r="H7" s="1171"/>
    </row>
    <row r="8" spans="1:8" ht="21" customHeight="1" thickBot="1">
      <c r="A8" s="1174"/>
      <c r="B8" s="1174"/>
      <c r="C8" s="1174"/>
      <c r="D8" s="1173"/>
      <c r="E8" s="519" t="s">
        <v>552</v>
      </c>
      <c r="F8" s="22" t="s">
        <v>542</v>
      </c>
      <c r="G8" s="21" t="s">
        <v>552</v>
      </c>
      <c r="H8" s="22" t="s">
        <v>542</v>
      </c>
    </row>
    <row r="9" spans="1:8" ht="15.75" customHeight="1" thickBot="1" thickTop="1">
      <c r="A9" s="23">
        <v>1</v>
      </c>
      <c r="B9" s="23">
        <v>2</v>
      </c>
      <c r="C9" s="23">
        <v>3</v>
      </c>
      <c r="D9" s="23">
        <v>4</v>
      </c>
      <c r="E9" s="520">
        <v>5</v>
      </c>
      <c r="F9" s="24">
        <v>6</v>
      </c>
      <c r="G9" s="24">
        <v>7</v>
      </c>
      <c r="H9" s="24">
        <v>8</v>
      </c>
    </row>
    <row r="10" spans="1:11" ht="21" customHeight="1" thickBot="1" thickTop="1">
      <c r="A10" s="287"/>
      <c r="B10" s="287"/>
      <c r="C10" s="287"/>
      <c r="D10" s="288" t="s">
        <v>553</v>
      </c>
      <c r="E10" s="289">
        <f>E11+E263+E270+E276+E282+E292+E299+E327+E346+E379</f>
        <v>53800</v>
      </c>
      <c r="F10" s="289">
        <f>F11+F263+F270+F276+F282+F292+F299+F327+F346+F379</f>
        <v>923656</v>
      </c>
      <c r="G10" s="289">
        <f>G11+G263+G270+G276+G282+G292+G299+G327+G346+G379</f>
        <v>1296179</v>
      </c>
      <c r="H10" s="289">
        <f>H11+H263+H270+H276+H282+H292+H299+H327+H346+H379</f>
        <v>2166035</v>
      </c>
      <c r="I10" s="25">
        <f>H10-G10</f>
        <v>869856</v>
      </c>
      <c r="J10" s="25"/>
      <c r="K10" s="25"/>
    </row>
    <row r="11" spans="1:9" ht="18" customHeight="1">
      <c r="A11" s="290"/>
      <c r="B11" s="290"/>
      <c r="C11" s="290"/>
      <c r="D11" s="212" t="s">
        <v>554</v>
      </c>
      <c r="E11" s="214">
        <f>E12+E28+E85+E91+E126+E139+E209+E221+E234+E251</f>
        <v>53800</v>
      </c>
      <c r="F11" s="214">
        <f>F12+F28+F85+F91+F126+F139+F209+F221+F234+F251</f>
        <v>923656</v>
      </c>
      <c r="G11" s="214">
        <f>G12+G28+G85+G91+G126+G139+G209+G221+G234+G251</f>
        <v>987148</v>
      </c>
      <c r="H11" s="214">
        <f>H12+H28+H85+H91+H126+H139+H209+H221+H234+H251</f>
        <v>1117234</v>
      </c>
      <c r="I11" s="25"/>
    </row>
    <row r="12" spans="1:8" ht="21" customHeight="1">
      <c r="A12" s="227"/>
      <c r="B12" s="92"/>
      <c r="C12" s="109"/>
      <c r="D12" s="212" t="s">
        <v>470</v>
      </c>
      <c r="E12" s="214"/>
      <c r="F12" s="214"/>
      <c r="G12" s="214">
        <f>G13+G22</f>
        <v>3336</v>
      </c>
      <c r="H12" s="214">
        <f>H13+H22</f>
        <v>4536</v>
      </c>
    </row>
    <row r="13" spans="1:8" ht="21" customHeight="1" thickBot="1">
      <c r="A13" s="202"/>
      <c r="B13" s="202"/>
      <c r="C13" s="202"/>
      <c r="D13" s="106" t="s">
        <v>523</v>
      </c>
      <c r="E13" s="107"/>
      <c r="F13" s="107"/>
      <c r="G13" s="107">
        <f>G14</f>
        <v>3336</v>
      </c>
      <c r="H13" s="107">
        <f>H14</f>
        <v>3336</v>
      </c>
    </row>
    <row r="14" spans="1:8" ht="18" customHeight="1" thickTop="1">
      <c r="A14" s="104">
        <v>754</v>
      </c>
      <c r="B14" s="104"/>
      <c r="C14" s="104"/>
      <c r="D14" s="138" t="s">
        <v>467</v>
      </c>
      <c r="E14" s="114"/>
      <c r="F14" s="114"/>
      <c r="G14" s="114">
        <f>G15</f>
        <v>3336</v>
      </c>
      <c r="H14" s="114">
        <f>H15</f>
        <v>3336</v>
      </c>
    </row>
    <row r="15" spans="1:8" ht="18" customHeight="1">
      <c r="A15" s="227"/>
      <c r="B15" s="176">
        <v>75412</v>
      </c>
      <c r="C15" s="176"/>
      <c r="D15" s="176" t="s">
        <v>468</v>
      </c>
      <c r="E15" s="194"/>
      <c r="F15" s="194"/>
      <c r="G15" s="194">
        <f>G16</f>
        <v>3336</v>
      </c>
      <c r="H15" s="194">
        <f>H16+H18</f>
        <v>3336</v>
      </c>
    </row>
    <row r="16" spans="1:8" ht="18" customHeight="1">
      <c r="A16" s="227"/>
      <c r="B16" s="92"/>
      <c r="C16" s="109"/>
      <c r="D16" s="417" t="s">
        <v>469</v>
      </c>
      <c r="E16" s="195"/>
      <c r="F16" s="195"/>
      <c r="G16" s="195">
        <f>SUM(G17:G21)</f>
        <v>3336</v>
      </c>
      <c r="H16" s="184">
        <f>SUM(H17:H21)</f>
        <v>3336</v>
      </c>
    </row>
    <row r="17" spans="1:8" s="11" customFormat="1" ht="18" customHeight="1">
      <c r="A17" s="109"/>
      <c r="B17" s="109"/>
      <c r="C17" s="730">
        <v>3030</v>
      </c>
      <c r="D17" s="10" t="s">
        <v>454</v>
      </c>
      <c r="E17" s="125"/>
      <c r="F17" s="125"/>
      <c r="G17" s="125">
        <v>1000</v>
      </c>
      <c r="H17" s="395"/>
    </row>
    <row r="18" spans="1:9" s="11" customFormat="1" ht="18" customHeight="1">
      <c r="A18" s="729"/>
      <c r="B18" s="729"/>
      <c r="C18" s="731">
        <v>4260</v>
      </c>
      <c r="D18" s="421" t="s">
        <v>528</v>
      </c>
      <c r="E18" s="724"/>
      <c r="F18" s="724"/>
      <c r="G18" s="724">
        <v>1000</v>
      </c>
      <c r="H18" s="724"/>
      <c r="I18" s="12"/>
    </row>
    <row r="19" spans="1:9" s="11" customFormat="1" ht="18" customHeight="1">
      <c r="A19" s="729"/>
      <c r="B19" s="729"/>
      <c r="C19" s="731">
        <v>4280</v>
      </c>
      <c r="D19" s="421" t="s">
        <v>60</v>
      </c>
      <c r="E19" s="724"/>
      <c r="F19" s="724"/>
      <c r="G19" s="724">
        <v>1336</v>
      </c>
      <c r="H19" s="724"/>
      <c r="I19" s="12"/>
    </row>
    <row r="20" spans="1:9" s="11" customFormat="1" ht="18" customHeight="1">
      <c r="A20" s="729"/>
      <c r="B20" s="729"/>
      <c r="C20" s="731">
        <v>4300</v>
      </c>
      <c r="D20" s="421" t="s">
        <v>524</v>
      </c>
      <c r="E20" s="724"/>
      <c r="F20" s="724"/>
      <c r="G20" s="724"/>
      <c r="H20" s="724">
        <v>1250</v>
      </c>
      <c r="I20" s="12"/>
    </row>
    <row r="21" spans="1:9" s="11" customFormat="1" ht="18" customHeight="1">
      <c r="A21" s="729"/>
      <c r="B21" s="729"/>
      <c r="C21" s="731">
        <v>4430</v>
      </c>
      <c r="D21" s="421" t="s">
        <v>415</v>
      </c>
      <c r="E21" s="724"/>
      <c r="F21" s="724"/>
      <c r="G21" s="724"/>
      <c r="H21" s="724">
        <v>2086</v>
      </c>
      <c r="I21" s="12"/>
    </row>
    <row r="22" spans="1:8" ht="21" customHeight="1" thickBot="1">
      <c r="A22" s="202"/>
      <c r="B22" s="202"/>
      <c r="C22" s="202"/>
      <c r="D22" s="130" t="s">
        <v>539</v>
      </c>
      <c r="E22" s="107"/>
      <c r="F22" s="107"/>
      <c r="G22" s="107"/>
      <c r="H22" s="107">
        <f>H23</f>
        <v>1200</v>
      </c>
    </row>
    <row r="23" spans="1:8" ht="18.75" customHeight="1" thickTop="1">
      <c r="A23" s="104">
        <v>752</v>
      </c>
      <c r="B23" s="104"/>
      <c r="C23" s="104"/>
      <c r="D23" s="132" t="s">
        <v>225</v>
      </c>
      <c r="E23" s="114"/>
      <c r="F23" s="114"/>
      <c r="G23" s="114"/>
      <c r="H23" s="114">
        <f>H24</f>
        <v>1200</v>
      </c>
    </row>
    <row r="24" spans="1:8" ht="18.75" customHeight="1">
      <c r="A24" s="227"/>
      <c r="B24" s="176">
        <v>75212</v>
      </c>
      <c r="C24" s="176"/>
      <c r="D24" s="491" t="s">
        <v>226</v>
      </c>
      <c r="E24" s="194"/>
      <c r="F24" s="194"/>
      <c r="G24" s="194"/>
      <c r="H24" s="194">
        <f>H25</f>
        <v>1200</v>
      </c>
    </row>
    <row r="25" spans="1:8" ht="18.75" customHeight="1">
      <c r="A25" s="227"/>
      <c r="B25" s="92"/>
      <c r="C25" s="109"/>
      <c r="D25" s="405" t="s">
        <v>98</v>
      </c>
      <c r="E25" s="195"/>
      <c r="F25" s="195"/>
      <c r="G25" s="195"/>
      <c r="H25" s="184">
        <f>SUM(H26:H27)</f>
        <v>1200</v>
      </c>
    </row>
    <row r="26" spans="1:8" s="11" customFormat="1" ht="18.75" customHeight="1">
      <c r="A26" s="109"/>
      <c r="B26" s="109"/>
      <c r="C26" s="730">
        <v>4170</v>
      </c>
      <c r="D26" s="708" t="s">
        <v>610</v>
      </c>
      <c r="E26" s="125"/>
      <c r="F26" s="125"/>
      <c r="G26" s="125"/>
      <c r="H26" s="395">
        <v>500</v>
      </c>
    </row>
    <row r="27" spans="1:8" s="11" customFormat="1" ht="18.75" customHeight="1">
      <c r="A27" s="109"/>
      <c r="B27" s="109"/>
      <c r="C27" s="731">
        <v>4210</v>
      </c>
      <c r="D27" s="719" t="s">
        <v>525</v>
      </c>
      <c r="E27" s="724"/>
      <c r="F27" s="724"/>
      <c r="G27" s="724"/>
      <c r="H27" s="898">
        <v>700</v>
      </c>
    </row>
    <row r="28" spans="1:9" ht="18.75" customHeight="1">
      <c r="A28" s="290"/>
      <c r="B28" s="290"/>
      <c r="C28" s="290"/>
      <c r="D28" s="212" t="s">
        <v>220</v>
      </c>
      <c r="E28" s="214">
        <f>E29+E48</f>
        <v>53800</v>
      </c>
      <c r="F28" s="214">
        <f>F29+F48</f>
        <v>923656</v>
      </c>
      <c r="G28" s="214">
        <f>G78</f>
        <v>101445</v>
      </c>
      <c r="H28" s="214"/>
      <c r="I28" s="25">
        <f>F28-E28</f>
        <v>869856</v>
      </c>
    </row>
    <row r="29" spans="1:9" ht="14.25" customHeight="1" thickBot="1">
      <c r="A29" s="223"/>
      <c r="B29" s="224"/>
      <c r="C29" s="291"/>
      <c r="D29" s="292" t="s">
        <v>617</v>
      </c>
      <c r="E29" s="293">
        <f>E30+E38+E43</f>
        <v>53800</v>
      </c>
      <c r="F29" s="293">
        <f>F30+F38+F43</f>
        <v>83801</v>
      </c>
      <c r="G29" s="294"/>
      <c r="H29" s="294"/>
      <c r="I29" s="25"/>
    </row>
    <row r="30" spans="1:9" ht="21" customHeight="1" thickBot="1">
      <c r="A30" s="92"/>
      <c r="B30" s="92"/>
      <c r="C30" s="92"/>
      <c r="D30" s="276" t="s">
        <v>546</v>
      </c>
      <c r="E30" s="295"/>
      <c r="F30" s="295">
        <f>F31</f>
        <v>43801</v>
      </c>
      <c r="G30" s="296"/>
      <c r="H30" s="296"/>
      <c r="I30" s="25"/>
    </row>
    <row r="31" spans="1:9" ht="18.75" customHeight="1" thickTop="1">
      <c r="A31" s="115">
        <v>801</v>
      </c>
      <c r="B31" s="115"/>
      <c r="C31" s="188"/>
      <c r="D31" s="132" t="s">
        <v>532</v>
      </c>
      <c r="E31" s="201"/>
      <c r="F31" s="201">
        <f>F32+F35</f>
        <v>43801</v>
      </c>
      <c r="G31" s="201"/>
      <c r="H31" s="201"/>
      <c r="I31" s="25"/>
    </row>
    <row r="32" spans="1:9" ht="18.75" customHeight="1">
      <c r="A32" s="172"/>
      <c r="B32" s="172">
        <v>80101</v>
      </c>
      <c r="C32" s="182"/>
      <c r="D32" s="172" t="s">
        <v>533</v>
      </c>
      <c r="E32" s="199"/>
      <c r="F32" s="199">
        <f>F33</f>
        <v>43101</v>
      </c>
      <c r="G32" s="199"/>
      <c r="H32" s="199"/>
      <c r="I32" s="25"/>
    </row>
    <row r="33" spans="1:9" ht="18.75" customHeight="1">
      <c r="A33" s="163"/>
      <c r="B33" s="163"/>
      <c r="C33" s="1103"/>
      <c r="D33" s="234" t="s">
        <v>84</v>
      </c>
      <c r="E33" s="1104"/>
      <c r="F33" s="1104">
        <f>F34</f>
        <v>43101</v>
      </c>
      <c r="G33" s="1104"/>
      <c r="H33" s="1104"/>
      <c r="I33" s="25"/>
    </row>
    <row r="34" spans="1:9" ht="18.75" customHeight="1">
      <c r="A34" s="163"/>
      <c r="B34" s="163"/>
      <c r="C34" s="159">
        <v>2030</v>
      </c>
      <c r="D34" s="187" t="s">
        <v>447</v>
      </c>
      <c r="E34" s="518"/>
      <c r="F34" s="518">
        <v>43101</v>
      </c>
      <c r="G34" s="518"/>
      <c r="H34" s="169"/>
      <c r="I34" s="25"/>
    </row>
    <row r="35" spans="1:9" ht="18.75" customHeight="1">
      <c r="A35" s="163"/>
      <c r="B35" s="172">
        <v>80195</v>
      </c>
      <c r="C35" s="182"/>
      <c r="D35" s="172" t="s">
        <v>531</v>
      </c>
      <c r="E35" s="199"/>
      <c r="F35" s="199">
        <f>F36</f>
        <v>700</v>
      </c>
      <c r="G35" s="199"/>
      <c r="H35" s="199"/>
      <c r="I35" s="25"/>
    </row>
    <row r="36" spans="1:9" ht="27" customHeight="1">
      <c r="A36" s="163"/>
      <c r="B36" s="163"/>
      <c r="C36" s="158"/>
      <c r="D36" s="180" t="s">
        <v>280</v>
      </c>
      <c r="E36" s="200"/>
      <c r="F36" s="200">
        <f>F37</f>
        <v>700</v>
      </c>
      <c r="G36" s="200"/>
      <c r="H36" s="200"/>
      <c r="I36" s="25"/>
    </row>
    <row r="37" spans="1:9" ht="25.5" customHeight="1">
      <c r="A37" s="163"/>
      <c r="B37" s="163"/>
      <c r="C37" s="159">
        <v>2030</v>
      </c>
      <c r="D37" s="187" t="s">
        <v>447</v>
      </c>
      <c r="E37" s="518"/>
      <c r="F37" s="518">
        <v>700</v>
      </c>
      <c r="G37" s="518"/>
      <c r="H37" s="169"/>
      <c r="I37" s="25"/>
    </row>
    <row r="38" spans="1:9" ht="23.25" customHeight="1" thickBot="1">
      <c r="A38" s="92"/>
      <c r="B38" s="92"/>
      <c r="C38" s="92"/>
      <c r="D38" s="130" t="s">
        <v>435</v>
      </c>
      <c r="E38" s="103"/>
      <c r="F38" s="103">
        <f>F39</f>
        <v>40000</v>
      </c>
      <c r="G38" s="218"/>
      <c r="H38" s="218"/>
      <c r="I38" s="25"/>
    </row>
    <row r="39" spans="1:9" ht="21" customHeight="1" thickTop="1">
      <c r="A39" s="115">
        <v>710</v>
      </c>
      <c r="B39" s="115"/>
      <c r="C39" s="188"/>
      <c r="D39" s="522" t="s">
        <v>478</v>
      </c>
      <c r="E39" s="201"/>
      <c r="F39" s="201">
        <f>F40</f>
        <v>40000</v>
      </c>
      <c r="G39" s="201"/>
      <c r="H39" s="201"/>
      <c r="I39" s="25"/>
    </row>
    <row r="40" spans="1:9" s="1" customFormat="1" ht="21" customHeight="1">
      <c r="A40" s="135"/>
      <c r="B40" s="172">
        <v>71035</v>
      </c>
      <c r="C40" s="182"/>
      <c r="D40" s="523" t="s">
        <v>479</v>
      </c>
      <c r="E40" s="199"/>
      <c r="F40" s="199">
        <f>F41</f>
        <v>40000</v>
      </c>
      <c r="G40" s="199"/>
      <c r="H40" s="199"/>
      <c r="I40" s="8"/>
    </row>
    <row r="41" spans="1:9" ht="26.25" customHeight="1">
      <c r="A41" s="163"/>
      <c r="B41" s="163"/>
      <c r="C41" s="158"/>
      <c r="D41" s="524" t="s">
        <v>145</v>
      </c>
      <c r="E41" s="200"/>
      <c r="F41" s="200">
        <f>F42</f>
        <v>40000</v>
      </c>
      <c r="G41" s="200"/>
      <c r="H41" s="200"/>
      <c r="I41" s="25"/>
    </row>
    <row r="42" spans="1:9" ht="25.5" customHeight="1">
      <c r="A42" s="163"/>
      <c r="B42" s="163"/>
      <c r="C42" s="159">
        <v>2020</v>
      </c>
      <c r="D42" s="525" t="s">
        <v>481</v>
      </c>
      <c r="E42" s="168"/>
      <c r="F42" s="168">
        <v>40000</v>
      </c>
      <c r="G42" s="168"/>
      <c r="H42" s="169"/>
      <c r="I42" s="25"/>
    </row>
    <row r="43" spans="1:9" ht="30" customHeight="1" thickBot="1">
      <c r="A43" s="92"/>
      <c r="B43" s="92"/>
      <c r="C43" s="92"/>
      <c r="D43" s="130" t="s">
        <v>547</v>
      </c>
      <c r="E43" s="103">
        <f>E44</f>
        <v>53800</v>
      </c>
      <c r="F43" s="103"/>
      <c r="G43" s="218"/>
      <c r="H43" s="218"/>
      <c r="I43" s="25"/>
    </row>
    <row r="44" spans="1:9" ht="21" customHeight="1" thickTop="1">
      <c r="A44" s="115">
        <v>852</v>
      </c>
      <c r="B44" s="115"/>
      <c r="C44" s="188"/>
      <c r="D44" s="132" t="s">
        <v>511</v>
      </c>
      <c r="E44" s="201">
        <f>E45</f>
        <v>53800</v>
      </c>
      <c r="F44" s="201"/>
      <c r="G44" s="201"/>
      <c r="H44" s="201"/>
      <c r="I44" s="25"/>
    </row>
    <row r="45" spans="1:9" s="1" customFormat="1" ht="21" customHeight="1">
      <c r="A45" s="135"/>
      <c r="B45" s="172">
        <v>85214</v>
      </c>
      <c r="C45" s="182"/>
      <c r="D45" s="172" t="s">
        <v>474</v>
      </c>
      <c r="E45" s="199">
        <f>E46</f>
        <v>53800</v>
      </c>
      <c r="F45" s="199"/>
      <c r="G45" s="199"/>
      <c r="H45" s="199"/>
      <c r="I45" s="8"/>
    </row>
    <row r="46" spans="1:9" ht="26.25" customHeight="1">
      <c r="A46" s="163"/>
      <c r="B46" s="163"/>
      <c r="C46" s="158"/>
      <c r="D46" s="505" t="s">
        <v>475</v>
      </c>
      <c r="E46" s="200">
        <f>E47</f>
        <v>53800</v>
      </c>
      <c r="F46" s="200"/>
      <c r="G46" s="200"/>
      <c r="H46" s="200"/>
      <c r="I46" s="25"/>
    </row>
    <row r="47" spans="1:9" ht="25.5" customHeight="1">
      <c r="A47" s="163"/>
      <c r="B47" s="163"/>
      <c r="C47" s="159">
        <v>2010</v>
      </c>
      <c r="D47" s="507" t="s">
        <v>476</v>
      </c>
      <c r="E47" s="168">
        <v>53800</v>
      </c>
      <c r="F47" s="168"/>
      <c r="G47" s="168"/>
      <c r="H47" s="169"/>
      <c r="I47" s="25"/>
    </row>
    <row r="48" spans="1:9" ht="17.25" customHeight="1" thickBot="1">
      <c r="A48" s="223"/>
      <c r="B48" s="224"/>
      <c r="C48" s="291"/>
      <c r="D48" s="292" t="s">
        <v>444</v>
      </c>
      <c r="E48" s="293"/>
      <c r="F48" s="293">
        <f>F49+F59</f>
        <v>839855</v>
      </c>
      <c r="G48" s="294"/>
      <c r="H48" s="294"/>
      <c r="I48" s="25"/>
    </row>
    <row r="49" spans="1:8" s="17" customFormat="1" ht="24.75" customHeight="1" thickBot="1">
      <c r="A49" s="176"/>
      <c r="B49" s="176"/>
      <c r="C49" s="176"/>
      <c r="D49" s="276" t="s">
        <v>546</v>
      </c>
      <c r="E49" s="131"/>
      <c r="F49" s="131">
        <f>F50+F54</f>
        <v>128400</v>
      </c>
      <c r="G49" s="130"/>
      <c r="H49" s="130"/>
    </row>
    <row r="50" spans="1:8" s="17" customFormat="1" ht="18.75" customHeight="1" thickTop="1">
      <c r="A50" s="458">
        <v>801</v>
      </c>
      <c r="B50" s="459"/>
      <c r="C50" s="460"/>
      <c r="D50" s="461" t="s">
        <v>532</v>
      </c>
      <c r="E50" s="133"/>
      <c r="F50" s="133">
        <f>F51</f>
        <v>800</v>
      </c>
      <c r="G50" s="132"/>
      <c r="H50" s="132"/>
    </row>
    <row r="51" spans="1:8" s="17" customFormat="1" ht="18.75" customHeight="1">
      <c r="A51" s="439"/>
      <c r="B51" s="440">
        <v>80195</v>
      </c>
      <c r="C51" s="441"/>
      <c r="D51" s="442" t="s">
        <v>531</v>
      </c>
      <c r="E51" s="174"/>
      <c r="F51" s="174">
        <f>F52</f>
        <v>800</v>
      </c>
      <c r="G51" s="173"/>
      <c r="H51" s="173"/>
    </row>
    <row r="52" spans="1:8" s="17" customFormat="1" ht="25.5" customHeight="1">
      <c r="A52" s="439"/>
      <c r="B52" s="443"/>
      <c r="C52" s="444"/>
      <c r="D52" s="180" t="s">
        <v>280</v>
      </c>
      <c r="E52" s="118"/>
      <c r="F52" s="118">
        <f>F53</f>
        <v>800</v>
      </c>
      <c r="G52" s="208"/>
      <c r="H52" s="208"/>
    </row>
    <row r="53" spans="1:8" s="17" customFormat="1" ht="27" customHeight="1">
      <c r="A53" s="446"/>
      <c r="B53" s="447"/>
      <c r="C53" s="479">
        <v>2130</v>
      </c>
      <c r="D53" s="187" t="s">
        <v>307</v>
      </c>
      <c r="E53" s="209"/>
      <c r="F53" s="209">
        <v>800</v>
      </c>
      <c r="G53" s="210"/>
      <c r="H53" s="210"/>
    </row>
    <row r="54" spans="1:8" s="17" customFormat="1" ht="18.75" customHeight="1">
      <c r="A54" s="458">
        <v>852</v>
      </c>
      <c r="B54" s="459"/>
      <c r="C54" s="460"/>
      <c r="D54" s="132" t="s">
        <v>511</v>
      </c>
      <c r="E54" s="133"/>
      <c r="F54" s="133">
        <f>F55</f>
        <v>127600</v>
      </c>
      <c r="G54" s="132"/>
      <c r="H54" s="132"/>
    </row>
    <row r="55" spans="1:8" s="17" customFormat="1" ht="18.75" customHeight="1">
      <c r="A55" s="439"/>
      <c r="B55" s="440">
        <v>85202</v>
      </c>
      <c r="C55" s="441"/>
      <c r="D55" s="172" t="s">
        <v>240</v>
      </c>
      <c r="E55" s="174"/>
      <c r="F55" s="174">
        <f>F56</f>
        <v>127600</v>
      </c>
      <c r="G55" s="173"/>
      <c r="H55" s="173"/>
    </row>
    <row r="56" spans="1:8" s="17" customFormat="1" ht="18.75" customHeight="1">
      <c r="A56" s="439"/>
      <c r="B56" s="443"/>
      <c r="C56" s="444"/>
      <c r="D56" s="180" t="s">
        <v>279</v>
      </c>
      <c r="E56" s="118"/>
      <c r="F56" s="118">
        <f>F57</f>
        <v>127600</v>
      </c>
      <c r="G56" s="208"/>
      <c r="H56" s="208"/>
    </row>
    <row r="57" spans="1:8" s="17" customFormat="1" ht="27" customHeight="1">
      <c r="A57" s="446"/>
      <c r="B57" s="447"/>
      <c r="C57" s="448">
        <v>2130</v>
      </c>
      <c r="D57" s="187" t="s">
        <v>307</v>
      </c>
      <c r="E57" s="209"/>
      <c r="F57" s="209">
        <v>127600</v>
      </c>
      <c r="G57" s="210"/>
      <c r="H57" s="210"/>
    </row>
    <row r="58" spans="1:8" s="17" customFormat="1" ht="14.25" customHeight="1">
      <c r="A58" s="1084"/>
      <c r="B58" s="1085"/>
      <c r="C58" s="1086"/>
      <c r="D58" s="1133"/>
      <c r="E58" s="1073"/>
      <c r="F58" s="1073"/>
      <c r="G58" s="1146"/>
      <c r="H58" s="1146"/>
    </row>
    <row r="59" spans="1:8" s="17" customFormat="1" ht="18.75" customHeight="1" thickBot="1">
      <c r="A59" s="176"/>
      <c r="B59" s="176"/>
      <c r="C59" s="176"/>
      <c r="D59" s="130" t="s">
        <v>446</v>
      </c>
      <c r="E59" s="131"/>
      <c r="F59" s="131">
        <f>F60+F64+F68+F74</f>
        <v>711455</v>
      </c>
      <c r="G59" s="130"/>
      <c r="H59" s="130"/>
    </row>
    <row r="60" spans="1:8" s="17" customFormat="1" ht="18.75" customHeight="1" thickTop="1">
      <c r="A60" s="458">
        <v>700</v>
      </c>
      <c r="B60" s="459"/>
      <c r="C60" s="460"/>
      <c r="D60" s="461" t="s">
        <v>603</v>
      </c>
      <c r="E60" s="133"/>
      <c r="F60" s="133">
        <f>F61</f>
        <v>394868</v>
      </c>
      <c r="G60" s="132"/>
      <c r="H60" s="132"/>
    </row>
    <row r="61" spans="1:8" s="17" customFormat="1" ht="18.75" customHeight="1">
      <c r="A61" s="439"/>
      <c r="B61" s="440">
        <v>70005</v>
      </c>
      <c r="C61" s="441"/>
      <c r="D61" s="442" t="s">
        <v>568</v>
      </c>
      <c r="E61" s="174"/>
      <c r="F61" s="174">
        <f>F62</f>
        <v>394868</v>
      </c>
      <c r="G61" s="173"/>
      <c r="H61" s="173"/>
    </row>
    <row r="62" spans="1:8" s="17" customFormat="1" ht="25.5" customHeight="1">
      <c r="A62" s="439"/>
      <c r="B62" s="443"/>
      <c r="C62" s="444"/>
      <c r="D62" s="445" t="s">
        <v>146</v>
      </c>
      <c r="E62" s="118"/>
      <c r="F62" s="118">
        <f>F63</f>
        <v>394868</v>
      </c>
      <c r="G62" s="208"/>
      <c r="H62" s="208"/>
    </row>
    <row r="63" spans="1:8" s="17" customFormat="1" ht="27" customHeight="1">
      <c r="A63" s="446"/>
      <c r="B63" s="447"/>
      <c r="C63" s="448">
        <v>2110</v>
      </c>
      <c r="D63" s="449" t="s">
        <v>442</v>
      </c>
      <c r="E63" s="209"/>
      <c r="F63" s="209">
        <v>394868</v>
      </c>
      <c r="G63" s="210"/>
      <c r="H63" s="210"/>
    </row>
    <row r="64" spans="1:8" s="17" customFormat="1" ht="19.5" customHeight="1">
      <c r="A64" s="458">
        <v>752</v>
      </c>
      <c r="B64" s="459"/>
      <c r="C64" s="460"/>
      <c r="D64" s="461" t="s">
        <v>225</v>
      </c>
      <c r="E64" s="133"/>
      <c r="F64" s="133">
        <f>F65</f>
        <v>1200</v>
      </c>
      <c r="G64" s="132"/>
      <c r="H64" s="132"/>
    </row>
    <row r="65" spans="1:8" s="17" customFormat="1" ht="20.25" customHeight="1">
      <c r="A65" s="439"/>
      <c r="B65" s="440">
        <v>75212</v>
      </c>
      <c r="C65" s="441"/>
      <c r="D65" s="442" t="s">
        <v>226</v>
      </c>
      <c r="E65" s="174"/>
      <c r="F65" s="174">
        <f>F66</f>
        <v>1200</v>
      </c>
      <c r="G65" s="173"/>
      <c r="H65" s="173"/>
    </row>
    <row r="66" spans="1:8" s="17" customFormat="1" ht="18.75" customHeight="1">
      <c r="A66" s="439"/>
      <c r="B66" s="443"/>
      <c r="C66" s="444"/>
      <c r="D66" s="445" t="s">
        <v>227</v>
      </c>
      <c r="E66" s="118"/>
      <c r="F66" s="118">
        <f>F67</f>
        <v>1200</v>
      </c>
      <c r="G66" s="208"/>
      <c r="H66" s="208"/>
    </row>
    <row r="67" spans="1:8" s="17" customFormat="1" ht="27" customHeight="1">
      <c r="A67" s="446"/>
      <c r="B67" s="447"/>
      <c r="C67" s="479">
        <v>2110</v>
      </c>
      <c r="D67" s="449" t="s">
        <v>442</v>
      </c>
      <c r="E67" s="209"/>
      <c r="F67" s="209">
        <v>1200</v>
      </c>
      <c r="G67" s="210"/>
      <c r="H67" s="210"/>
    </row>
    <row r="68" spans="1:8" s="17" customFormat="1" ht="19.5" customHeight="1">
      <c r="A68" s="458">
        <v>852</v>
      </c>
      <c r="B68" s="459"/>
      <c r="C68" s="460"/>
      <c r="D68" s="461" t="s">
        <v>511</v>
      </c>
      <c r="E68" s="133"/>
      <c r="F68" s="133">
        <f>F69</f>
        <v>292800</v>
      </c>
      <c r="G68" s="132"/>
      <c r="H68" s="132"/>
    </row>
    <row r="69" spans="1:8" s="17" customFormat="1" ht="20.25" customHeight="1">
      <c r="A69" s="439"/>
      <c r="B69" s="440">
        <v>85203</v>
      </c>
      <c r="C69" s="441"/>
      <c r="D69" s="442" t="s">
        <v>485</v>
      </c>
      <c r="E69" s="174"/>
      <c r="F69" s="174">
        <f>F70+F72</f>
        <v>292800</v>
      </c>
      <c r="G69" s="173"/>
      <c r="H69" s="173"/>
    </row>
    <row r="70" spans="1:8" s="17" customFormat="1" ht="25.5" customHeight="1">
      <c r="A70" s="439"/>
      <c r="B70" s="443"/>
      <c r="C70" s="444"/>
      <c r="D70" s="445" t="s">
        <v>486</v>
      </c>
      <c r="E70" s="118"/>
      <c r="F70" s="118">
        <f>F71</f>
        <v>123800</v>
      </c>
      <c r="G70" s="208"/>
      <c r="H70" s="208"/>
    </row>
    <row r="71" spans="1:8" s="17" customFormat="1" ht="27" customHeight="1">
      <c r="A71" s="439"/>
      <c r="B71" s="468"/>
      <c r="C71" s="448">
        <v>2110</v>
      </c>
      <c r="D71" s="449" t="s">
        <v>442</v>
      </c>
      <c r="E71" s="209"/>
      <c r="F71" s="209">
        <f>53800+70000</f>
        <v>123800</v>
      </c>
      <c r="G71" s="210"/>
      <c r="H71" s="210"/>
    </row>
    <row r="72" spans="1:8" s="17" customFormat="1" ht="25.5" customHeight="1">
      <c r="A72" s="439"/>
      <c r="B72" s="468"/>
      <c r="C72" s="444"/>
      <c r="D72" s="524" t="s">
        <v>248</v>
      </c>
      <c r="E72" s="118"/>
      <c r="F72" s="118">
        <f>F73</f>
        <v>169000</v>
      </c>
      <c r="G72" s="208"/>
      <c r="H72" s="208"/>
    </row>
    <row r="73" spans="1:8" s="17" customFormat="1" ht="39" customHeight="1">
      <c r="A73" s="446"/>
      <c r="B73" s="447"/>
      <c r="C73" s="448">
        <v>6410</v>
      </c>
      <c r="D73" s="525" t="s">
        <v>281</v>
      </c>
      <c r="E73" s="209"/>
      <c r="F73" s="209">
        <f>10000+159000</f>
        <v>169000</v>
      </c>
      <c r="G73" s="210"/>
      <c r="H73" s="210"/>
    </row>
    <row r="74" spans="1:8" s="17" customFormat="1" ht="19.5" customHeight="1">
      <c r="A74" s="458">
        <v>853</v>
      </c>
      <c r="B74" s="459"/>
      <c r="C74" s="460"/>
      <c r="D74" s="461" t="s">
        <v>560</v>
      </c>
      <c r="E74" s="133"/>
      <c r="F74" s="133">
        <f>F75</f>
        <v>22587</v>
      </c>
      <c r="G74" s="132"/>
      <c r="H74" s="132"/>
    </row>
    <row r="75" spans="1:8" s="17" customFormat="1" ht="20.25" customHeight="1">
      <c r="A75" s="439"/>
      <c r="B75" s="440">
        <v>85334</v>
      </c>
      <c r="C75" s="441"/>
      <c r="D75" s="442" t="s">
        <v>440</v>
      </c>
      <c r="E75" s="174"/>
      <c r="F75" s="174">
        <f>F76+F78</f>
        <v>22587</v>
      </c>
      <c r="G75" s="173"/>
      <c r="H75" s="173"/>
    </row>
    <row r="76" spans="1:8" s="17" customFormat="1" ht="18.75" customHeight="1">
      <c r="A76" s="439"/>
      <c r="B76" s="443"/>
      <c r="C76" s="444"/>
      <c r="D76" s="445" t="s">
        <v>441</v>
      </c>
      <c r="E76" s="118"/>
      <c r="F76" s="118">
        <f>F77</f>
        <v>22587</v>
      </c>
      <c r="G76" s="208"/>
      <c r="H76" s="208"/>
    </row>
    <row r="77" spans="1:8" s="17" customFormat="1" ht="27" customHeight="1">
      <c r="A77" s="439"/>
      <c r="B77" s="468"/>
      <c r="C77" s="448">
        <v>2110</v>
      </c>
      <c r="D77" s="449" t="s">
        <v>442</v>
      </c>
      <c r="E77" s="209"/>
      <c r="F77" s="209">
        <f>16383+6204</f>
        <v>22587</v>
      </c>
      <c r="G77" s="210"/>
      <c r="H77" s="210"/>
    </row>
    <row r="78" spans="1:8" ht="21" customHeight="1" thickBot="1">
      <c r="A78" s="202"/>
      <c r="B78" s="202"/>
      <c r="C78" s="202"/>
      <c r="D78" s="106" t="s">
        <v>523</v>
      </c>
      <c r="E78" s="107"/>
      <c r="F78" s="107"/>
      <c r="G78" s="107">
        <f>G79</f>
        <v>101445</v>
      </c>
      <c r="H78" s="107"/>
    </row>
    <row r="79" spans="1:8" s="17" customFormat="1" ht="19.5" customHeight="1" thickTop="1">
      <c r="A79" s="402">
        <v>852</v>
      </c>
      <c r="B79" s="402"/>
      <c r="C79" s="402"/>
      <c r="D79" s="402" t="s">
        <v>511</v>
      </c>
      <c r="E79" s="402"/>
      <c r="F79" s="402"/>
      <c r="G79" s="406">
        <f>G80</f>
        <v>101445</v>
      </c>
      <c r="H79" s="406"/>
    </row>
    <row r="80" spans="1:8" s="17" customFormat="1" ht="19.5" customHeight="1">
      <c r="A80" s="163"/>
      <c r="B80" s="403">
        <v>85201</v>
      </c>
      <c r="C80" s="403"/>
      <c r="D80" s="403" t="s">
        <v>85</v>
      </c>
      <c r="E80" s="403"/>
      <c r="F80" s="403"/>
      <c r="G80" s="407">
        <f>G81</f>
        <v>101445</v>
      </c>
      <c r="H80" s="407"/>
    </row>
    <row r="81" spans="1:8" s="17" customFormat="1" ht="19.5" customHeight="1">
      <c r="A81" s="163"/>
      <c r="B81" s="404"/>
      <c r="C81" s="404"/>
      <c r="D81" s="405" t="s">
        <v>527</v>
      </c>
      <c r="E81" s="405"/>
      <c r="F81" s="405"/>
      <c r="G81" s="408">
        <f>G82</f>
        <v>101445</v>
      </c>
      <c r="H81" s="408"/>
    </row>
    <row r="82" spans="1:8" s="17" customFormat="1" ht="19.5" customHeight="1">
      <c r="A82" s="163"/>
      <c r="B82" s="399"/>
      <c r="C82" s="396">
        <v>4270</v>
      </c>
      <c r="D82" s="396" t="s">
        <v>167</v>
      </c>
      <c r="E82" s="396"/>
      <c r="F82" s="396"/>
      <c r="G82" s="487">
        <f>1445+100000</f>
        <v>101445</v>
      </c>
      <c r="H82" s="487"/>
    </row>
    <row r="83" spans="1:8" s="17" customFormat="1" ht="19.5" customHeight="1">
      <c r="A83" s="1082"/>
      <c r="B83" s="1058"/>
      <c r="C83" s="1071"/>
      <c r="D83" s="1071"/>
      <c r="E83" s="1071"/>
      <c r="F83" s="1071"/>
      <c r="G83" s="1072"/>
      <c r="H83" s="1072"/>
    </row>
    <row r="84" spans="1:8" s="17" customFormat="1" ht="19.5" customHeight="1">
      <c r="A84" s="325"/>
      <c r="B84" s="16"/>
      <c r="C84" s="170"/>
      <c r="D84" s="170"/>
      <c r="E84" s="170"/>
      <c r="F84" s="170"/>
      <c r="G84" s="1105"/>
      <c r="H84" s="1105"/>
    </row>
    <row r="85" spans="1:8" ht="26.25" customHeight="1">
      <c r="A85" s="227"/>
      <c r="B85" s="92"/>
      <c r="C85" s="109"/>
      <c r="D85" s="212" t="s">
        <v>221</v>
      </c>
      <c r="E85" s="214"/>
      <c r="F85" s="214"/>
      <c r="G85" s="214"/>
      <c r="H85" s="214">
        <f>H86</f>
        <v>394868</v>
      </c>
    </row>
    <row r="86" spans="1:8" ht="21" customHeight="1" thickBot="1">
      <c r="A86" s="202"/>
      <c r="B86" s="202"/>
      <c r="C86" s="202"/>
      <c r="D86" s="106" t="s">
        <v>539</v>
      </c>
      <c r="E86" s="107"/>
      <c r="F86" s="107"/>
      <c r="G86" s="107"/>
      <c r="H86" s="107">
        <f>H87</f>
        <v>394868</v>
      </c>
    </row>
    <row r="87" spans="1:8" ht="18" customHeight="1" thickTop="1">
      <c r="A87" s="104">
        <v>700</v>
      </c>
      <c r="B87" s="104"/>
      <c r="C87" s="104"/>
      <c r="D87" s="104" t="s">
        <v>603</v>
      </c>
      <c r="E87" s="114"/>
      <c r="F87" s="114"/>
      <c r="G87" s="114"/>
      <c r="H87" s="114">
        <f>H88</f>
        <v>394868</v>
      </c>
    </row>
    <row r="88" spans="1:8" ht="18" customHeight="1">
      <c r="A88" s="227"/>
      <c r="B88" s="176">
        <v>70005</v>
      </c>
      <c r="C88" s="176"/>
      <c r="D88" s="176" t="s">
        <v>568</v>
      </c>
      <c r="E88" s="194"/>
      <c r="F88" s="194"/>
      <c r="G88" s="194"/>
      <c r="H88" s="194">
        <f>H89</f>
        <v>394868</v>
      </c>
    </row>
    <row r="89" spans="1:8" ht="21" customHeight="1">
      <c r="A89" s="227"/>
      <c r="B89" s="92"/>
      <c r="C89" s="108"/>
      <c r="D89" s="180" t="s">
        <v>88</v>
      </c>
      <c r="E89" s="180"/>
      <c r="F89" s="180"/>
      <c r="G89" s="180"/>
      <c r="H89" s="184">
        <f>H90</f>
        <v>394868</v>
      </c>
    </row>
    <row r="90" spans="1:8" ht="18" customHeight="1">
      <c r="A90" s="223"/>
      <c r="B90" s="224"/>
      <c r="C90" s="111">
        <v>4590</v>
      </c>
      <c r="D90" s="116" t="s">
        <v>47</v>
      </c>
      <c r="E90" s="116"/>
      <c r="F90" s="116"/>
      <c r="G90" s="116"/>
      <c r="H90" s="117">
        <v>394868</v>
      </c>
    </row>
    <row r="91" spans="1:9" ht="30" customHeight="1">
      <c r="A91" s="92"/>
      <c r="B91" s="92"/>
      <c r="C91" s="109"/>
      <c r="D91" s="212" t="s">
        <v>222</v>
      </c>
      <c r="E91" s="214"/>
      <c r="F91" s="214"/>
      <c r="G91" s="214">
        <f>G92+G120</f>
        <v>431000</v>
      </c>
      <c r="H91" s="214">
        <f>H92+H120</f>
        <v>471000</v>
      </c>
      <c r="I91" s="25">
        <f>H91-G91</f>
        <v>40000</v>
      </c>
    </row>
    <row r="92" spans="1:8" ht="18.75" customHeight="1" thickBot="1">
      <c r="A92" s="202"/>
      <c r="B92" s="202"/>
      <c r="C92" s="202"/>
      <c r="D92" s="106" t="s">
        <v>523</v>
      </c>
      <c r="E92" s="107"/>
      <c r="F92" s="107"/>
      <c r="G92" s="107">
        <f>G93+G104</f>
        <v>431000</v>
      </c>
      <c r="H92" s="107">
        <f>H93+H104</f>
        <v>431000</v>
      </c>
    </row>
    <row r="93" spans="1:8" ht="18.75" customHeight="1" thickTop="1">
      <c r="A93" s="115">
        <v>600</v>
      </c>
      <c r="B93" s="115"/>
      <c r="C93" s="115"/>
      <c r="D93" s="104" t="s">
        <v>626</v>
      </c>
      <c r="E93" s="104"/>
      <c r="F93" s="104"/>
      <c r="G93" s="114">
        <f>G94+G101</f>
        <v>290000</v>
      </c>
      <c r="H93" s="114">
        <f>H94+H101</f>
        <v>290000</v>
      </c>
    </row>
    <row r="94" spans="1:8" ht="18.75" customHeight="1">
      <c r="A94" s="163"/>
      <c r="B94" s="176">
        <v>60015</v>
      </c>
      <c r="C94" s="325"/>
      <c r="D94" s="176" t="s">
        <v>627</v>
      </c>
      <c r="E94" s="176"/>
      <c r="F94" s="194"/>
      <c r="G94" s="194">
        <f>G95+G97</f>
        <v>240000</v>
      </c>
      <c r="H94" s="194">
        <f>H95+H97</f>
        <v>290000</v>
      </c>
    </row>
    <row r="95" spans="1:8" ht="18.75" customHeight="1">
      <c r="A95" s="92"/>
      <c r="B95" s="92"/>
      <c r="C95" s="108"/>
      <c r="D95" s="417" t="s">
        <v>463</v>
      </c>
      <c r="E95" s="184"/>
      <c r="F95" s="184"/>
      <c r="G95" s="184">
        <f>G96</f>
        <v>240000</v>
      </c>
      <c r="H95" s="184"/>
    </row>
    <row r="96" spans="1:8" ht="18.75" customHeight="1">
      <c r="A96" s="109"/>
      <c r="B96" s="109"/>
      <c r="C96" s="397">
        <v>4270</v>
      </c>
      <c r="D96" s="10" t="s">
        <v>462</v>
      </c>
      <c r="E96" s="538"/>
      <c r="F96" s="687"/>
      <c r="G96" s="687">
        <v>240000</v>
      </c>
      <c r="H96" s="687"/>
    </row>
    <row r="97" spans="1:8" ht="18.75" customHeight="1">
      <c r="A97" s="92"/>
      <c r="B97" s="92"/>
      <c r="C97" s="108"/>
      <c r="D97" s="180" t="s">
        <v>473</v>
      </c>
      <c r="E97" s="180"/>
      <c r="F97" s="184"/>
      <c r="G97" s="184"/>
      <c r="H97" s="184">
        <f>H100</f>
        <v>290000</v>
      </c>
    </row>
    <row r="98" spans="1:8" s="11" customFormat="1" ht="18.75" customHeight="1">
      <c r="A98" s="109"/>
      <c r="B98" s="109"/>
      <c r="C98" s="109"/>
      <c r="D98" s="330" t="s">
        <v>147</v>
      </c>
      <c r="E98" s="330"/>
      <c r="F98" s="383"/>
      <c r="G98" s="383"/>
      <c r="H98" s="383">
        <v>240000</v>
      </c>
    </row>
    <row r="99" spans="1:8" s="11" customFormat="1" ht="18.75" customHeight="1">
      <c r="A99" s="109"/>
      <c r="B99" s="109"/>
      <c r="C99" s="109"/>
      <c r="D99" s="695" t="s">
        <v>629</v>
      </c>
      <c r="E99" s="695"/>
      <c r="F99" s="696"/>
      <c r="G99" s="696"/>
      <c r="H99" s="696">
        <v>50000</v>
      </c>
    </row>
    <row r="100" spans="1:8" ht="18.75" customHeight="1">
      <c r="A100" s="109"/>
      <c r="B100" s="111"/>
      <c r="C100" s="397">
        <v>6050</v>
      </c>
      <c r="D100" s="116" t="s">
        <v>606</v>
      </c>
      <c r="E100" s="116"/>
      <c r="F100" s="117"/>
      <c r="G100" s="117"/>
      <c r="H100" s="117">
        <f>SUM(H98:H99)</f>
        <v>290000</v>
      </c>
    </row>
    <row r="101" spans="1:8" ht="18.75" customHeight="1">
      <c r="A101" s="163"/>
      <c r="B101" s="176">
        <v>60016</v>
      </c>
      <c r="C101" s="325"/>
      <c r="D101" s="176" t="s">
        <v>461</v>
      </c>
      <c r="E101" s="176"/>
      <c r="F101" s="194"/>
      <c r="G101" s="194">
        <f>G102</f>
        <v>50000</v>
      </c>
      <c r="H101" s="194"/>
    </row>
    <row r="102" spans="1:8" ht="18.75" customHeight="1">
      <c r="A102" s="92"/>
      <c r="B102" s="92"/>
      <c r="C102" s="108"/>
      <c r="D102" s="417" t="s">
        <v>135</v>
      </c>
      <c r="E102" s="184"/>
      <c r="F102" s="184"/>
      <c r="G102" s="184">
        <f>G103</f>
        <v>50000</v>
      </c>
      <c r="H102" s="184"/>
    </row>
    <row r="103" spans="1:8" ht="18.75" customHeight="1">
      <c r="A103" s="109"/>
      <c r="B103" s="109"/>
      <c r="C103" s="397">
        <v>4270</v>
      </c>
      <c r="D103" s="10" t="s">
        <v>148</v>
      </c>
      <c r="E103" s="538"/>
      <c r="F103" s="687"/>
      <c r="G103" s="687">
        <v>50000</v>
      </c>
      <c r="H103" s="687"/>
    </row>
    <row r="104" spans="1:8" ht="18.75" customHeight="1">
      <c r="A104" s="115">
        <v>900</v>
      </c>
      <c r="B104" s="115"/>
      <c r="C104" s="115"/>
      <c r="D104" s="222" t="s">
        <v>48</v>
      </c>
      <c r="E104" s="104"/>
      <c r="F104" s="104"/>
      <c r="G104" s="114">
        <f>G105+G114</f>
        <v>141000</v>
      </c>
      <c r="H104" s="114">
        <f>H105+H114</f>
        <v>141000</v>
      </c>
    </row>
    <row r="105" spans="1:8" ht="18.75" customHeight="1">
      <c r="A105" s="163"/>
      <c r="B105" s="176">
        <v>90001</v>
      </c>
      <c r="C105" s="325"/>
      <c r="D105" s="176" t="s">
        <v>622</v>
      </c>
      <c r="E105" s="176"/>
      <c r="F105" s="194"/>
      <c r="G105" s="194">
        <f>G106+G109+G111</f>
        <v>75000</v>
      </c>
      <c r="H105" s="194">
        <f>H106+H109+H111</f>
        <v>75000</v>
      </c>
    </row>
    <row r="106" spans="1:8" ht="18.75" customHeight="1">
      <c r="A106" s="92"/>
      <c r="B106" s="92"/>
      <c r="C106" s="108"/>
      <c r="D106" s="184" t="s">
        <v>623</v>
      </c>
      <c r="E106" s="180"/>
      <c r="F106" s="184"/>
      <c r="G106" s="184">
        <f>SUM(G107:G108)</f>
        <v>50000</v>
      </c>
      <c r="H106" s="184">
        <f>SUM(H107:H108)</f>
        <v>50000</v>
      </c>
    </row>
    <row r="107" spans="1:8" ht="18.75" customHeight="1">
      <c r="A107" s="109"/>
      <c r="B107" s="109"/>
      <c r="C107" s="397">
        <v>4270</v>
      </c>
      <c r="D107" s="538" t="s">
        <v>173</v>
      </c>
      <c r="E107" s="116"/>
      <c r="F107" s="117"/>
      <c r="G107" s="117"/>
      <c r="H107" s="117">
        <v>50000</v>
      </c>
    </row>
    <row r="108" spans="1:8" ht="18.75" customHeight="1">
      <c r="A108" s="92"/>
      <c r="B108" s="92"/>
      <c r="C108" s="397">
        <v>4300</v>
      </c>
      <c r="D108" s="397" t="s">
        <v>524</v>
      </c>
      <c r="E108" s="180"/>
      <c r="F108" s="184"/>
      <c r="G108" s="184">
        <v>50000</v>
      </c>
      <c r="H108" s="184"/>
    </row>
    <row r="109" spans="1:8" ht="25.5" customHeight="1">
      <c r="A109" s="92"/>
      <c r="B109" s="92"/>
      <c r="C109" s="404"/>
      <c r="D109" s="405" t="s">
        <v>624</v>
      </c>
      <c r="E109" s="405"/>
      <c r="F109" s="408"/>
      <c r="G109" s="408">
        <f>G110</f>
        <v>25000</v>
      </c>
      <c r="H109" s="408"/>
    </row>
    <row r="110" spans="1:8" ht="18.75" customHeight="1">
      <c r="A110" s="92"/>
      <c r="B110" s="92"/>
      <c r="C110" s="111">
        <v>4300</v>
      </c>
      <c r="D110" s="397" t="s">
        <v>524</v>
      </c>
      <c r="E110" s="397"/>
      <c r="F110" s="409"/>
      <c r="G110" s="409">
        <v>25000</v>
      </c>
      <c r="H110" s="409"/>
    </row>
    <row r="111" spans="1:8" ht="18.75" customHeight="1">
      <c r="A111" s="92"/>
      <c r="B111" s="92"/>
      <c r="C111" s="108"/>
      <c r="D111" s="509" t="s">
        <v>455</v>
      </c>
      <c r="E111" s="509"/>
      <c r="F111" s="485"/>
      <c r="G111" s="485"/>
      <c r="H111" s="485">
        <f>H112</f>
        <v>25000</v>
      </c>
    </row>
    <row r="112" spans="1:8" ht="18.75" customHeight="1">
      <c r="A112" s="109"/>
      <c r="B112" s="109"/>
      <c r="C112" s="109">
        <v>4270</v>
      </c>
      <c r="D112" s="1037" t="s">
        <v>122</v>
      </c>
      <c r="E112" s="1037"/>
      <c r="F112" s="1107"/>
      <c r="G112" s="1107"/>
      <c r="H112" s="1107">
        <v>25000</v>
      </c>
    </row>
    <row r="113" spans="1:8" ht="18.75" customHeight="1">
      <c r="A113" s="1062"/>
      <c r="B113" s="1062"/>
      <c r="C113" s="1062"/>
      <c r="D113" s="1108"/>
      <c r="E113" s="1108"/>
      <c r="F113" s="1109"/>
      <c r="G113" s="1109"/>
      <c r="H113" s="1109"/>
    </row>
    <row r="114" spans="1:8" ht="18" customHeight="1">
      <c r="A114" s="163"/>
      <c r="B114" s="176">
        <v>90015</v>
      </c>
      <c r="C114" s="325"/>
      <c r="D114" s="176" t="s">
        <v>456</v>
      </c>
      <c r="E114" s="176"/>
      <c r="F114" s="194"/>
      <c r="G114" s="194">
        <f>G115+G117</f>
        <v>66000</v>
      </c>
      <c r="H114" s="194">
        <f>H115+H117</f>
        <v>66000</v>
      </c>
    </row>
    <row r="115" spans="1:8" ht="18" customHeight="1">
      <c r="A115" s="92"/>
      <c r="B115" s="92"/>
      <c r="C115" s="108"/>
      <c r="D115" s="184" t="s">
        <v>457</v>
      </c>
      <c r="E115" s="184"/>
      <c r="F115" s="184"/>
      <c r="G115" s="184">
        <f>G116</f>
        <v>66000</v>
      </c>
      <c r="H115" s="184"/>
    </row>
    <row r="116" spans="1:8" ht="18" customHeight="1">
      <c r="A116" s="109"/>
      <c r="B116" s="109"/>
      <c r="C116" s="397">
        <v>4260</v>
      </c>
      <c r="D116" s="538" t="s">
        <v>528</v>
      </c>
      <c r="E116" s="538"/>
      <c r="F116" s="687"/>
      <c r="G116" s="687">
        <v>66000</v>
      </c>
      <c r="H116" s="687"/>
    </row>
    <row r="117" spans="1:8" ht="18" customHeight="1">
      <c r="A117" s="92"/>
      <c r="B117" s="92"/>
      <c r="C117" s="404"/>
      <c r="D117" s="527" t="s">
        <v>615</v>
      </c>
      <c r="E117" s="688"/>
      <c r="F117" s="689"/>
      <c r="G117" s="689"/>
      <c r="H117" s="184">
        <f>H119</f>
        <v>66000</v>
      </c>
    </row>
    <row r="118" spans="1:8" s="11" customFormat="1" ht="18" customHeight="1">
      <c r="A118" s="109"/>
      <c r="B118" s="109"/>
      <c r="C118" s="396"/>
      <c r="D118" s="862" t="s">
        <v>458</v>
      </c>
      <c r="E118" s="330"/>
      <c r="F118" s="383"/>
      <c r="G118" s="383"/>
      <c r="H118" s="383">
        <f>H119</f>
        <v>66000</v>
      </c>
    </row>
    <row r="119" spans="1:8" ht="18" customHeight="1">
      <c r="A119" s="92"/>
      <c r="B119" s="92"/>
      <c r="C119" s="397">
        <v>6050</v>
      </c>
      <c r="D119" s="397" t="s">
        <v>606</v>
      </c>
      <c r="E119" s="116"/>
      <c r="F119" s="117"/>
      <c r="G119" s="117"/>
      <c r="H119" s="117">
        <v>66000</v>
      </c>
    </row>
    <row r="120" spans="1:8" ht="18.75" customHeight="1" thickBot="1">
      <c r="A120" s="202"/>
      <c r="B120" s="202"/>
      <c r="C120" s="202"/>
      <c r="D120" s="106" t="s">
        <v>40</v>
      </c>
      <c r="E120" s="107"/>
      <c r="F120" s="107"/>
      <c r="G120" s="107"/>
      <c r="H120" s="107">
        <f>H121</f>
        <v>40000</v>
      </c>
    </row>
    <row r="121" spans="1:8" ht="18.75" customHeight="1" thickTop="1">
      <c r="A121" s="104">
        <v>710</v>
      </c>
      <c r="B121" s="104"/>
      <c r="C121" s="104"/>
      <c r="D121" s="402" t="s">
        <v>482</v>
      </c>
      <c r="E121" s="114"/>
      <c r="F121" s="114"/>
      <c r="G121" s="114"/>
      <c r="H121" s="114">
        <f>H122</f>
        <v>40000</v>
      </c>
    </row>
    <row r="122" spans="1:8" ht="18.75" customHeight="1">
      <c r="A122" s="227"/>
      <c r="B122" s="176">
        <v>71035</v>
      </c>
      <c r="C122" s="176"/>
      <c r="D122" s="403" t="s">
        <v>479</v>
      </c>
      <c r="E122" s="194"/>
      <c r="F122" s="194"/>
      <c r="G122" s="194"/>
      <c r="H122" s="194">
        <f>H123</f>
        <v>40000</v>
      </c>
    </row>
    <row r="123" spans="1:8" ht="18.75" customHeight="1">
      <c r="A123" s="227"/>
      <c r="B123" s="92"/>
      <c r="C123" s="109"/>
      <c r="D123" s="527" t="s">
        <v>483</v>
      </c>
      <c r="E123" s="195"/>
      <c r="F123" s="195"/>
      <c r="G123" s="195"/>
      <c r="H123" s="195">
        <f>SUM(H124:H125)</f>
        <v>40000</v>
      </c>
    </row>
    <row r="124" spans="1:8" ht="18.75" customHeight="1">
      <c r="A124" s="227"/>
      <c r="B124" s="92"/>
      <c r="C124" s="111">
        <v>4270</v>
      </c>
      <c r="D124" s="538" t="s">
        <v>149</v>
      </c>
      <c r="E124" s="112"/>
      <c r="F124" s="112"/>
      <c r="G124" s="112"/>
      <c r="H124" s="112">
        <v>2000</v>
      </c>
    </row>
    <row r="125" spans="1:8" ht="18.75" customHeight="1">
      <c r="A125" s="227"/>
      <c r="B125" s="92"/>
      <c r="C125" s="111">
        <v>4300</v>
      </c>
      <c r="D125" s="397" t="s">
        <v>524</v>
      </c>
      <c r="E125" s="112"/>
      <c r="F125" s="112"/>
      <c r="G125" s="112"/>
      <c r="H125" s="112">
        <v>38000</v>
      </c>
    </row>
    <row r="126" spans="1:8" ht="18.75" customHeight="1">
      <c r="A126" s="227"/>
      <c r="B126" s="92"/>
      <c r="C126" s="109"/>
      <c r="D126" s="212" t="s">
        <v>223</v>
      </c>
      <c r="E126" s="214"/>
      <c r="F126" s="214"/>
      <c r="G126" s="214">
        <f>G127</f>
        <v>2500</v>
      </c>
      <c r="H126" s="214">
        <f>H127</f>
        <v>3945</v>
      </c>
    </row>
    <row r="127" spans="1:8" ht="16.5" customHeight="1" thickBot="1">
      <c r="A127" s="202"/>
      <c r="B127" s="202"/>
      <c r="C127" s="202"/>
      <c r="D127" s="106" t="s">
        <v>523</v>
      </c>
      <c r="E127" s="107"/>
      <c r="F127" s="107"/>
      <c r="G127" s="107">
        <f>G128+G134</f>
        <v>2500</v>
      </c>
      <c r="H127" s="107">
        <f>H128+H134</f>
        <v>3945</v>
      </c>
    </row>
    <row r="128" spans="1:8" ht="18" customHeight="1" thickTop="1">
      <c r="A128" s="104">
        <v>750</v>
      </c>
      <c r="B128" s="104"/>
      <c r="C128" s="104"/>
      <c r="D128" s="138" t="s">
        <v>526</v>
      </c>
      <c r="E128" s="114"/>
      <c r="F128" s="114"/>
      <c r="G128" s="114">
        <f>G129</f>
        <v>2500</v>
      </c>
      <c r="H128" s="114">
        <f>H129</f>
        <v>2500</v>
      </c>
    </row>
    <row r="129" spans="1:8" ht="18" customHeight="1">
      <c r="A129" s="227"/>
      <c r="B129" s="176">
        <v>75022</v>
      </c>
      <c r="C129" s="176"/>
      <c r="D129" s="176" t="s">
        <v>631</v>
      </c>
      <c r="E129" s="194"/>
      <c r="F129" s="194"/>
      <c r="G129" s="194">
        <f>G130</f>
        <v>2500</v>
      </c>
      <c r="H129" s="194">
        <f>H130</f>
        <v>2500</v>
      </c>
    </row>
    <row r="130" spans="1:8" ht="18" customHeight="1">
      <c r="A130" s="227"/>
      <c r="B130" s="92"/>
      <c r="C130" s="109"/>
      <c r="D130" s="405" t="s">
        <v>110</v>
      </c>
      <c r="E130" s="195"/>
      <c r="F130" s="195"/>
      <c r="G130" s="195">
        <f>SUM(G131:G133)</f>
        <v>2500</v>
      </c>
      <c r="H130" s="195">
        <f>SUM(H131:H133)</f>
        <v>2500</v>
      </c>
    </row>
    <row r="131" spans="1:8" s="1" customFormat="1" ht="18" customHeight="1">
      <c r="A131" s="92"/>
      <c r="B131" s="92"/>
      <c r="C131" s="111">
        <v>4260</v>
      </c>
      <c r="D131" s="397" t="s">
        <v>528</v>
      </c>
      <c r="E131" s="112"/>
      <c r="F131" s="112"/>
      <c r="G131" s="112"/>
      <c r="H131" s="112">
        <v>1000</v>
      </c>
    </row>
    <row r="132" spans="1:8" s="1" customFormat="1" ht="18" customHeight="1">
      <c r="A132" s="92"/>
      <c r="B132" s="92"/>
      <c r="C132" s="111">
        <v>4270</v>
      </c>
      <c r="D132" s="116" t="s">
        <v>111</v>
      </c>
      <c r="E132" s="112"/>
      <c r="F132" s="112"/>
      <c r="G132" s="112">
        <v>2500</v>
      </c>
      <c r="H132" s="112"/>
    </row>
    <row r="133" spans="1:8" s="11" customFormat="1" ht="18" customHeight="1">
      <c r="A133" s="109"/>
      <c r="B133" s="109"/>
      <c r="C133" s="109">
        <v>4300</v>
      </c>
      <c r="D133" s="420" t="s">
        <v>524</v>
      </c>
      <c r="E133" s="433"/>
      <c r="F133" s="433"/>
      <c r="G133" s="433"/>
      <c r="H133" s="110">
        <v>1500</v>
      </c>
    </row>
    <row r="134" spans="1:8" ht="18" customHeight="1">
      <c r="A134" s="115">
        <v>852</v>
      </c>
      <c r="B134" s="115"/>
      <c r="C134" s="115"/>
      <c r="D134" s="222" t="s">
        <v>511</v>
      </c>
      <c r="E134" s="120"/>
      <c r="F134" s="120"/>
      <c r="G134" s="120"/>
      <c r="H134" s="120">
        <f>H135</f>
        <v>1445</v>
      </c>
    </row>
    <row r="135" spans="1:8" ht="18.75" customHeight="1">
      <c r="A135" s="163"/>
      <c r="B135" s="172">
        <v>85201</v>
      </c>
      <c r="C135" s="172"/>
      <c r="D135" s="192" t="s">
        <v>85</v>
      </c>
      <c r="E135" s="198"/>
      <c r="F135" s="198"/>
      <c r="G135" s="198"/>
      <c r="H135" s="198">
        <f>H136</f>
        <v>1445</v>
      </c>
    </row>
    <row r="136" spans="1:8" ht="18.75" customHeight="1">
      <c r="A136" s="227"/>
      <c r="B136" s="92"/>
      <c r="C136" s="109"/>
      <c r="D136" s="180" t="s">
        <v>608</v>
      </c>
      <c r="E136" s="195"/>
      <c r="F136" s="195"/>
      <c r="G136" s="195"/>
      <c r="H136" s="195">
        <f>H138</f>
        <v>1445</v>
      </c>
    </row>
    <row r="137" spans="1:8" s="11" customFormat="1" ht="18.75" customHeight="1">
      <c r="A137" s="109"/>
      <c r="B137" s="109"/>
      <c r="C137" s="109"/>
      <c r="D137" s="237" t="s">
        <v>86</v>
      </c>
      <c r="E137" s="110"/>
      <c r="F137" s="110"/>
      <c r="G137" s="110"/>
      <c r="H137" s="110">
        <v>1445</v>
      </c>
    </row>
    <row r="138" spans="1:8" ht="18.75" customHeight="1">
      <c r="A138" s="227"/>
      <c r="B138" s="92"/>
      <c r="C138" s="111">
        <v>6050</v>
      </c>
      <c r="D138" s="238" t="s">
        <v>606</v>
      </c>
      <c r="E138" s="261"/>
      <c r="F138" s="261"/>
      <c r="G138" s="261"/>
      <c r="H138" s="261">
        <f>H137</f>
        <v>1445</v>
      </c>
    </row>
    <row r="139" spans="1:9" ht="19.5" customHeight="1">
      <c r="A139" s="92"/>
      <c r="B139" s="92"/>
      <c r="C139" s="109"/>
      <c r="D139" s="212" t="s">
        <v>224</v>
      </c>
      <c r="E139" s="214"/>
      <c r="F139" s="214"/>
      <c r="G139" s="214">
        <f>G140+G194</f>
        <v>326482</v>
      </c>
      <c r="H139" s="214">
        <f>H140+H194</f>
        <v>20500</v>
      </c>
      <c r="I139" s="25">
        <f>H139-G139</f>
        <v>-305982</v>
      </c>
    </row>
    <row r="140" spans="1:8" ht="18" customHeight="1" thickBot="1">
      <c r="A140" s="202"/>
      <c r="B140" s="202"/>
      <c r="C140" s="202"/>
      <c r="D140" s="106" t="s">
        <v>523</v>
      </c>
      <c r="E140" s="107"/>
      <c r="F140" s="107"/>
      <c r="G140" s="107">
        <f>G141+G178</f>
        <v>317482</v>
      </c>
      <c r="H140" s="107">
        <f>H141+H178</f>
        <v>11500</v>
      </c>
    </row>
    <row r="141" spans="1:8" ht="18" customHeight="1" thickTop="1">
      <c r="A141" s="104">
        <v>801</v>
      </c>
      <c r="B141" s="104"/>
      <c r="C141" s="104"/>
      <c r="D141" s="104" t="s">
        <v>532</v>
      </c>
      <c r="E141" s="114"/>
      <c r="F141" s="114"/>
      <c r="G141" s="114">
        <f>G142+G147+G152+G157+G160+G163+G166+G169+G172+G175</f>
        <v>282980</v>
      </c>
      <c r="H141" s="114">
        <f>H142+H147+H152+H157+H160+H163+H166+H169+H172+H175</f>
        <v>1500</v>
      </c>
    </row>
    <row r="142" spans="1:8" ht="18" customHeight="1">
      <c r="A142" s="92"/>
      <c r="B142" s="172">
        <v>80101</v>
      </c>
      <c r="C142" s="172"/>
      <c r="D142" s="172" t="s">
        <v>533</v>
      </c>
      <c r="E142" s="172"/>
      <c r="F142" s="172"/>
      <c r="G142" s="198">
        <f>G143+G145</f>
        <v>41550</v>
      </c>
      <c r="H142" s="198"/>
    </row>
    <row r="143" spans="1:8" s="1" customFormat="1" ht="18" customHeight="1">
      <c r="A143" s="92"/>
      <c r="B143" s="163"/>
      <c r="C143" s="399"/>
      <c r="D143" s="465" t="s">
        <v>527</v>
      </c>
      <c r="E143" s="465"/>
      <c r="F143" s="465"/>
      <c r="G143" s="486">
        <f>G144</f>
        <v>40000</v>
      </c>
      <c r="H143" s="486"/>
    </row>
    <row r="144" spans="1:8" s="1" customFormat="1" ht="18" customHeight="1">
      <c r="A144" s="92"/>
      <c r="B144" s="163"/>
      <c r="C144" s="397">
        <v>4260</v>
      </c>
      <c r="D144" s="397" t="s">
        <v>528</v>
      </c>
      <c r="E144" s="397"/>
      <c r="F144" s="397"/>
      <c r="G144" s="409">
        <v>40000</v>
      </c>
      <c r="H144" s="409"/>
    </row>
    <row r="145" spans="1:8" s="1" customFormat="1" ht="18" customHeight="1">
      <c r="A145" s="105"/>
      <c r="B145" s="176"/>
      <c r="C145" s="424"/>
      <c r="D145" s="424" t="s">
        <v>58</v>
      </c>
      <c r="E145" s="424"/>
      <c r="F145" s="424"/>
      <c r="G145" s="1034">
        <f>G146</f>
        <v>1550</v>
      </c>
      <c r="H145" s="1034"/>
    </row>
    <row r="146" spans="1:8" s="1" customFormat="1" ht="18" customHeight="1">
      <c r="A146" s="92"/>
      <c r="B146" s="176"/>
      <c r="C146" s="397">
        <v>4110</v>
      </c>
      <c r="D146" s="397" t="s">
        <v>529</v>
      </c>
      <c r="E146" s="397"/>
      <c r="F146" s="397"/>
      <c r="G146" s="409">
        <v>1550</v>
      </c>
      <c r="H146" s="409"/>
    </row>
    <row r="147" spans="1:8" ht="18" customHeight="1">
      <c r="A147" s="92"/>
      <c r="B147" s="176">
        <v>80103</v>
      </c>
      <c r="C147" s="176"/>
      <c r="D147" s="176" t="s">
        <v>61</v>
      </c>
      <c r="E147" s="176"/>
      <c r="F147" s="176"/>
      <c r="G147" s="194">
        <f>G148+G150</f>
        <v>26200</v>
      </c>
      <c r="H147" s="194"/>
    </row>
    <row r="148" spans="1:8" s="1" customFormat="1" ht="18" customHeight="1">
      <c r="A148" s="92"/>
      <c r="B148" s="163"/>
      <c r="C148" s="399"/>
      <c r="D148" s="465" t="s">
        <v>59</v>
      </c>
      <c r="E148" s="465"/>
      <c r="F148" s="465"/>
      <c r="G148" s="486">
        <f>G149</f>
        <v>23200</v>
      </c>
      <c r="H148" s="486"/>
    </row>
    <row r="149" spans="1:8" s="1" customFormat="1" ht="18" customHeight="1">
      <c r="A149" s="92"/>
      <c r="B149" s="163"/>
      <c r="C149" s="397">
        <v>4010</v>
      </c>
      <c r="D149" s="397" t="s">
        <v>576</v>
      </c>
      <c r="E149" s="397"/>
      <c r="F149" s="397"/>
      <c r="G149" s="409">
        <v>23200</v>
      </c>
      <c r="H149" s="409"/>
    </row>
    <row r="150" spans="1:8" s="1" customFormat="1" ht="18" customHeight="1">
      <c r="A150" s="92"/>
      <c r="B150" s="163"/>
      <c r="C150" s="399"/>
      <c r="D150" s="465" t="s">
        <v>58</v>
      </c>
      <c r="E150" s="465"/>
      <c r="F150" s="465"/>
      <c r="G150" s="486">
        <f>G151</f>
        <v>3000</v>
      </c>
      <c r="H150" s="486"/>
    </row>
    <row r="151" spans="1:8" s="1" customFormat="1" ht="18" customHeight="1">
      <c r="A151" s="92"/>
      <c r="B151" s="176"/>
      <c r="C151" s="397">
        <v>4110</v>
      </c>
      <c r="D151" s="397" t="s">
        <v>529</v>
      </c>
      <c r="E151" s="397"/>
      <c r="F151" s="397"/>
      <c r="G151" s="409">
        <v>3000</v>
      </c>
      <c r="H151" s="409"/>
    </row>
    <row r="152" spans="1:8" ht="18" customHeight="1">
      <c r="A152" s="163"/>
      <c r="B152" s="176">
        <v>80104</v>
      </c>
      <c r="C152" s="176"/>
      <c r="D152" s="176" t="s">
        <v>577</v>
      </c>
      <c r="E152" s="194"/>
      <c r="F152" s="194"/>
      <c r="G152" s="194">
        <f>G153</f>
        <v>10865</v>
      </c>
      <c r="H152" s="194"/>
    </row>
    <row r="153" spans="1:8" s="1" customFormat="1" ht="18" customHeight="1">
      <c r="A153" s="163"/>
      <c r="B153" s="163"/>
      <c r="C153" s="163"/>
      <c r="D153" s="438" t="s">
        <v>437</v>
      </c>
      <c r="E153" s="331"/>
      <c r="F153" s="331"/>
      <c r="G153" s="331">
        <f>G154</f>
        <v>10865</v>
      </c>
      <c r="H153" s="331"/>
    </row>
    <row r="154" spans="1:8" s="1" customFormat="1" ht="18" customHeight="1">
      <c r="A154" s="163"/>
      <c r="B154" s="163"/>
      <c r="C154" s="163"/>
      <c r="D154" s="231" t="s">
        <v>527</v>
      </c>
      <c r="E154" s="232"/>
      <c r="F154" s="232"/>
      <c r="G154" s="232">
        <f>SUM(G155:G156)</f>
        <v>10865</v>
      </c>
      <c r="H154" s="232"/>
    </row>
    <row r="155" spans="1:8" s="11" customFormat="1" ht="18" customHeight="1">
      <c r="A155" s="109"/>
      <c r="B155" s="109"/>
      <c r="C155" s="111">
        <v>4260</v>
      </c>
      <c r="D155" s="111" t="s">
        <v>528</v>
      </c>
      <c r="E155" s="112"/>
      <c r="F155" s="112"/>
      <c r="G155" s="112">
        <v>6796</v>
      </c>
      <c r="H155" s="112"/>
    </row>
    <row r="156" spans="1:8" s="1" customFormat="1" ht="18" customHeight="1">
      <c r="A156" s="163"/>
      <c r="B156" s="176"/>
      <c r="C156" s="111">
        <v>4300</v>
      </c>
      <c r="D156" s="111" t="s">
        <v>524</v>
      </c>
      <c r="E156" s="112"/>
      <c r="F156" s="112"/>
      <c r="G156" s="112">
        <v>4069</v>
      </c>
      <c r="H156" s="112"/>
    </row>
    <row r="157" spans="1:8" ht="18" customHeight="1">
      <c r="A157" s="92"/>
      <c r="B157" s="172">
        <v>80110</v>
      </c>
      <c r="C157" s="172"/>
      <c r="D157" s="172" t="s">
        <v>534</v>
      </c>
      <c r="E157" s="172"/>
      <c r="F157" s="172"/>
      <c r="G157" s="198">
        <f>G158</f>
        <v>100000</v>
      </c>
      <c r="H157" s="198"/>
    </row>
    <row r="158" spans="1:8" s="1" customFormat="1" ht="18" customHeight="1">
      <c r="A158" s="92"/>
      <c r="B158" s="163"/>
      <c r="C158" s="399"/>
      <c r="D158" s="465" t="s">
        <v>527</v>
      </c>
      <c r="E158" s="465"/>
      <c r="F158" s="465"/>
      <c r="G158" s="486">
        <f>G159</f>
        <v>100000</v>
      </c>
      <c r="H158" s="486"/>
    </row>
    <row r="159" spans="1:8" s="1" customFormat="1" ht="18" customHeight="1">
      <c r="A159" s="92"/>
      <c r="B159" s="163"/>
      <c r="C159" s="397">
        <v>4260</v>
      </c>
      <c r="D159" s="397" t="s">
        <v>528</v>
      </c>
      <c r="E159" s="397"/>
      <c r="F159" s="397"/>
      <c r="G159" s="409">
        <v>100000</v>
      </c>
      <c r="H159" s="409"/>
    </row>
    <row r="160" spans="1:8" ht="18" customHeight="1">
      <c r="A160" s="92"/>
      <c r="B160" s="172">
        <v>80113</v>
      </c>
      <c r="C160" s="172"/>
      <c r="D160" s="172" t="s">
        <v>294</v>
      </c>
      <c r="E160" s="172"/>
      <c r="F160" s="172"/>
      <c r="G160" s="198">
        <f>G161</f>
        <v>12965</v>
      </c>
      <c r="H160" s="198"/>
    </row>
    <row r="161" spans="1:8" s="1" customFormat="1" ht="18" customHeight="1">
      <c r="A161" s="92"/>
      <c r="B161" s="163"/>
      <c r="C161" s="399"/>
      <c r="D161" s="465" t="s">
        <v>295</v>
      </c>
      <c r="E161" s="465"/>
      <c r="F161" s="465"/>
      <c r="G161" s="486">
        <f>G162</f>
        <v>12965</v>
      </c>
      <c r="H161" s="486"/>
    </row>
    <row r="162" spans="1:8" s="1" customFormat="1" ht="18" customHeight="1">
      <c r="A162" s="92"/>
      <c r="B162" s="163"/>
      <c r="C162" s="397">
        <v>4300</v>
      </c>
      <c r="D162" s="397" t="s">
        <v>524</v>
      </c>
      <c r="E162" s="397"/>
      <c r="F162" s="397"/>
      <c r="G162" s="409">
        <v>12965</v>
      </c>
      <c r="H162" s="409"/>
    </row>
    <row r="163" spans="1:8" ht="18" customHeight="1">
      <c r="A163" s="92"/>
      <c r="B163" s="172">
        <v>80120</v>
      </c>
      <c r="C163" s="172"/>
      <c r="D163" s="172" t="s">
        <v>535</v>
      </c>
      <c r="E163" s="172"/>
      <c r="F163" s="172"/>
      <c r="G163" s="198">
        <f>G164</f>
        <v>15000</v>
      </c>
      <c r="H163" s="198"/>
    </row>
    <row r="164" spans="1:8" s="1" customFormat="1" ht="18" customHeight="1">
      <c r="A164" s="92"/>
      <c r="B164" s="163"/>
      <c r="C164" s="399"/>
      <c r="D164" s="465" t="s">
        <v>58</v>
      </c>
      <c r="E164" s="465"/>
      <c r="F164" s="465"/>
      <c r="G164" s="486">
        <f>G165</f>
        <v>15000</v>
      </c>
      <c r="H164" s="486"/>
    </row>
    <row r="165" spans="1:8" s="1" customFormat="1" ht="18" customHeight="1">
      <c r="A165" s="92"/>
      <c r="B165" s="163"/>
      <c r="C165" s="397">
        <v>4110</v>
      </c>
      <c r="D165" s="397" t="s">
        <v>529</v>
      </c>
      <c r="E165" s="397"/>
      <c r="F165" s="397"/>
      <c r="G165" s="409">
        <v>15000</v>
      </c>
      <c r="H165" s="409"/>
    </row>
    <row r="166" spans="1:8" ht="18" customHeight="1">
      <c r="A166" s="92"/>
      <c r="B166" s="172">
        <v>80123</v>
      </c>
      <c r="C166" s="172"/>
      <c r="D166" s="172" t="s">
        <v>296</v>
      </c>
      <c r="E166" s="172"/>
      <c r="F166" s="172"/>
      <c r="G166" s="198">
        <f>G167</f>
        <v>15000</v>
      </c>
      <c r="H166" s="198"/>
    </row>
    <row r="167" spans="1:8" s="1" customFormat="1" ht="18" customHeight="1">
      <c r="A167" s="92"/>
      <c r="B167" s="163"/>
      <c r="C167" s="399"/>
      <c r="D167" s="465" t="s">
        <v>58</v>
      </c>
      <c r="E167" s="465"/>
      <c r="F167" s="465"/>
      <c r="G167" s="486">
        <f>G168</f>
        <v>15000</v>
      </c>
      <c r="H167" s="486"/>
    </row>
    <row r="168" spans="1:8" s="1" customFormat="1" ht="18" customHeight="1">
      <c r="A168" s="92"/>
      <c r="B168" s="163"/>
      <c r="C168" s="397">
        <v>4110</v>
      </c>
      <c r="D168" s="397" t="s">
        <v>529</v>
      </c>
      <c r="E168" s="397"/>
      <c r="F168" s="397"/>
      <c r="G168" s="409">
        <v>15000</v>
      </c>
      <c r="H168" s="409"/>
    </row>
    <row r="169" spans="1:8" ht="18" customHeight="1">
      <c r="A169" s="92"/>
      <c r="B169" s="172">
        <v>80130</v>
      </c>
      <c r="C169" s="172"/>
      <c r="D169" s="172" t="s">
        <v>536</v>
      </c>
      <c r="E169" s="172"/>
      <c r="F169" s="172"/>
      <c r="G169" s="198">
        <f>G170</f>
        <v>59500</v>
      </c>
      <c r="H169" s="198"/>
    </row>
    <row r="170" spans="1:8" s="1" customFormat="1" ht="18" customHeight="1">
      <c r="A170" s="92"/>
      <c r="B170" s="163"/>
      <c r="C170" s="399"/>
      <c r="D170" s="465" t="s">
        <v>527</v>
      </c>
      <c r="E170" s="465"/>
      <c r="F170" s="465"/>
      <c r="G170" s="486">
        <f>G171</f>
        <v>59500</v>
      </c>
      <c r="H170" s="486"/>
    </row>
    <row r="171" spans="1:8" s="1" customFormat="1" ht="18" customHeight="1">
      <c r="A171" s="92"/>
      <c r="B171" s="163"/>
      <c r="C171" s="397">
        <v>4260</v>
      </c>
      <c r="D171" s="397" t="s">
        <v>528</v>
      </c>
      <c r="E171" s="397"/>
      <c r="F171" s="397"/>
      <c r="G171" s="409">
        <v>59500</v>
      </c>
      <c r="H171" s="409"/>
    </row>
    <row r="172" spans="1:8" ht="27.75" customHeight="1">
      <c r="A172" s="92"/>
      <c r="B172" s="172">
        <v>80140</v>
      </c>
      <c r="C172" s="172"/>
      <c r="D172" s="192" t="s">
        <v>74</v>
      </c>
      <c r="E172" s="172"/>
      <c r="F172" s="172"/>
      <c r="G172" s="198">
        <f>G173</f>
        <v>1900</v>
      </c>
      <c r="H172" s="198"/>
    </row>
    <row r="173" spans="1:8" s="1" customFormat="1" ht="18" customHeight="1">
      <c r="A173" s="92"/>
      <c r="B173" s="163"/>
      <c r="C173" s="399"/>
      <c r="D173" s="465" t="s">
        <v>58</v>
      </c>
      <c r="E173" s="465"/>
      <c r="F173" s="465"/>
      <c r="G173" s="486">
        <f>G174</f>
        <v>1900</v>
      </c>
      <c r="H173" s="486"/>
    </row>
    <row r="174" spans="1:8" s="1" customFormat="1" ht="18" customHeight="1">
      <c r="A174" s="92"/>
      <c r="B174" s="176"/>
      <c r="C174" s="397">
        <v>4110</v>
      </c>
      <c r="D174" s="397" t="s">
        <v>529</v>
      </c>
      <c r="E174" s="397"/>
      <c r="F174" s="397"/>
      <c r="G174" s="409">
        <v>1900</v>
      </c>
      <c r="H174" s="409"/>
    </row>
    <row r="175" spans="1:8" ht="18" customHeight="1">
      <c r="A175" s="163"/>
      <c r="B175" s="176">
        <v>80195</v>
      </c>
      <c r="C175" s="176"/>
      <c r="D175" s="176" t="s">
        <v>531</v>
      </c>
      <c r="E175" s="194"/>
      <c r="F175" s="194"/>
      <c r="G175" s="194"/>
      <c r="H175" s="194">
        <f>H176</f>
        <v>1500</v>
      </c>
    </row>
    <row r="176" spans="1:8" s="1" customFormat="1" ht="18" customHeight="1">
      <c r="A176" s="163"/>
      <c r="B176" s="163"/>
      <c r="C176" s="1128"/>
      <c r="D176" s="265" t="s">
        <v>308</v>
      </c>
      <c r="E176" s="405"/>
      <c r="F176" s="405"/>
      <c r="G176" s="408"/>
      <c r="H176" s="408">
        <f>H177</f>
        <v>1500</v>
      </c>
    </row>
    <row r="177" spans="1:8" s="11" customFormat="1" ht="18" customHeight="1">
      <c r="A177" s="111"/>
      <c r="B177" s="111"/>
      <c r="C177" s="397">
        <v>4170</v>
      </c>
      <c r="D177" s="397" t="s">
        <v>610</v>
      </c>
      <c r="E177" s="397"/>
      <c r="F177" s="397"/>
      <c r="G177" s="409"/>
      <c r="H177" s="409">
        <v>1500</v>
      </c>
    </row>
    <row r="178" spans="1:8" ht="18" customHeight="1">
      <c r="A178" s="104">
        <v>854</v>
      </c>
      <c r="B178" s="104"/>
      <c r="C178" s="104"/>
      <c r="D178" s="104" t="s">
        <v>537</v>
      </c>
      <c r="E178" s="114"/>
      <c r="F178" s="114"/>
      <c r="G178" s="114">
        <f>G179+G182+G185+G190</f>
        <v>34502</v>
      </c>
      <c r="H178" s="114">
        <f>H179+H182+H185+H190</f>
        <v>10000</v>
      </c>
    </row>
    <row r="179" spans="1:8" ht="18" customHeight="1">
      <c r="A179" s="92"/>
      <c r="B179" s="172">
        <v>85401</v>
      </c>
      <c r="C179" s="172"/>
      <c r="D179" s="172" t="s">
        <v>297</v>
      </c>
      <c r="E179" s="172"/>
      <c r="F179" s="172"/>
      <c r="G179" s="198">
        <f>G180+G204</f>
        <v>1000</v>
      </c>
      <c r="H179" s="198"/>
    </row>
    <row r="180" spans="1:8" s="1" customFormat="1" ht="18" customHeight="1">
      <c r="A180" s="92"/>
      <c r="B180" s="163"/>
      <c r="C180" s="399"/>
      <c r="D180" s="465" t="s">
        <v>58</v>
      </c>
      <c r="E180" s="465"/>
      <c r="F180" s="465"/>
      <c r="G180" s="486">
        <f>G181</f>
        <v>1000</v>
      </c>
      <c r="H180" s="486"/>
    </row>
    <row r="181" spans="1:8" s="1" customFormat="1" ht="18" customHeight="1">
      <c r="A181" s="92"/>
      <c r="B181" s="163"/>
      <c r="C181" s="397">
        <v>4110</v>
      </c>
      <c r="D181" s="397" t="s">
        <v>529</v>
      </c>
      <c r="E181" s="397"/>
      <c r="F181" s="397"/>
      <c r="G181" s="409">
        <v>1000</v>
      </c>
      <c r="H181" s="409"/>
    </row>
    <row r="182" spans="1:8" ht="24.75" customHeight="1">
      <c r="A182" s="92"/>
      <c r="B182" s="172">
        <v>85406</v>
      </c>
      <c r="C182" s="172"/>
      <c r="D182" s="173" t="s">
        <v>275</v>
      </c>
      <c r="E182" s="172"/>
      <c r="F182" s="172"/>
      <c r="G182" s="198">
        <f>G183</f>
        <v>10000</v>
      </c>
      <c r="H182" s="198"/>
    </row>
    <row r="183" spans="1:8" s="1" customFormat="1" ht="18" customHeight="1">
      <c r="A183" s="92"/>
      <c r="B183" s="163"/>
      <c r="C183" s="399"/>
      <c r="D183" s="265" t="s">
        <v>58</v>
      </c>
      <c r="E183" s="465"/>
      <c r="F183" s="465"/>
      <c r="G183" s="486">
        <f>G184</f>
        <v>10000</v>
      </c>
      <c r="H183" s="486"/>
    </row>
    <row r="184" spans="1:8" s="1" customFormat="1" ht="18" customHeight="1">
      <c r="A184" s="92"/>
      <c r="B184" s="163"/>
      <c r="C184" s="397">
        <v>4110</v>
      </c>
      <c r="D184" s="397" t="s">
        <v>529</v>
      </c>
      <c r="E184" s="397"/>
      <c r="F184" s="397"/>
      <c r="G184" s="409">
        <v>10000</v>
      </c>
      <c r="H184" s="409"/>
    </row>
    <row r="185" spans="1:8" ht="18" customHeight="1">
      <c r="A185" s="92"/>
      <c r="B185" s="172">
        <v>85415</v>
      </c>
      <c r="C185" s="172"/>
      <c r="D185" s="172" t="s">
        <v>341</v>
      </c>
      <c r="E185" s="172"/>
      <c r="F185" s="172"/>
      <c r="G185" s="198">
        <f>G186+G188</f>
        <v>13502</v>
      </c>
      <c r="H185" s="198">
        <f>H186+H188</f>
        <v>10000</v>
      </c>
    </row>
    <row r="186" spans="1:8" s="1" customFormat="1" ht="18" customHeight="1">
      <c r="A186" s="92"/>
      <c r="B186" s="163"/>
      <c r="C186" s="399"/>
      <c r="D186" s="465" t="s">
        <v>332</v>
      </c>
      <c r="E186" s="465"/>
      <c r="F186" s="465"/>
      <c r="G186" s="486">
        <f>G187</f>
        <v>13502</v>
      </c>
      <c r="H186" s="486"/>
    </row>
    <row r="187" spans="1:8" s="1" customFormat="1" ht="18" customHeight="1">
      <c r="A187" s="92"/>
      <c r="B187" s="163"/>
      <c r="C187" s="397">
        <v>3240</v>
      </c>
      <c r="D187" s="397" t="s">
        <v>342</v>
      </c>
      <c r="E187" s="397"/>
      <c r="F187" s="397"/>
      <c r="G187" s="409">
        <v>13502</v>
      </c>
      <c r="H187" s="409"/>
    </row>
    <row r="188" spans="1:8" s="1" customFormat="1" ht="25.5" customHeight="1">
      <c r="A188" s="92"/>
      <c r="B188" s="163"/>
      <c r="C188" s="404"/>
      <c r="D188" s="180" t="s">
        <v>184</v>
      </c>
      <c r="E188" s="509"/>
      <c r="F188" s="509"/>
      <c r="G188" s="485"/>
      <c r="H188" s="485">
        <f>H189</f>
        <v>10000</v>
      </c>
    </row>
    <row r="189" spans="1:8" s="1" customFormat="1" ht="18" customHeight="1">
      <c r="A189" s="92"/>
      <c r="B189" s="163"/>
      <c r="C189" s="397">
        <v>4300</v>
      </c>
      <c r="D189" s="260" t="s">
        <v>524</v>
      </c>
      <c r="E189" s="397"/>
      <c r="F189" s="397"/>
      <c r="G189" s="409"/>
      <c r="H189" s="409">
        <v>10000</v>
      </c>
    </row>
    <row r="190" spans="1:8" ht="18" customHeight="1">
      <c r="A190" s="92"/>
      <c r="B190" s="172">
        <v>85495</v>
      </c>
      <c r="C190" s="172"/>
      <c r="D190" s="172" t="s">
        <v>531</v>
      </c>
      <c r="E190" s="172"/>
      <c r="F190" s="172"/>
      <c r="G190" s="198">
        <f>G191</f>
        <v>10000</v>
      </c>
      <c r="H190" s="198"/>
    </row>
    <row r="191" spans="1:8" s="1" customFormat="1" ht="18" customHeight="1">
      <c r="A191" s="92"/>
      <c r="B191" s="163"/>
      <c r="C191" s="399"/>
      <c r="D191" s="1129" t="s">
        <v>298</v>
      </c>
      <c r="E191" s="1129"/>
      <c r="F191" s="1129"/>
      <c r="G191" s="1130">
        <f>G192</f>
        <v>10000</v>
      </c>
      <c r="H191" s="1130"/>
    </row>
    <row r="192" spans="1:8" s="1" customFormat="1" ht="18" customHeight="1">
      <c r="A192" s="92"/>
      <c r="B192" s="163"/>
      <c r="C192" s="399"/>
      <c r="D192" s="465" t="s">
        <v>527</v>
      </c>
      <c r="E192" s="465"/>
      <c r="F192" s="465"/>
      <c r="G192" s="486">
        <f>G193</f>
        <v>10000</v>
      </c>
      <c r="H192" s="486"/>
    </row>
    <row r="193" spans="1:8" s="1" customFormat="1" ht="18" customHeight="1">
      <c r="A193" s="92"/>
      <c r="B193" s="163"/>
      <c r="C193" s="397">
        <v>4220</v>
      </c>
      <c r="D193" s="397" t="s">
        <v>82</v>
      </c>
      <c r="E193" s="397"/>
      <c r="F193" s="397"/>
      <c r="G193" s="409">
        <v>10000</v>
      </c>
      <c r="H193" s="409"/>
    </row>
    <row r="194" spans="1:8" ht="21.75" customHeight="1" thickBot="1">
      <c r="A194" s="202"/>
      <c r="B194" s="202"/>
      <c r="C194" s="202"/>
      <c r="D194" s="106" t="s">
        <v>335</v>
      </c>
      <c r="E194" s="107"/>
      <c r="F194" s="107"/>
      <c r="G194" s="107">
        <f aca="true" t="shared" si="0" ref="G194:H196">G195</f>
        <v>9000</v>
      </c>
      <c r="H194" s="107">
        <f t="shared" si="0"/>
        <v>9000</v>
      </c>
    </row>
    <row r="195" spans="1:8" ht="18" customHeight="1" thickTop="1">
      <c r="A195" s="104">
        <v>801</v>
      </c>
      <c r="B195" s="104"/>
      <c r="C195" s="104"/>
      <c r="D195" s="104" t="s">
        <v>532</v>
      </c>
      <c r="E195" s="114"/>
      <c r="F195" s="114"/>
      <c r="G195" s="114">
        <f t="shared" si="0"/>
        <v>9000</v>
      </c>
      <c r="H195" s="114">
        <f t="shared" si="0"/>
        <v>9000</v>
      </c>
    </row>
    <row r="196" spans="1:8" ht="18" customHeight="1">
      <c r="A196" s="163"/>
      <c r="B196" s="176">
        <v>80104</v>
      </c>
      <c r="C196" s="176"/>
      <c r="D196" s="176" t="s">
        <v>501</v>
      </c>
      <c r="E196" s="194"/>
      <c r="F196" s="194"/>
      <c r="G196" s="194">
        <f t="shared" si="0"/>
        <v>9000</v>
      </c>
      <c r="H196" s="194">
        <f t="shared" si="0"/>
        <v>9000</v>
      </c>
    </row>
    <row r="197" spans="1:8" ht="18" customHeight="1">
      <c r="A197" s="163"/>
      <c r="B197" s="163"/>
      <c r="C197" s="163"/>
      <c r="D197" s="231" t="s">
        <v>594</v>
      </c>
      <c r="E197" s="232"/>
      <c r="F197" s="232"/>
      <c r="G197" s="232">
        <f>G205+G208</f>
        <v>9000</v>
      </c>
      <c r="H197" s="232">
        <f>H205+H208</f>
        <v>9000</v>
      </c>
    </row>
    <row r="198" spans="1:8" s="11" customFormat="1" ht="38.25" customHeight="1">
      <c r="A198" s="109"/>
      <c r="B198" s="109"/>
      <c r="C198" s="109"/>
      <c r="D198" s="330" t="s">
        <v>219</v>
      </c>
      <c r="E198" s="247"/>
      <c r="F198" s="247"/>
      <c r="G198" s="247">
        <v>2000</v>
      </c>
      <c r="H198" s="247"/>
    </row>
    <row r="199" spans="1:8" ht="27" customHeight="1">
      <c r="A199" s="163"/>
      <c r="B199" s="163"/>
      <c r="C199" s="163"/>
      <c r="D199" s="241" t="s">
        <v>625</v>
      </c>
      <c r="E199" s="242"/>
      <c r="F199" s="242"/>
      <c r="G199" s="382"/>
      <c r="H199" s="382">
        <v>1000</v>
      </c>
    </row>
    <row r="200" spans="1:8" ht="27" customHeight="1">
      <c r="A200" s="163"/>
      <c r="B200" s="163"/>
      <c r="C200" s="163"/>
      <c r="D200" s="241" t="s">
        <v>592</v>
      </c>
      <c r="E200" s="242"/>
      <c r="F200" s="242"/>
      <c r="G200" s="382"/>
      <c r="H200" s="382">
        <v>100</v>
      </c>
    </row>
    <row r="201" spans="1:8" ht="27" customHeight="1">
      <c r="A201" s="163"/>
      <c r="B201" s="163"/>
      <c r="C201" s="163"/>
      <c r="D201" s="236" t="s">
        <v>591</v>
      </c>
      <c r="E201" s="242"/>
      <c r="F201" s="242"/>
      <c r="G201" s="382"/>
      <c r="H201" s="382">
        <v>400</v>
      </c>
    </row>
    <row r="202" spans="1:8" ht="39" customHeight="1">
      <c r="A202" s="163"/>
      <c r="B202" s="163"/>
      <c r="C202" s="163"/>
      <c r="D202" s="215" t="s">
        <v>632</v>
      </c>
      <c r="E202" s="243"/>
      <c r="F202" s="243"/>
      <c r="G202" s="332"/>
      <c r="H202" s="332">
        <v>2162</v>
      </c>
    </row>
    <row r="203" spans="1:8" ht="33.75" customHeight="1">
      <c r="A203" s="176"/>
      <c r="B203" s="176"/>
      <c r="C203" s="176"/>
      <c r="D203" s="1111" t="s">
        <v>633</v>
      </c>
      <c r="E203" s="1112"/>
      <c r="F203" s="1112"/>
      <c r="G203" s="261"/>
      <c r="H203" s="261">
        <v>300</v>
      </c>
    </row>
    <row r="204" spans="1:8" ht="20.25" customHeight="1">
      <c r="A204" s="163"/>
      <c r="B204" s="163"/>
      <c r="C204" s="163"/>
      <c r="D204" s="215" t="s">
        <v>311</v>
      </c>
      <c r="E204" s="243"/>
      <c r="F204" s="243"/>
      <c r="G204" s="1110"/>
      <c r="H204" s="332">
        <v>500</v>
      </c>
    </row>
    <row r="205" spans="1:8" ht="19.5" customHeight="1">
      <c r="A205" s="163"/>
      <c r="B205" s="163"/>
      <c r="C205" s="111">
        <v>2540</v>
      </c>
      <c r="D205" s="10" t="s">
        <v>619</v>
      </c>
      <c r="E205" s="194"/>
      <c r="F205" s="194"/>
      <c r="G205" s="112">
        <f>SUM(G198:G204)</f>
        <v>2000</v>
      </c>
      <c r="H205" s="112">
        <f>SUM(H198:H204)</f>
        <v>4462</v>
      </c>
    </row>
    <row r="206" spans="1:8" ht="24.75" customHeight="1">
      <c r="A206" s="163"/>
      <c r="B206" s="163"/>
      <c r="C206" s="135"/>
      <c r="D206" s="240" t="s">
        <v>593</v>
      </c>
      <c r="E206" s="243"/>
      <c r="F206" s="243"/>
      <c r="G206" s="332">
        <v>7000</v>
      </c>
      <c r="H206" s="244"/>
    </row>
    <row r="207" spans="1:8" ht="25.5" customHeight="1">
      <c r="A207" s="163"/>
      <c r="B207" s="163"/>
      <c r="C207" s="163"/>
      <c r="D207" s="236" t="s">
        <v>634</v>
      </c>
      <c r="E207" s="242"/>
      <c r="F207" s="242"/>
      <c r="G207" s="382"/>
      <c r="H207" s="382">
        <v>4538</v>
      </c>
    </row>
    <row r="208" spans="1:8" ht="25.5" customHeight="1">
      <c r="A208" s="163"/>
      <c r="B208" s="163"/>
      <c r="C208" s="111">
        <v>2590</v>
      </c>
      <c r="D208" s="10" t="s">
        <v>578</v>
      </c>
      <c r="E208" s="194"/>
      <c r="F208" s="194"/>
      <c r="G208" s="112">
        <f>SUM(G206:G207)</f>
        <v>7000</v>
      </c>
      <c r="H208" s="112">
        <f>SUM(H206:H207)</f>
        <v>4538</v>
      </c>
    </row>
    <row r="209" spans="1:9" ht="27.75" customHeight="1">
      <c r="A209" s="92"/>
      <c r="B209" s="92"/>
      <c r="C209" s="109"/>
      <c r="D209" s="212" t="s">
        <v>203</v>
      </c>
      <c r="E209" s="212"/>
      <c r="F209" s="212"/>
      <c r="G209" s="214">
        <f aca="true" t="shared" si="1" ref="G209:H213">G210</f>
        <v>30000</v>
      </c>
      <c r="H209" s="214">
        <f t="shared" si="1"/>
        <v>30000</v>
      </c>
      <c r="I209" s="25"/>
    </row>
    <row r="210" spans="1:8" ht="19.5" customHeight="1" thickBot="1">
      <c r="A210" s="202"/>
      <c r="B210" s="202"/>
      <c r="C210" s="202"/>
      <c r="D210" s="106" t="s">
        <v>523</v>
      </c>
      <c r="E210" s="107"/>
      <c r="F210" s="107"/>
      <c r="G210" s="107">
        <f t="shared" si="1"/>
        <v>30000</v>
      </c>
      <c r="H210" s="107">
        <f t="shared" si="1"/>
        <v>30000</v>
      </c>
    </row>
    <row r="211" spans="1:8" ht="19.5" customHeight="1" thickTop="1">
      <c r="A211" s="115">
        <v>921</v>
      </c>
      <c r="B211" s="115"/>
      <c r="C211" s="203"/>
      <c r="D211" s="132" t="s">
        <v>745</v>
      </c>
      <c r="E211" s="132"/>
      <c r="F211" s="132"/>
      <c r="G211" s="133">
        <f t="shared" si="1"/>
        <v>30000</v>
      </c>
      <c r="H211" s="133">
        <f t="shared" si="1"/>
        <v>30000</v>
      </c>
    </row>
    <row r="212" spans="1:8" ht="19.5" customHeight="1">
      <c r="A212" s="92"/>
      <c r="B212" s="172">
        <v>92105</v>
      </c>
      <c r="C212" s="480"/>
      <c r="D212" s="491" t="s">
        <v>743</v>
      </c>
      <c r="E212" s="173"/>
      <c r="F212" s="173"/>
      <c r="G212" s="174">
        <f t="shared" si="1"/>
        <v>30000</v>
      </c>
      <c r="H212" s="174">
        <f t="shared" si="1"/>
        <v>30000</v>
      </c>
    </row>
    <row r="213" spans="1:8" s="1" customFormat="1" ht="18.75" customHeight="1">
      <c r="A213" s="92"/>
      <c r="B213" s="92"/>
      <c r="C213" s="92"/>
      <c r="D213" s="405" t="s">
        <v>197</v>
      </c>
      <c r="E213" s="234"/>
      <c r="F213" s="234"/>
      <c r="G213" s="204">
        <f t="shared" si="1"/>
        <v>30000</v>
      </c>
      <c r="H213" s="204">
        <f t="shared" si="1"/>
        <v>30000</v>
      </c>
    </row>
    <row r="214" spans="1:8" s="11" customFormat="1" ht="18.75" customHeight="1">
      <c r="A214" s="109"/>
      <c r="B214" s="109"/>
      <c r="C214" s="109"/>
      <c r="D214" s="1021" t="s">
        <v>198</v>
      </c>
      <c r="E214" s="257"/>
      <c r="F214" s="257"/>
      <c r="G214" s="1022">
        <f>G217+G220</f>
        <v>30000</v>
      </c>
      <c r="H214" s="1022">
        <f>H217+H220</f>
        <v>30000</v>
      </c>
    </row>
    <row r="215" spans="1:8" s="11" customFormat="1" ht="18.75" customHeight="1">
      <c r="A215" s="109"/>
      <c r="B215" s="109"/>
      <c r="C215" s="109"/>
      <c r="D215" s="718" t="s">
        <v>199</v>
      </c>
      <c r="E215" s="167"/>
      <c r="F215" s="167"/>
      <c r="G215" s="515"/>
      <c r="H215" s="515">
        <v>15000</v>
      </c>
    </row>
    <row r="216" spans="1:8" ht="18.75" customHeight="1">
      <c r="A216" s="163"/>
      <c r="B216" s="163"/>
      <c r="C216" s="109"/>
      <c r="D216" s="1024" t="s">
        <v>200</v>
      </c>
      <c r="E216" s="1025"/>
      <c r="F216" s="1025"/>
      <c r="G216" s="382">
        <v>30000</v>
      </c>
      <c r="H216" s="382"/>
    </row>
    <row r="217" spans="1:8" ht="28.5" customHeight="1">
      <c r="A217" s="163"/>
      <c r="B217" s="163"/>
      <c r="C217" s="111">
        <v>2810</v>
      </c>
      <c r="D217" s="538" t="s">
        <v>207</v>
      </c>
      <c r="E217" s="1023"/>
      <c r="F217" s="1023"/>
      <c r="G217" s="112">
        <f>SUM(G215:G216)</f>
        <v>30000</v>
      </c>
      <c r="H217" s="112">
        <f>SUM(H215:H216)</f>
        <v>15000</v>
      </c>
    </row>
    <row r="218" spans="1:8" ht="18.75" customHeight="1">
      <c r="A218" s="163"/>
      <c r="B218" s="163"/>
      <c r="C218" s="165"/>
      <c r="D218" s="1029" t="s">
        <v>201</v>
      </c>
      <c r="E218" s="1026"/>
      <c r="F218" s="1026"/>
      <c r="G218" s="434"/>
      <c r="H218" s="434">
        <v>5000</v>
      </c>
    </row>
    <row r="219" spans="1:8" ht="18.75" customHeight="1">
      <c r="A219" s="163"/>
      <c r="B219" s="163"/>
      <c r="C219" s="109"/>
      <c r="D219" s="1029" t="s">
        <v>202</v>
      </c>
      <c r="E219" s="1025"/>
      <c r="F219" s="1025"/>
      <c r="G219" s="382"/>
      <c r="H219" s="382">
        <v>10000</v>
      </c>
    </row>
    <row r="220" spans="1:9" ht="28.5" customHeight="1">
      <c r="A220" s="92"/>
      <c r="B220" s="92"/>
      <c r="C220" s="111">
        <v>2820</v>
      </c>
      <c r="D220" s="538" t="s">
        <v>208</v>
      </c>
      <c r="E220" s="1027"/>
      <c r="F220" s="1027"/>
      <c r="G220" s="1028"/>
      <c r="H220" s="125">
        <f>SUM(H218:H219)</f>
        <v>15000</v>
      </c>
      <c r="I220" s="25"/>
    </row>
    <row r="221" spans="1:9" ht="27.75" customHeight="1">
      <c r="A221" s="92"/>
      <c r="B221" s="92"/>
      <c r="C221" s="109"/>
      <c r="D221" s="212" t="s">
        <v>204</v>
      </c>
      <c r="E221" s="212"/>
      <c r="F221" s="212"/>
      <c r="G221" s="214">
        <f>G222</f>
        <v>38265</v>
      </c>
      <c r="H221" s="214">
        <f>H222</f>
        <v>38265</v>
      </c>
      <c r="I221" s="25"/>
    </row>
    <row r="222" spans="1:8" ht="19.5" customHeight="1" thickBot="1">
      <c r="A222" s="202"/>
      <c r="B222" s="202"/>
      <c r="C222" s="202"/>
      <c r="D222" s="130" t="s">
        <v>539</v>
      </c>
      <c r="E222" s="107"/>
      <c r="F222" s="107"/>
      <c r="G222" s="107">
        <f aca="true" t="shared" si="2" ref="G222:H224">G223</f>
        <v>38265</v>
      </c>
      <c r="H222" s="107">
        <f t="shared" si="2"/>
        <v>38265</v>
      </c>
    </row>
    <row r="223" spans="1:8" ht="19.5" customHeight="1" thickTop="1">
      <c r="A223" s="115">
        <v>750</v>
      </c>
      <c r="B223" s="115"/>
      <c r="C223" s="203"/>
      <c r="D223" s="132" t="s">
        <v>526</v>
      </c>
      <c r="E223" s="132"/>
      <c r="F223" s="132"/>
      <c r="G223" s="133">
        <f t="shared" si="2"/>
        <v>38265</v>
      </c>
      <c r="H223" s="133">
        <f t="shared" si="2"/>
        <v>38265</v>
      </c>
    </row>
    <row r="224" spans="1:8" ht="19.5" customHeight="1">
      <c r="A224" s="92"/>
      <c r="B224" s="172">
        <v>75045</v>
      </c>
      <c r="C224" s="480"/>
      <c r="D224" s="491" t="s">
        <v>465</v>
      </c>
      <c r="E224" s="173"/>
      <c r="F224" s="173"/>
      <c r="G224" s="174">
        <f t="shared" si="2"/>
        <v>38265</v>
      </c>
      <c r="H224" s="174">
        <f t="shared" si="2"/>
        <v>38265</v>
      </c>
    </row>
    <row r="225" spans="1:8" s="1" customFormat="1" ht="18.75" customHeight="1">
      <c r="A225" s="92"/>
      <c r="B225" s="92"/>
      <c r="C225" s="92"/>
      <c r="D225" s="405" t="s">
        <v>466</v>
      </c>
      <c r="E225" s="234"/>
      <c r="F225" s="234"/>
      <c r="G225" s="204">
        <f>SUM(G226:G232)</f>
        <v>38265</v>
      </c>
      <c r="H225" s="204">
        <f>SUM(H226:H232)</f>
        <v>38265</v>
      </c>
    </row>
    <row r="226" spans="1:8" s="11" customFormat="1" ht="18.75" customHeight="1">
      <c r="A226" s="109"/>
      <c r="B226" s="109"/>
      <c r="C226" s="109">
        <v>3030</v>
      </c>
      <c r="D226" s="718" t="s">
        <v>454</v>
      </c>
      <c r="E226" s="167"/>
      <c r="F226" s="167"/>
      <c r="G226" s="515">
        <f>3075+31925</f>
        <v>35000</v>
      </c>
      <c r="H226" s="515"/>
    </row>
    <row r="227" spans="1:8" s="11" customFormat="1" ht="18.75" customHeight="1">
      <c r="A227" s="109"/>
      <c r="B227" s="109"/>
      <c r="C227" s="162">
        <v>4110</v>
      </c>
      <c r="D227" s="719" t="s">
        <v>529</v>
      </c>
      <c r="E227" s="235"/>
      <c r="F227" s="235"/>
      <c r="G227" s="720">
        <v>1135</v>
      </c>
      <c r="H227" s="720"/>
    </row>
    <row r="228" spans="1:8" ht="18.75" customHeight="1">
      <c r="A228" s="163"/>
      <c r="B228" s="163"/>
      <c r="C228" s="162">
        <v>4120</v>
      </c>
      <c r="D228" s="719" t="s">
        <v>530</v>
      </c>
      <c r="E228" s="264"/>
      <c r="F228" s="264"/>
      <c r="G228" s="166">
        <v>135</v>
      </c>
      <c r="H228" s="166"/>
    </row>
    <row r="229" spans="1:8" ht="18.75" customHeight="1">
      <c r="A229" s="163"/>
      <c r="B229" s="163"/>
      <c r="C229" s="162">
        <v>4170</v>
      </c>
      <c r="D229" s="719" t="s">
        <v>610</v>
      </c>
      <c r="E229" s="264"/>
      <c r="F229" s="264"/>
      <c r="G229" s="166"/>
      <c r="H229" s="166">
        <f>31925-2600</f>
        <v>29325</v>
      </c>
    </row>
    <row r="230" spans="1:8" ht="18.75" customHeight="1">
      <c r="A230" s="176"/>
      <c r="B230" s="176"/>
      <c r="C230" s="162">
        <v>4210</v>
      </c>
      <c r="D230" s="719" t="s">
        <v>525</v>
      </c>
      <c r="E230" s="264"/>
      <c r="F230" s="264"/>
      <c r="G230" s="166"/>
      <c r="H230" s="166">
        <v>1104</v>
      </c>
    </row>
    <row r="231" spans="1:8" ht="18.75" customHeight="1">
      <c r="A231" s="163"/>
      <c r="B231" s="163"/>
      <c r="C231" s="111">
        <v>4260</v>
      </c>
      <c r="D231" s="708" t="s">
        <v>528</v>
      </c>
      <c r="E231" s="1023"/>
      <c r="F231" s="1023"/>
      <c r="G231" s="112">
        <v>1995</v>
      </c>
      <c r="H231" s="112"/>
    </row>
    <row r="232" spans="1:9" ht="18.75" customHeight="1">
      <c r="A232" s="92"/>
      <c r="B232" s="92"/>
      <c r="C232" s="162">
        <v>4300</v>
      </c>
      <c r="D232" s="721" t="s">
        <v>524</v>
      </c>
      <c r="E232" s="722"/>
      <c r="F232" s="722"/>
      <c r="G232" s="723"/>
      <c r="H232" s="724">
        <v>7836</v>
      </c>
      <c r="I232" s="25"/>
    </row>
    <row r="233" spans="1:8" ht="19.5" customHeight="1" hidden="1">
      <c r="A233" s="171"/>
      <c r="B233" s="171"/>
      <c r="C233" s="181"/>
      <c r="D233" s="181"/>
      <c r="E233" s="190"/>
      <c r="F233" s="190"/>
      <c r="G233" s="190"/>
      <c r="H233" s="190"/>
    </row>
    <row r="234" spans="1:8" ht="22.5" customHeight="1">
      <c r="A234" s="92"/>
      <c r="B234" s="92"/>
      <c r="C234" s="109"/>
      <c r="D234" s="212" t="s">
        <v>205</v>
      </c>
      <c r="E234" s="214"/>
      <c r="F234" s="214"/>
      <c r="G234" s="214">
        <f>G235</f>
        <v>4120</v>
      </c>
      <c r="H234" s="214">
        <f>H235</f>
        <v>104120</v>
      </c>
    </row>
    <row r="235" spans="1:8" ht="18" customHeight="1" thickBot="1">
      <c r="A235" s="202"/>
      <c r="B235" s="202"/>
      <c r="C235" s="202"/>
      <c r="D235" s="106" t="s">
        <v>523</v>
      </c>
      <c r="E235" s="107"/>
      <c r="F235" s="107"/>
      <c r="G235" s="107">
        <f>G236+G241</f>
        <v>4120</v>
      </c>
      <c r="H235" s="107">
        <f>H236+H241+H247</f>
        <v>104120</v>
      </c>
    </row>
    <row r="236" spans="1:8" s="1" customFormat="1" ht="18" customHeight="1" thickTop="1">
      <c r="A236" s="115">
        <v>710</v>
      </c>
      <c r="B236" s="115"/>
      <c r="C236" s="267"/>
      <c r="D236" s="138" t="s">
        <v>478</v>
      </c>
      <c r="E236" s="138"/>
      <c r="F236" s="138"/>
      <c r="G236" s="431">
        <f>G237</f>
        <v>2400</v>
      </c>
      <c r="H236" s="431">
        <f>H237</f>
        <v>2400</v>
      </c>
    </row>
    <row r="237" spans="1:8" s="1" customFormat="1" ht="18" customHeight="1">
      <c r="A237" s="92"/>
      <c r="B237" s="176">
        <v>71004</v>
      </c>
      <c r="C237" s="176"/>
      <c r="D237" s="176" t="s">
        <v>136</v>
      </c>
      <c r="E237" s="176"/>
      <c r="F237" s="176"/>
      <c r="G237" s="194">
        <f>G238</f>
        <v>2400</v>
      </c>
      <c r="H237" s="194">
        <f>H238</f>
        <v>2400</v>
      </c>
    </row>
    <row r="238" spans="1:8" s="1" customFormat="1" ht="18" customHeight="1">
      <c r="A238" s="399"/>
      <c r="B238" s="399"/>
      <c r="C238" s="399"/>
      <c r="D238" s="405" t="s">
        <v>94</v>
      </c>
      <c r="E238" s="417"/>
      <c r="F238" s="417"/>
      <c r="G238" s="425">
        <f>SUM(G239:G240)</f>
        <v>2400</v>
      </c>
      <c r="H238" s="425">
        <f>SUM(H239:H240)</f>
        <v>2400</v>
      </c>
    </row>
    <row r="239" spans="1:8" s="11" customFormat="1" ht="18" customHeight="1">
      <c r="A239" s="396"/>
      <c r="B239" s="396"/>
      <c r="C239" s="10">
        <v>4170</v>
      </c>
      <c r="D239" s="397" t="s">
        <v>610</v>
      </c>
      <c r="E239" s="10"/>
      <c r="F239" s="10"/>
      <c r="G239" s="10"/>
      <c r="H239" s="398">
        <v>2400</v>
      </c>
    </row>
    <row r="240" spans="1:8" s="11" customFormat="1" ht="18" customHeight="1">
      <c r="A240" s="111"/>
      <c r="B240" s="111"/>
      <c r="C240" s="111">
        <v>4300</v>
      </c>
      <c r="D240" s="116" t="s">
        <v>524</v>
      </c>
      <c r="E240" s="433"/>
      <c r="F240" s="433"/>
      <c r="G240" s="110">
        <v>2400</v>
      </c>
      <c r="H240" s="110"/>
    </row>
    <row r="241" spans="1:8" ht="18" customHeight="1">
      <c r="A241" s="115">
        <v>754</v>
      </c>
      <c r="B241" s="115"/>
      <c r="C241" s="267"/>
      <c r="D241" s="138" t="s">
        <v>467</v>
      </c>
      <c r="E241" s="138"/>
      <c r="F241" s="138"/>
      <c r="G241" s="431">
        <f>G242</f>
        <v>1720</v>
      </c>
      <c r="H241" s="431">
        <f>H242</f>
        <v>1720</v>
      </c>
    </row>
    <row r="242" spans="1:8" ht="18" customHeight="1">
      <c r="A242" s="92"/>
      <c r="B242" s="176">
        <v>75405</v>
      </c>
      <c r="C242" s="176"/>
      <c r="D242" s="176" t="s">
        <v>230</v>
      </c>
      <c r="E242" s="176"/>
      <c r="F242" s="176"/>
      <c r="G242" s="194">
        <f>G243</f>
        <v>1720</v>
      </c>
      <c r="H242" s="194">
        <f>H243</f>
        <v>1720</v>
      </c>
    </row>
    <row r="243" spans="1:8" ht="18" customHeight="1">
      <c r="A243" s="399"/>
      <c r="B243" s="399"/>
      <c r="C243" s="399"/>
      <c r="D243" s="405" t="s">
        <v>231</v>
      </c>
      <c r="E243" s="417"/>
      <c r="F243" s="417"/>
      <c r="G243" s="425">
        <f>G244+G246</f>
        <v>1720</v>
      </c>
      <c r="H243" s="425">
        <f>H244+H246</f>
        <v>1720</v>
      </c>
    </row>
    <row r="244" spans="1:8" ht="18" customHeight="1">
      <c r="A244" s="399"/>
      <c r="B244" s="399"/>
      <c r="C244" s="10">
        <v>4210</v>
      </c>
      <c r="D244" s="397" t="s">
        <v>525</v>
      </c>
      <c r="E244" s="10"/>
      <c r="F244" s="10"/>
      <c r="G244" s="10"/>
      <c r="H244" s="398">
        <v>1720</v>
      </c>
    </row>
    <row r="245" spans="1:8" ht="18" customHeight="1">
      <c r="A245" s="399"/>
      <c r="B245" s="399"/>
      <c r="C245" s="420"/>
      <c r="D245" s="754" t="s">
        <v>150</v>
      </c>
      <c r="E245" s="754"/>
      <c r="F245" s="754"/>
      <c r="G245" s="755">
        <v>1720</v>
      </c>
      <c r="H245" s="755"/>
    </row>
    <row r="246" spans="1:8" ht="18" customHeight="1">
      <c r="A246" s="399"/>
      <c r="B246" s="399"/>
      <c r="C246" s="10">
        <v>6050</v>
      </c>
      <c r="D246" s="116" t="s">
        <v>606</v>
      </c>
      <c r="E246" s="10"/>
      <c r="F246" s="10"/>
      <c r="G246" s="398">
        <f>G245</f>
        <v>1720</v>
      </c>
      <c r="H246" s="398"/>
    </row>
    <row r="247" spans="1:8" ht="18" customHeight="1">
      <c r="A247" s="115">
        <v>852</v>
      </c>
      <c r="B247" s="115"/>
      <c r="C247" s="267"/>
      <c r="D247" s="138" t="s">
        <v>511</v>
      </c>
      <c r="E247" s="138"/>
      <c r="F247" s="138"/>
      <c r="G247" s="431"/>
      <c r="H247" s="431">
        <f>H248</f>
        <v>100000</v>
      </c>
    </row>
    <row r="248" spans="1:8" ht="18" customHeight="1">
      <c r="A248" s="92"/>
      <c r="B248" s="176">
        <v>85202</v>
      </c>
      <c r="C248" s="176"/>
      <c r="D248" s="176" t="s">
        <v>240</v>
      </c>
      <c r="E248" s="176"/>
      <c r="F248" s="176"/>
      <c r="G248" s="194"/>
      <c r="H248" s="194">
        <f>H249</f>
        <v>100000</v>
      </c>
    </row>
    <row r="249" spans="1:8" ht="18" customHeight="1">
      <c r="A249" s="399"/>
      <c r="B249" s="399"/>
      <c r="C249" s="399"/>
      <c r="D249" s="405" t="s">
        <v>164</v>
      </c>
      <c r="E249" s="417"/>
      <c r="F249" s="417"/>
      <c r="G249" s="425"/>
      <c r="H249" s="425">
        <f>H250</f>
        <v>100000</v>
      </c>
    </row>
    <row r="250" spans="1:8" ht="18" customHeight="1">
      <c r="A250" s="399"/>
      <c r="B250" s="399"/>
      <c r="C250" s="10">
        <v>6050</v>
      </c>
      <c r="D250" s="116" t="s">
        <v>606</v>
      </c>
      <c r="E250" s="10"/>
      <c r="F250" s="10"/>
      <c r="G250" s="10"/>
      <c r="H250" s="398">
        <v>100000</v>
      </c>
    </row>
    <row r="251" spans="1:8" ht="24" customHeight="1">
      <c r="A251" s="92"/>
      <c r="B251" s="92"/>
      <c r="C251" s="109"/>
      <c r="D251" s="212" t="s">
        <v>206</v>
      </c>
      <c r="E251" s="214"/>
      <c r="F251" s="214"/>
      <c r="G251" s="214">
        <f aca="true" t="shared" si="3" ref="G251:H254">G252</f>
        <v>50000</v>
      </c>
      <c r="H251" s="214">
        <f t="shared" si="3"/>
        <v>50000</v>
      </c>
    </row>
    <row r="252" spans="1:8" ht="15.75" customHeight="1" thickBot="1">
      <c r="A252" s="202"/>
      <c r="B252" s="202"/>
      <c r="C252" s="202"/>
      <c r="D252" s="106" t="s">
        <v>523</v>
      </c>
      <c r="E252" s="107"/>
      <c r="F252" s="107"/>
      <c r="G252" s="107">
        <f t="shared" si="3"/>
        <v>50000</v>
      </c>
      <c r="H252" s="107">
        <f t="shared" si="3"/>
        <v>50000</v>
      </c>
    </row>
    <row r="253" spans="1:8" s="1" customFormat="1" ht="18" customHeight="1" thickTop="1">
      <c r="A253" s="115">
        <v>750</v>
      </c>
      <c r="B253" s="115"/>
      <c r="C253" s="267"/>
      <c r="D253" s="138" t="s">
        <v>526</v>
      </c>
      <c r="E253" s="138"/>
      <c r="F253" s="138"/>
      <c r="G253" s="431">
        <f t="shared" si="3"/>
        <v>50000</v>
      </c>
      <c r="H253" s="431">
        <f t="shared" si="3"/>
        <v>50000</v>
      </c>
    </row>
    <row r="254" spans="1:8" s="1" customFormat="1" ht="18" customHeight="1">
      <c r="A254" s="92"/>
      <c r="B254" s="176">
        <v>75075</v>
      </c>
      <c r="C254" s="176"/>
      <c r="D254" s="176" t="s">
        <v>572</v>
      </c>
      <c r="E254" s="176"/>
      <c r="F254" s="176"/>
      <c r="G254" s="194">
        <f t="shared" si="3"/>
        <v>50000</v>
      </c>
      <c r="H254" s="194">
        <f t="shared" si="3"/>
        <v>50000</v>
      </c>
    </row>
    <row r="255" spans="1:8" s="1" customFormat="1" ht="18" customHeight="1">
      <c r="A255" s="399"/>
      <c r="B255" s="399"/>
      <c r="C255" s="399"/>
      <c r="D255" s="405" t="s">
        <v>571</v>
      </c>
      <c r="E255" s="417"/>
      <c r="F255" s="417"/>
      <c r="G255" s="425">
        <f>SUM(G256:G260)</f>
        <v>50000</v>
      </c>
      <c r="H255" s="425">
        <f>SUM(H256:H260)</f>
        <v>50000</v>
      </c>
    </row>
    <row r="256" spans="1:8" s="11" customFormat="1" ht="18.75" customHeight="1">
      <c r="A256" s="396"/>
      <c r="B256" s="396"/>
      <c r="C256" s="10">
        <v>3040</v>
      </c>
      <c r="D256" s="10" t="s">
        <v>128</v>
      </c>
      <c r="E256" s="10"/>
      <c r="F256" s="10"/>
      <c r="G256" s="398">
        <v>10000</v>
      </c>
      <c r="H256" s="398"/>
    </row>
    <row r="257" spans="1:8" s="11" customFormat="1" ht="18" customHeight="1">
      <c r="A257" s="109"/>
      <c r="B257" s="109"/>
      <c r="C257" s="162">
        <v>4210</v>
      </c>
      <c r="D257" s="397" t="s">
        <v>525</v>
      </c>
      <c r="E257" s="264"/>
      <c r="F257" s="264"/>
      <c r="G257" s="166"/>
      <c r="H257" s="166">
        <v>10000</v>
      </c>
    </row>
    <row r="258" spans="1:8" ht="18.75" customHeight="1">
      <c r="A258" s="399"/>
      <c r="B258" s="399"/>
      <c r="C258" s="421">
        <v>4300</v>
      </c>
      <c r="D258" s="420" t="s">
        <v>524</v>
      </c>
      <c r="E258" s="421"/>
      <c r="F258" s="421"/>
      <c r="G258" s="428"/>
      <c r="H258" s="428">
        <v>40000</v>
      </c>
    </row>
    <row r="259" spans="1:8" ht="18.75" customHeight="1">
      <c r="A259" s="399"/>
      <c r="B259" s="399"/>
      <c r="C259" s="421">
        <v>4410</v>
      </c>
      <c r="D259" s="420" t="s">
        <v>288</v>
      </c>
      <c r="E259" s="421"/>
      <c r="F259" s="421"/>
      <c r="G259" s="428">
        <v>10000</v>
      </c>
      <c r="H259" s="428"/>
    </row>
    <row r="260" spans="1:8" ht="18.75" customHeight="1">
      <c r="A260" s="399"/>
      <c r="B260" s="399"/>
      <c r="C260" s="420">
        <v>4420</v>
      </c>
      <c r="D260" s="420" t="s">
        <v>744</v>
      </c>
      <c r="E260" s="420"/>
      <c r="F260" s="420"/>
      <c r="G260" s="427">
        <v>30000</v>
      </c>
      <c r="H260" s="427"/>
    </row>
    <row r="261" spans="1:8" ht="18.75" customHeight="1">
      <c r="A261" s="1058"/>
      <c r="B261" s="1058"/>
      <c r="C261" s="1059"/>
      <c r="D261" s="1059"/>
      <c r="E261" s="1059"/>
      <c r="F261" s="1059"/>
      <c r="G261" s="1137"/>
      <c r="H261" s="1137"/>
    </row>
    <row r="262" spans="1:8" ht="18.75" customHeight="1">
      <c r="A262" s="16"/>
      <c r="B262" s="16"/>
      <c r="C262" s="1138"/>
      <c r="D262" s="1138"/>
      <c r="E262" s="1138"/>
      <c r="F262" s="1138"/>
      <c r="G262" s="1139"/>
      <c r="H262" s="1139"/>
    </row>
    <row r="263" spans="1:8" ht="21" customHeight="1">
      <c r="A263" s="92"/>
      <c r="B263" s="92"/>
      <c r="C263" s="109"/>
      <c r="D263" s="99" t="s">
        <v>151</v>
      </c>
      <c r="E263" s="100"/>
      <c r="F263" s="100"/>
      <c r="G263" s="100">
        <f aca="true" t="shared" si="4" ref="G263:H266">G264</f>
        <v>400</v>
      </c>
      <c r="H263" s="100">
        <f t="shared" si="4"/>
        <v>400</v>
      </c>
    </row>
    <row r="264" spans="1:8" ht="21" customHeight="1" thickBot="1">
      <c r="A264" s="105"/>
      <c r="B264" s="105"/>
      <c r="C264" s="111"/>
      <c r="D264" s="127" t="s">
        <v>523</v>
      </c>
      <c r="E264" s="256"/>
      <c r="F264" s="256"/>
      <c r="G264" s="218">
        <f t="shared" si="4"/>
        <v>400</v>
      </c>
      <c r="H264" s="218">
        <f t="shared" si="4"/>
        <v>400</v>
      </c>
    </row>
    <row r="265" spans="1:8" ht="18" customHeight="1" thickTop="1">
      <c r="A265" s="115">
        <v>852</v>
      </c>
      <c r="B265" s="115"/>
      <c r="C265" s="196"/>
      <c r="D265" s="115" t="s">
        <v>511</v>
      </c>
      <c r="E265" s="114"/>
      <c r="F265" s="114"/>
      <c r="G265" s="114">
        <f t="shared" si="4"/>
        <v>400</v>
      </c>
      <c r="H265" s="114">
        <f t="shared" si="4"/>
        <v>400</v>
      </c>
    </row>
    <row r="266" spans="1:8" s="1" customFormat="1" ht="25.5" customHeight="1">
      <c r="A266" s="92"/>
      <c r="B266" s="176">
        <v>85220</v>
      </c>
      <c r="C266" s="394"/>
      <c r="D266" s="173" t="s">
        <v>195</v>
      </c>
      <c r="E266" s="198"/>
      <c r="F266" s="198"/>
      <c r="G266" s="198">
        <f t="shared" si="4"/>
        <v>400</v>
      </c>
      <c r="H266" s="198">
        <f t="shared" si="4"/>
        <v>400</v>
      </c>
    </row>
    <row r="267" spans="1:8" s="1" customFormat="1" ht="19.5" customHeight="1">
      <c r="A267" s="92"/>
      <c r="B267" s="92"/>
      <c r="C267" s="92"/>
      <c r="D267" s="265" t="s">
        <v>196</v>
      </c>
      <c r="E267" s="195"/>
      <c r="F267" s="195"/>
      <c r="G267" s="195">
        <f>SUM(G268:G269)</f>
        <v>400</v>
      </c>
      <c r="H267" s="195">
        <f>SUM(H268:H269)</f>
        <v>400</v>
      </c>
    </row>
    <row r="268" spans="1:8" s="1" customFormat="1" ht="18" customHeight="1">
      <c r="A268" s="92"/>
      <c r="B268" s="92"/>
      <c r="C268" s="111">
        <v>4170</v>
      </c>
      <c r="D268" s="260" t="s">
        <v>610</v>
      </c>
      <c r="E268" s="112"/>
      <c r="F268" s="112"/>
      <c r="G268" s="112"/>
      <c r="H268" s="112">
        <v>400</v>
      </c>
    </row>
    <row r="269" spans="1:8" s="1" customFormat="1" ht="18" customHeight="1">
      <c r="A269" s="92"/>
      <c r="B269" s="92"/>
      <c r="C269" s="111">
        <v>4300</v>
      </c>
      <c r="D269" s="111" t="s">
        <v>524</v>
      </c>
      <c r="E269" s="112"/>
      <c r="F269" s="112"/>
      <c r="G269" s="112">
        <v>400</v>
      </c>
      <c r="H269" s="112"/>
    </row>
    <row r="270" spans="1:8" ht="21" customHeight="1">
      <c r="A270" s="92"/>
      <c r="B270" s="92"/>
      <c r="C270" s="109"/>
      <c r="D270" s="99" t="s">
        <v>101</v>
      </c>
      <c r="E270" s="100"/>
      <c r="F270" s="100"/>
      <c r="G270" s="100"/>
      <c r="H270" s="100">
        <f>H271</f>
        <v>25000</v>
      </c>
    </row>
    <row r="271" spans="1:8" ht="21" customHeight="1" thickBot="1">
      <c r="A271" s="105"/>
      <c r="B271" s="105"/>
      <c r="C271" s="111"/>
      <c r="D271" s="127" t="s">
        <v>523</v>
      </c>
      <c r="E271" s="256"/>
      <c r="F271" s="256"/>
      <c r="G271" s="218"/>
      <c r="H271" s="218">
        <f>H272</f>
        <v>25000</v>
      </c>
    </row>
    <row r="272" spans="1:8" ht="18" customHeight="1" thickTop="1">
      <c r="A272" s="115">
        <v>852</v>
      </c>
      <c r="B272" s="115"/>
      <c r="C272" s="196"/>
      <c r="D272" s="115" t="s">
        <v>511</v>
      </c>
      <c r="E272" s="114"/>
      <c r="F272" s="114"/>
      <c r="G272" s="114"/>
      <c r="H272" s="114">
        <f>H273</f>
        <v>25000</v>
      </c>
    </row>
    <row r="273" spans="1:8" ht="18" customHeight="1">
      <c r="A273" s="92"/>
      <c r="B273" s="176">
        <v>85202</v>
      </c>
      <c r="C273" s="394"/>
      <c r="D273" s="176" t="s">
        <v>240</v>
      </c>
      <c r="E273" s="264"/>
      <c r="F273" s="264"/>
      <c r="G273" s="264"/>
      <c r="H273" s="198">
        <f>H274</f>
        <v>25000</v>
      </c>
    </row>
    <row r="274" spans="1:8" ht="19.5" customHeight="1">
      <c r="A274" s="92"/>
      <c r="B274" s="92"/>
      <c r="C274" s="92"/>
      <c r="D274" s="234" t="s">
        <v>527</v>
      </c>
      <c r="E274" s="195"/>
      <c r="F274" s="195"/>
      <c r="G274" s="195"/>
      <c r="H274" s="195">
        <f>H275</f>
        <v>25000</v>
      </c>
    </row>
    <row r="275" spans="1:8" ht="18" customHeight="1">
      <c r="A275" s="92"/>
      <c r="B275" s="92"/>
      <c r="C275" s="111">
        <v>4210</v>
      </c>
      <c r="D275" s="260" t="s">
        <v>525</v>
      </c>
      <c r="E275" s="112"/>
      <c r="F275" s="112"/>
      <c r="G275" s="112"/>
      <c r="H275" s="112">
        <v>25000</v>
      </c>
    </row>
    <row r="276" spans="1:8" ht="21" customHeight="1">
      <c r="A276" s="92"/>
      <c r="B276" s="92"/>
      <c r="C276" s="109"/>
      <c r="D276" s="99" t="s">
        <v>102</v>
      </c>
      <c r="E276" s="100"/>
      <c r="F276" s="100"/>
      <c r="G276" s="100"/>
      <c r="H276" s="100">
        <f>H277</f>
        <v>42500</v>
      </c>
    </row>
    <row r="277" spans="1:8" ht="21" customHeight="1" thickBot="1">
      <c r="A277" s="105"/>
      <c r="B277" s="105"/>
      <c r="C277" s="111"/>
      <c r="D277" s="127" t="s">
        <v>523</v>
      </c>
      <c r="E277" s="256"/>
      <c r="F277" s="256"/>
      <c r="G277" s="218"/>
      <c r="H277" s="218">
        <f>H278</f>
        <v>42500</v>
      </c>
    </row>
    <row r="278" spans="1:8" ht="19.5" customHeight="1" thickTop="1">
      <c r="A278" s="115">
        <v>852</v>
      </c>
      <c r="B278" s="115"/>
      <c r="C278" s="196"/>
      <c r="D278" s="115" t="s">
        <v>511</v>
      </c>
      <c r="E278" s="114"/>
      <c r="F278" s="114"/>
      <c r="G278" s="114"/>
      <c r="H278" s="114">
        <f>H279</f>
        <v>42500</v>
      </c>
    </row>
    <row r="279" spans="1:8" ht="19.5" customHeight="1">
      <c r="A279" s="92"/>
      <c r="B279" s="176">
        <v>85202</v>
      </c>
      <c r="C279" s="394"/>
      <c r="D279" s="176" t="s">
        <v>240</v>
      </c>
      <c r="E279" s="264"/>
      <c r="F279" s="264"/>
      <c r="G279" s="264"/>
      <c r="H279" s="198">
        <f>H280</f>
        <v>42500</v>
      </c>
    </row>
    <row r="280" spans="1:8" ht="19.5" customHeight="1">
      <c r="A280" s="92"/>
      <c r="B280" s="92"/>
      <c r="C280" s="92"/>
      <c r="D280" s="234" t="s">
        <v>527</v>
      </c>
      <c r="E280" s="195"/>
      <c r="F280" s="195"/>
      <c r="G280" s="195"/>
      <c r="H280" s="195">
        <f>H281</f>
        <v>42500</v>
      </c>
    </row>
    <row r="281" spans="1:8" ht="19.5" customHeight="1">
      <c r="A281" s="92"/>
      <c r="B281" s="92"/>
      <c r="C281" s="111">
        <v>4210</v>
      </c>
      <c r="D281" s="260" t="s">
        <v>525</v>
      </c>
      <c r="E281" s="112"/>
      <c r="F281" s="112"/>
      <c r="G281" s="112"/>
      <c r="H281" s="112">
        <v>42500</v>
      </c>
    </row>
    <row r="282" spans="1:8" ht="21" customHeight="1">
      <c r="A282" s="92"/>
      <c r="B282" s="92"/>
      <c r="C282" s="109"/>
      <c r="D282" s="99" t="s">
        <v>103</v>
      </c>
      <c r="E282" s="100"/>
      <c r="F282" s="100"/>
      <c r="G282" s="100"/>
      <c r="H282" s="100">
        <f>H283</f>
        <v>20300</v>
      </c>
    </row>
    <row r="283" spans="1:8" ht="21" customHeight="1" thickBot="1">
      <c r="A283" s="105"/>
      <c r="B283" s="105"/>
      <c r="C283" s="111"/>
      <c r="D283" s="127" t="s">
        <v>523</v>
      </c>
      <c r="E283" s="256"/>
      <c r="F283" s="256"/>
      <c r="G283" s="218"/>
      <c r="H283" s="218">
        <f>H284</f>
        <v>20300</v>
      </c>
    </row>
    <row r="284" spans="1:8" ht="18" customHeight="1" thickTop="1">
      <c r="A284" s="115">
        <v>852</v>
      </c>
      <c r="B284" s="115"/>
      <c r="C284" s="196"/>
      <c r="D284" s="115" t="s">
        <v>511</v>
      </c>
      <c r="E284" s="114"/>
      <c r="F284" s="114"/>
      <c r="G284" s="114"/>
      <c r="H284" s="114">
        <f>H285</f>
        <v>20300</v>
      </c>
    </row>
    <row r="285" spans="1:8" ht="18" customHeight="1">
      <c r="A285" s="92"/>
      <c r="B285" s="176">
        <v>85202</v>
      </c>
      <c r="C285" s="394"/>
      <c r="D285" s="176" t="s">
        <v>240</v>
      </c>
      <c r="E285" s="264"/>
      <c r="F285" s="264"/>
      <c r="G285" s="264"/>
      <c r="H285" s="198">
        <f>H286</f>
        <v>20300</v>
      </c>
    </row>
    <row r="286" spans="1:8" ht="19.5" customHeight="1">
      <c r="A286" s="92"/>
      <c r="B286" s="92"/>
      <c r="C286" s="92"/>
      <c r="D286" s="234" t="s">
        <v>527</v>
      </c>
      <c r="E286" s="195"/>
      <c r="F286" s="195"/>
      <c r="G286" s="195"/>
      <c r="H286" s="195">
        <f>SUM(H287:H289)</f>
        <v>20300</v>
      </c>
    </row>
    <row r="287" spans="1:8" ht="18" customHeight="1">
      <c r="A287" s="92"/>
      <c r="B287" s="92"/>
      <c r="C287" s="111">
        <v>4210</v>
      </c>
      <c r="D287" s="260" t="s">
        <v>525</v>
      </c>
      <c r="E287" s="112"/>
      <c r="F287" s="112"/>
      <c r="G287" s="112"/>
      <c r="H287" s="112">
        <v>13300</v>
      </c>
    </row>
    <row r="288" spans="1:8" ht="18" customHeight="1">
      <c r="A288" s="92"/>
      <c r="B288" s="92"/>
      <c r="C288" s="162">
        <v>4300</v>
      </c>
      <c r="D288" s="827" t="s">
        <v>524</v>
      </c>
      <c r="E288" s="166"/>
      <c r="F288" s="166"/>
      <c r="G288" s="166"/>
      <c r="H288" s="166">
        <v>5000</v>
      </c>
    </row>
    <row r="289" spans="1:8" ht="18" customHeight="1">
      <c r="A289" s="92"/>
      <c r="B289" s="92"/>
      <c r="C289" s="165">
        <v>4410</v>
      </c>
      <c r="D289" s="1113" t="s">
        <v>288</v>
      </c>
      <c r="E289" s="434"/>
      <c r="F289" s="434"/>
      <c r="G289" s="434"/>
      <c r="H289" s="434">
        <v>2000</v>
      </c>
    </row>
    <row r="290" spans="1:8" ht="21.75" customHeight="1">
      <c r="A290" s="1061"/>
      <c r="B290" s="1061"/>
      <c r="C290" s="1062"/>
      <c r="D290" s="1114"/>
      <c r="E290" s="1063"/>
      <c r="F290" s="1063"/>
      <c r="G290" s="1063"/>
      <c r="H290" s="1063"/>
    </row>
    <row r="291" spans="1:8" ht="21.75" customHeight="1">
      <c r="A291" s="1115"/>
      <c r="B291" s="1115"/>
      <c r="C291" s="1106"/>
      <c r="D291" s="1116"/>
      <c r="E291" s="372"/>
      <c r="F291" s="372"/>
      <c r="G291" s="372"/>
      <c r="H291" s="372"/>
    </row>
    <row r="292" spans="1:8" ht="21" customHeight="1">
      <c r="A292" s="92"/>
      <c r="B292" s="92"/>
      <c r="C292" s="109"/>
      <c r="D292" s="99" t="s">
        <v>104</v>
      </c>
      <c r="E292" s="100"/>
      <c r="F292" s="100"/>
      <c r="G292" s="100"/>
      <c r="H292" s="100">
        <f>H293</f>
        <v>31600</v>
      </c>
    </row>
    <row r="293" spans="1:8" ht="21" customHeight="1" thickBot="1">
      <c r="A293" s="105"/>
      <c r="B293" s="105"/>
      <c r="C293" s="111"/>
      <c r="D293" s="127" t="s">
        <v>523</v>
      </c>
      <c r="E293" s="256"/>
      <c r="F293" s="256"/>
      <c r="G293" s="218"/>
      <c r="H293" s="218">
        <f>H294</f>
        <v>31600</v>
      </c>
    </row>
    <row r="294" spans="1:8" ht="18.75" customHeight="1" thickTop="1">
      <c r="A294" s="115">
        <v>852</v>
      </c>
      <c r="B294" s="115"/>
      <c r="C294" s="196"/>
      <c r="D294" s="115" t="s">
        <v>511</v>
      </c>
      <c r="E294" s="114"/>
      <c r="F294" s="114"/>
      <c r="G294" s="114"/>
      <c r="H294" s="114">
        <f>H295</f>
        <v>31600</v>
      </c>
    </row>
    <row r="295" spans="1:8" ht="18.75" customHeight="1">
      <c r="A295" s="92"/>
      <c r="B295" s="176">
        <v>85202</v>
      </c>
      <c r="C295" s="394"/>
      <c r="D295" s="176" t="s">
        <v>240</v>
      </c>
      <c r="E295" s="264"/>
      <c r="F295" s="264"/>
      <c r="G295" s="264"/>
      <c r="H295" s="198">
        <f>H296</f>
        <v>31600</v>
      </c>
    </row>
    <row r="296" spans="1:8" ht="18.75" customHeight="1">
      <c r="A296" s="92"/>
      <c r="B296" s="92"/>
      <c r="C296" s="92"/>
      <c r="D296" s="234" t="s">
        <v>527</v>
      </c>
      <c r="E296" s="195"/>
      <c r="F296" s="195"/>
      <c r="G296" s="195"/>
      <c r="H296" s="195">
        <f>SUM(H297:H298)</f>
        <v>31600</v>
      </c>
    </row>
    <row r="297" spans="1:8" ht="18.75" customHeight="1">
      <c r="A297" s="92"/>
      <c r="B297" s="92"/>
      <c r="C297" s="111">
        <v>4260</v>
      </c>
      <c r="D297" s="260" t="s">
        <v>528</v>
      </c>
      <c r="E297" s="112"/>
      <c r="F297" s="112"/>
      <c r="G297" s="112"/>
      <c r="H297" s="112">
        <v>9600</v>
      </c>
    </row>
    <row r="298" spans="1:8" ht="18.75" customHeight="1">
      <c r="A298" s="92"/>
      <c r="B298" s="92"/>
      <c r="C298" s="162">
        <v>4270</v>
      </c>
      <c r="D298" s="827" t="s">
        <v>182</v>
      </c>
      <c r="E298" s="166"/>
      <c r="F298" s="166"/>
      <c r="G298" s="166"/>
      <c r="H298" s="166">
        <v>22000</v>
      </c>
    </row>
    <row r="299" spans="1:8" ht="21" customHeight="1">
      <c r="A299" s="92"/>
      <c r="B299" s="92"/>
      <c r="C299" s="109"/>
      <c r="D299" s="99" t="s">
        <v>105</v>
      </c>
      <c r="E299" s="100"/>
      <c r="F299" s="100"/>
      <c r="G299" s="100">
        <f>G300+G308</f>
        <v>6000</v>
      </c>
      <c r="H299" s="100">
        <f>H300+H308</f>
        <v>235000</v>
      </c>
    </row>
    <row r="300" spans="1:8" ht="21" customHeight="1" thickBot="1">
      <c r="A300" s="105"/>
      <c r="B300" s="105"/>
      <c r="C300" s="111"/>
      <c r="D300" s="127" t="s">
        <v>523</v>
      </c>
      <c r="E300" s="256"/>
      <c r="F300" s="256"/>
      <c r="G300" s="218">
        <f aca="true" t="shared" si="5" ref="G300:H303">G301</f>
        <v>6000</v>
      </c>
      <c r="H300" s="218">
        <f t="shared" si="5"/>
        <v>6000</v>
      </c>
    </row>
    <row r="301" spans="1:8" ht="21" customHeight="1" thickTop="1">
      <c r="A301" s="196">
        <v>851</v>
      </c>
      <c r="B301" s="104"/>
      <c r="C301" s="104"/>
      <c r="D301" s="132" t="s">
        <v>620</v>
      </c>
      <c r="E301" s="133"/>
      <c r="F301" s="133"/>
      <c r="G301" s="133">
        <f t="shared" si="5"/>
        <v>6000</v>
      </c>
      <c r="H301" s="133">
        <f t="shared" si="5"/>
        <v>6000</v>
      </c>
    </row>
    <row r="302" spans="1:8" ht="21" customHeight="1">
      <c r="A302" s="230"/>
      <c r="B302" s="176">
        <v>85195</v>
      </c>
      <c r="C302" s="176"/>
      <c r="D302" s="173" t="s">
        <v>531</v>
      </c>
      <c r="E302" s="173"/>
      <c r="F302" s="173"/>
      <c r="G302" s="174">
        <f t="shared" si="5"/>
        <v>6000</v>
      </c>
      <c r="H302" s="174">
        <f t="shared" si="5"/>
        <v>6000</v>
      </c>
    </row>
    <row r="303" spans="1:8" ht="25.5" customHeight="1">
      <c r="A303" s="230"/>
      <c r="B303" s="92"/>
      <c r="C303" s="92"/>
      <c r="D303" s="481" t="s">
        <v>217</v>
      </c>
      <c r="E303" s="92"/>
      <c r="F303" s="92"/>
      <c r="G303" s="113">
        <f t="shared" si="5"/>
        <v>6000</v>
      </c>
      <c r="H303" s="113">
        <f t="shared" si="5"/>
        <v>6000</v>
      </c>
    </row>
    <row r="304" spans="1:8" ht="25.5" customHeight="1">
      <c r="A304" s="230"/>
      <c r="B304" s="92"/>
      <c r="C304" s="92"/>
      <c r="D304" s="400" t="s">
        <v>218</v>
      </c>
      <c r="E304" s="258"/>
      <c r="F304" s="258"/>
      <c r="G304" s="259">
        <f>G305+G307</f>
        <v>6000</v>
      </c>
      <c r="H304" s="259">
        <f>H305+H306</f>
        <v>6000</v>
      </c>
    </row>
    <row r="305" spans="1:8" ht="18.75" customHeight="1">
      <c r="A305" s="92"/>
      <c r="B305" s="92"/>
      <c r="C305" s="111">
        <v>4300</v>
      </c>
      <c r="D305" s="111" t="s">
        <v>524</v>
      </c>
      <c r="E305" s="112"/>
      <c r="F305" s="112"/>
      <c r="G305" s="112">
        <v>6000</v>
      </c>
      <c r="H305" s="112"/>
    </row>
    <row r="306" spans="1:8" s="1" customFormat="1" ht="18.75" customHeight="1">
      <c r="A306" s="92"/>
      <c r="B306" s="92"/>
      <c r="C306" s="108"/>
      <c r="D306" s="265" t="s">
        <v>152</v>
      </c>
      <c r="E306" s="195"/>
      <c r="F306" s="195"/>
      <c r="G306" s="195"/>
      <c r="H306" s="195">
        <f>H307</f>
        <v>6000</v>
      </c>
    </row>
    <row r="307" spans="1:8" ht="18.75" customHeight="1">
      <c r="A307" s="92"/>
      <c r="B307" s="92"/>
      <c r="C307" s="111">
        <v>6060</v>
      </c>
      <c r="D307" s="10" t="s">
        <v>338</v>
      </c>
      <c r="E307" s="112"/>
      <c r="F307" s="112"/>
      <c r="G307" s="112"/>
      <c r="H307" s="112">
        <v>6000</v>
      </c>
    </row>
    <row r="308" spans="1:8" ht="27" customHeight="1" thickBot="1">
      <c r="A308" s="105"/>
      <c r="B308" s="105"/>
      <c r="C308" s="111"/>
      <c r="D308" s="530" t="s">
        <v>539</v>
      </c>
      <c r="E308" s="256"/>
      <c r="F308" s="256"/>
      <c r="G308" s="218"/>
      <c r="H308" s="218">
        <f>H309</f>
        <v>229000</v>
      </c>
    </row>
    <row r="309" spans="1:8" s="11" customFormat="1" ht="18" customHeight="1" thickTop="1">
      <c r="A309" s="196">
        <v>852</v>
      </c>
      <c r="B309" s="104"/>
      <c r="C309" s="104"/>
      <c r="D309" s="402" t="s">
        <v>511</v>
      </c>
      <c r="E309" s="133"/>
      <c r="F309" s="133"/>
      <c r="G309" s="133"/>
      <c r="H309" s="133">
        <f>H310</f>
        <v>229000</v>
      </c>
    </row>
    <row r="310" spans="1:8" s="11" customFormat="1" ht="18" customHeight="1">
      <c r="A310" s="230"/>
      <c r="B310" s="176">
        <v>85203</v>
      </c>
      <c r="C310" s="176"/>
      <c r="D310" s="436" t="s">
        <v>96</v>
      </c>
      <c r="E310" s="173"/>
      <c r="F310" s="173"/>
      <c r="G310" s="174"/>
      <c r="H310" s="174">
        <f>H311</f>
        <v>229000</v>
      </c>
    </row>
    <row r="311" spans="1:8" ht="25.5" customHeight="1">
      <c r="A311" s="92"/>
      <c r="B311" s="92"/>
      <c r="C311" s="108"/>
      <c r="D311" s="528" t="s">
        <v>90</v>
      </c>
      <c r="E311" s="434"/>
      <c r="F311" s="434"/>
      <c r="G311" s="434"/>
      <c r="H311" s="434">
        <f>H312+H314+H319+H322</f>
        <v>229000</v>
      </c>
    </row>
    <row r="312" spans="1:8" ht="18.75" customHeight="1">
      <c r="A312" s="92"/>
      <c r="B312" s="92"/>
      <c r="C312" s="92"/>
      <c r="D312" s="418" t="s">
        <v>430</v>
      </c>
      <c r="E312" s="899"/>
      <c r="F312" s="899"/>
      <c r="G312" s="899"/>
      <c r="H312" s="899">
        <f>SUM(H313)</f>
        <v>3050</v>
      </c>
    </row>
    <row r="313" spans="1:8" ht="18.75" customHeight="1">
      <c r="A313" s="92"/>
      <c r="B313" s="92"/>
      <c r="C313" s="111">
        <v>4010</v>
      </c>
      <c r="D313" s="10" t="s">
        <v>576</v>
      </c>
      <c r="E313" s="112"/>
      <c r="F313" s="112"/>
      <c r="G313" s="112"/>
      <c r="H313" s="112">
        <v>3050</v>
      </c>
    </row>
    <row r="314" spans="1:8" ht="18.75" customHeight="1">
      <c r="A314" s="92"/>
      <c r="B314" s="92"/>
      <c r="C314" s="108"/>
      <c r="D314" s="405" t="s">
        <v>570</v>
      </c>
      <c r="E314" s="434"/>
      <c r="F314" s="434"/>
      <c r="G314" s="434"/>
      <c r="H314" s="434">
        <f>SUM(H315:H318)</f>
        <v>66335</v>
      </c>
    </row>
    <row r="315" spans="1:8" ht="18.75" customHeight="1">
      <c r="A315" s="92"/>
      <c r="B315" s="92"/>
      <c r="C315" s="111">
        <v>4210</v>
      </c>
      <c r="D315" s="10" t="s">
        <v>525</v>
      </c>
      <c r="E315" s="239"/>
      <c r="F315" s="239"/>
      <c r="G315" s="239"/>
      <c r="H315" s="239">
        <v>35200</v>
      </c>
    </row>
    <row r="316" spans="1:8" ht="18.75" customHeight="1">
      <c r="A316" s="92"/>
      <c r="B316" s="92"/>
      <c r="C316" s="111">
        <v>4260</v>
      </c>
      <c r="D316" s="116" t="s">
        <v>528</v>
      </c>
      <c r="E316" s="166"/>
      <c r="F316" s="166"/>
      <c r="G316" s="166"/>
      <c r="H316" s="166">
        <v>1935</v>
      </c>
    </row>
    <row r="317" spans="1:8" ht="18.75" customHeight="1">
      <c r="A317" s="92"/>
      <c r="B317" s="92"/>
      <c r="C317" s="111">
        <v>4270</v>
      </c>
      <c r="D317" s="116" t="s">
        <v>182</v>
      </c>
      <c r="E317" s="166"/>
      <c r="F317" s="166"/>
      <c r="G317" s="166"/>
      <c r="H317" s="166">
        <v>26800</v>
      </c>
    </row>
    <row r="318" spans="1:8" ht="18.75" customHeight="1">
      <c r="A318" s="92"/>
      <c r="B318" s="92"/>
      <c r="C318" s="111">
        <v>4300</v>
      </c>
      <c r="D318" s="10" t="s">
        <v>524</v>
      </c>
      <c r="E318" s="166"/>
      <c r="F318" s="166"/>
      <c r="G318" s="166"/>
      <c r="H318" s="166">
        <v>2400</v>
      </c>
    </row>
    <row r="319" spans="1:8" ht="18.75" customHeight="1">
      <c r="A319" s="92"/>
      <c r="B319" s="92"/>
      <c r="C319" s="92"/>
      <c r="D319" s="180" t="s">
        <v>58</v>
      </c>
      <c r="E319" s="740"/>
      <c r="F319" s="740"/>
      <c r="G319" s="740"/>
      <c r="H319" s="740">
        <f>SUM(H320:H321)</f>
        <v>615</v>
      </c>
    </row>
    <row r="320" spans="1:8" ht="18" customHeight="1">
      <c r="A320" s="105"/>
      <c r="B320" s="105"/>
      <c r="C320" s="111">
        <v>4110</v>
      </c>
      <c r="D320" s="10" t="s">
        <v>529</v>
      </c>
      <c r="E320" s="112"/>
      <c r="F320" s="112"/>
      <c r="G320" s="112"/>
      <c r="H320" s="112">
        <v>540</v>
      </c>
    </row>
    <row r="321" spans="1:8" ht="18" customHeight="1">
      <c r="A321" s="92"/>
      <c r="B321" s="92"/>
      <c r="C321" s="111">
        <v>4120</v>
      </c>
      <c r="D321" s="10" t="s">
        <v>530</v>
      </c>
      <c r="E321" s="112"/>
      <c r="F321" s="112"/>
      <c r="G321" s="112"/>
      <c r="H321" s="112">
        <v>75</v>
      </c>
    </row>
    <row r="322" spans="1:8" ht="18" customHeight="1">
      <c r="A322" s="92"/>
      <c r="B322" s="92"/>
      <c r="C322" s="92"/>
      <c r="D322" s="180" t="s">
        <v>608</v>
      </c>
      <c r="E322" s="740"/>
      <c r="F322" s="740"/>
      <c r="G322" s="740"/>
      <c r="H322" s="195">
        <f>H323+H325</f>
        <v>159000</v>
      </c>
    </row>
    <row r="323" spans="1:8" s="11" customFormat="1" ht="18" customHeight="1">
      <c r="A323" s="109"/>
      <c r="B323" s="109"/>
      <c r="C323" s="109"/>
      <c r="D323" s="330" t="s">
        <v>153</v>
      </c>
      <c r="E323" s="247"/>
      <c r="F323" s="247"/>
      <c r="G323" s="247"/>
      <c r="H323" s="247">
        <f>H324</f>
        <v>150000</v>
      </c>
    </row>
    <row r="324" spans="1:8" s="1" customFormat="1" ht="18" customHeight="1">
      <c r="A324" s="92"/>
      <c r="B324" s="92"/>
      <c r="C324" s="111">
        <v>6050</v>
      </c>
      <c r="D324" s="397" t="s">
        <v>606</v>
      </c>
      <c r="E324" s="112"/>
      <c r="F324" s="112"/>
      <c r="G324" s="112"/>
      <c r="H324" s="112">
        <v>150000</v>
      </c>
    </row>
    <row r="325" spans="1:8" s="11" customFormat="1" ht="18" customHeight="1">
      <c r="A325" s="109"/>
      <c r="B325" s="109"/>
      <c r="C325" s="165"/>
      <c r="D325" s="1131" t="s">
        <v>339</v>
      </c>
      <c r="E325" s="1132"/>
      <c r="F325" s="1132"/>
      <c r="G325" s="1132"/>
      <c r="H325" s="1132">
        <f>H326</f>
        <v>9000</v>
      </c>
    </row>
    <row r="326" spans="1:8" s="1" customFormat="1" ht="18" customHeight="1">
      <c r="A326" s="92"/>
      <c r="B326" s="92"/>
      <c r="C326" s="111">
        <v>6060</v>
      </c>
      <c r="D326" s="10" t="s">
        <v>338</v>
      </c>
      <c r="E326" s="112"/>
      <c r="F326" s="112"/>
      <c r="G326" s="112"/>
      <c r="H326" s="112">
        <v>9000</v>
      </c>
    </row>
    <row r="327" spans="1:9" s="68" customFormat="1" ht="21" customHeight="1">
      <c r="A327" s="532"/>
      <c r="B327" s="532"/>
      <c r="C327" s="748"/>
      <c r="D327" s="749" t="s">
        <v>106</v>
      </c>
      <c r="E327" s="100"/>
      <c r="F327" s="100"/>
      <c r="G327" s="100"/>
      <c r="H327" s="100">
        <f>H328</f>
        <v>63800</v>
      </c>
      <c r="I327" s="750"/>
    </row>
    <row r="328" spans="1:8" ht="22.5" customHeight="1" thickBot="1">
      <c r="A328" s="105"/>
      <c r="B328" s="105"/>
      <c r="C328" s="111"/>
      <c r="D328" s="530" t="s">
        <v>539</v>
      </c>
      <c r="E328" s="256"/>
      <c r="F328" s="256"/>
      <c r="G328" s="218"/>
      <c r="H328" s="218">
        <f>H329</f>
        <v>63800</v>
      </c>
    </row>
    <row r="329" spans="1:8" s="11" customFormat="1" ht="18" customHeight="1" thickTop="1">
      <c r="A329" s="196">
        <v>852</v>
      </c>
      <c r="B329" s="104"/>
      <c r="C329" s="104"/>
      <c r="D329" s="402" t="s">
        <v>511</v>
      </c>
      <c r="E329" s="133"/>
      <c r="F329" s="133"/>
      <c r="G329" s="133"/>
      <c r="H329" s="133">
        <f>H330</f>
        <v>63800</v>
      </c>
    </row>
    <row r="330" spans="1:8" s="11" customFormat="1" ht="18" customHeight="1">
      <c r="A330" s="230"/>
      <c r="B330" s="176">
        <v>85203</v>
      </c>
      <c r="C330" s="176"/>
      <c r="D330" s="436" t="s">
        <v>485</v>
      </c>
      <c r="E330" s="173"/>
      <c r="F330" s="173"/>
      <c r="G330" s="174"/>
      <c r="H330" s="174">
        <f>H331</f>
        <v>63800</v>
      </c>
    </row>
    <row r="331" spans="1:8" s="11" customFormat="1" ht="25.5" customHeight="1">
      <c r="A331" s="230"/>
      <c r="B331" s="92"/>
      <c r="C331" s="108"/>
      <c r="D331" s="531" t="s">
        <v>154</v>
      </c>
      <c r="E331" s="733"/>
      <c r="F331" s="733"/>
      <c r="G331" s="734"/>
      <c r="H331" s="734">
        <f>H332+H335+H341+H344</f>
        <v>63800</v>
      </c>
    </row>
    <row r="332" spans="1:8" ht="18.75" customHeight="1">
      <c r="A332" s="92"/>
      <c r="B332" s="92"/>
      <c r="C332" s="92"/>
      <c r="D332" s="418" t="s">
        <v>430</v>
      </c>
      <c r="E332" s="429"/>
      <c r="F332" s="429"/>
      <c r="G332" s="429"/>
      <c r="H332" s="429">
        <f>SUM(H333:H334)</f>
        <v>21800</v>
      </c>
    </row>
    <row r="333" spans="1:8" ht="18.75" customHeight="1">
      <c r="A333" s="92"/>
      <c r="B333" s="92"/>
      <c r="C333" s="111">
        <v>4010</v>
      </c>
      <c r="D333" s="10" t="s">
        <v>576</v>
      </c>
      <c r="E333" s="398"/>
      <c r="F333" s="398"/>
      <c r="G333" s="398"/>
      <c r="H333" s="398">
        <v>19800</v>
      </c>
    </row>
    <row r="334" spans="1:8" ht="18.75" customHeight="1">
      <c r="A334" s="92"/>
      <c r="B334" s="92"/>
      <c r="C334" s="162">
        <v>4170</v>
      </c>
      <c r="D334" s="421" t="s">
        <v>610</v>
      </c>
      <c r="E334" s="428"/>
      <c r="F334" s="428"/>
      <c r="G334" s="428"/>
      <c r="H334" s="428">
        <v>2000</v>
      </c>
    </row>
    <row r="335" spans="1:8" ht="18.75" customHeight="1">
      <c r="A335" s="92"/>
      <c r="B335" s="92"/>
      <c r="C335" s="108"/>
      <c r="D335" s="405" t="s">
        <v>570</v>
      </c>
      <c r="E335" s="408"/>
      <c r="F335" s="408"/>
      <c r="G335" s="408"/>
      <c r="H335" s="408">
        <f>SUM(H336:H340)</f>
        <v>29980</v>
      </c>
    </row>
    <row r="336" spans="1:8" ht="18.75" customHeight="1">
      <c r="A336" s="92"/>
      <c r="B336" s="92"/>
      <c r="C336" s="111">
        <v>4210</v>
      </c>
      <c r="D336" s="10" t="s">
        <v>525</v>
      </c>
      <c r="E336" s="398"/>
      <c r="F336" s="398"/>
      <c r="G336" s="398"/>
      <c r="H336" s="398">
        <v>16000</v>
      </c>
    </row>
    <row r="337" spans="1:8" ht="18.75" customHeight="1">
      <c r="A337" s="92"/>
      <c r="B337" s="92"/>
      <c r="C337" s="162">
        <v>4220</v>
      </c>
      <c r="D337" s="421" t="s">
        <v>82</v>
      </c>
      <c r="E337" s="428"/>
      <c r="F337" s="428"/>
      <c r="G337" s="428"/>
      <c r="H337" s="428">
        <v>6500</v>
      </c>
    </row>
    <row r="338" spans="1:8" ht="18.75" customHeight="1">
      <c r="A338" s="92"/>
      <c r="B338" s="92"/>
      <c r="C338" s="111">
        <v>4260</v>
      </c>
      <c r="D338" s="116" t="s">
        <v>528</v>
      </c>
      <c r="E338" s="117"/>
      <c r="F338" s="117"/>
      <c r="G338" s="117"/>
      <c r="H338" s="117">
        <v>3150</v>
      </c>
    </row>
    <row r="339" spans="1:8" ht="18.75" customHeight="1">
      <c r="A339" s="92"/>
      <c r="B339" s="92"/>
      <c r="C339" s="111">
        <v>4300</v>
      </c>
      <c r="D339" s="10" t="s">
        <v>524</v>
      </c>
      <c r="E339" s="398"/>
      <c r="F339" s="398"/>
      <c r="G339" s="398"/>
      <c r="H339" s="398">
        <v>4000</v>
      </c>
    </row>
    <row r="340" spans="1:8" ht="18.75" customHeight="1">
      <c r="A340" s="92"/>
      <c r="B340" s="92"/>
      <c r="C340" s="162">
        <v>4440</v>
      </c>
      <c r="D340" s="421" t="s">
        <v>575</v>
      </c>
      <c r="E340" s="428"/>
      <c r="F340" s="428"/>
      <c r="G340" s="428"/>
      <c r="H340" s="428">
        <v>330</v>
      </c>
    </row>
    <row r="341" spans="1:8" ht="18.75" customHeight="1">
      <c r="A341" s="92"/>
      <c r="B341" s="92"/>
      <c r="C341" s="92"/>
      <c r="D341" s="180" t="s">
        <v>58</v>
      </c>
      <c r="E341" s="184"/>
      <c r="F341" s="184"/>
      <c r="G341" s="184"/>
      <c r="H341" s="184">
        <f>SUM(H342:H343)</f>
        <v>2020</v>
      </c>
    </row>
    <row r="342" spans="1:8" ht="18.75" customHeight="1">
      <c r="A342" s="92"/>
      <c r="B342" s="92"/>
      <c r="C342" s="111">
        <v>4110</v>
      </c>
      <c r="D342" s="10" t="s">
        <v>529</v>
      </c>
      <c r="E342" s="398"/>
      <c r="F342" s="398"/>
      <c r="G342" s="398"/>
      <c r="H342" s="398">
        <v>1700</v>
      </c>
    </row>
    <row r="343" spans="1:8" ht="18.75" customHeight="1">
      <c r="A343" s="92"/>
      <c r="B343" s="92"/>
      <c r="C343" s="162">
        <v>4120</v>
      </c>
      <c r="D343" s="421" t="s">
        <v>530</v>
      </c>
      <c r="E343" s="428"/>
      <c r="F343" s="428"/>
      <c r="G343" s="428"/>
      <c r="H343" s="428">
        <v>320</v>
      </c>
    </row>
    <row r="344" spans="1:8" s="1" customFormat="1" ht="18.75" customHeight="1">
      <c r="A344" s="92"/>
      <c r="B344" s="92"/>
      <c r="C344" s="92"/>
      <c r="D344" s="418" t="s">
        <v>152</v>
      </c>
      <c r="E344" s="429"/>
      <c r="F344" s="429"/>
      <c r="G344" s="429"/>
      <c r="H344" s="429">
        <f>H345</f>
        <v>10000</v>
      </c>
    </row>
    <row r="345" spans="1:8" ht="18.75" customHeight="1">
      <c r="A345" s="92"/>
      <c r="B345" s="92"/>
      <c r="C345" s="111">
        <v>6060</v>
      </c>
      <c r="D345" s="10" t="s">
        <v>338</v>
      </c>
      <c r="E345" s="398"/>
      <c r="F345" s="398"/>
      <c r="G345" s="398"/>
      <c r="H345" s="398">
        <v>10000</v>
      </c>
    </row>
    <row r="346" spans="1:9" ht="19.5" customHeight="1">
      <c r="A346" s="92"/>
      <c r="B346" s="92"/>
      <c r="C346" s="109"/>
      <c r="D346" s="99" t="s">
        <v>107</v>
      </c>
      <c r="E346" s="100"/>
      <c r="F346" s="100"/>
      <c r="G346" s="100">
        <f>G347+G363+G373</f>
        <v>302631</v>
      </c>
      <c r="H346" s="100">
        <f>H347+H363+H373</f>
        <v>279618</v>
      </c>
      <c r="I346" s="25">
        <f>H346-G346</f>
        <v>-23013</v>
      </c>
    </row>
    <row r="347" spans="1:8" ht="21.75" customHeight="1" thickBot="1">
      <c r="A347" s="105"/>
      <c r="B347" s="105"/>
      <c r="C347" s="111"/>
      <c r="D347" s="127" t="s">
        <v>523</v>
      </c>
      <c r="E347" s="256"/>
      <c r="F347" s="256"/>
      <c r="G347" s="218">
        <f>G348</f>
        <v>103600</v>
      </c>
      <c r="H347" s="218">
        <f>H348</f>
        <v>111800</v>
      </c>
    </row>
    <row r="348" spans="1:8" s="11" customFormat="1" ht="18" customHeight="1" thickTop="1">
      <c r="A348" s="252">
        <v>852</v>
      </c>
      <c r="B348" s="254"/>
      <c r="C348" s="255"/>
      <c r="D348" s="114" t="s">
        <v>511</v>
      </c>
      <c r="E348" s="114"/>
      <c r="F348" s="114"/>
      <c r="G348" s="114">
        <f>G349+G355+G359</f>
        <v>103600</v>
      </c>
      <c r="H348" s="114">
        <f>H349+H355+H359</f>
        <v>111800</v>
      </c>
    </row>
    <row r="349" spans="1:8" ht="19.5" customHeight="1">
      <c r="A349" s="92"/>
      <c r="B349" s="176">
        <v>85201</v>
      </c>
      <c r="C349" s="394"/>
      <c r="D349" s="176" t="s">
        <v>85</v>
      </c>
      <c r="E349" s="174"/>
      <c r="F349" s="174"/>
      <c r="G349" s="174">
        <f>G350</f>
        <v>73600</v>
      </c>
      <c r="H349" s="174">
        <f>H350</f>
        <v>73600</v>
      </c>
    </row>
    <row r="350" spans="1:8" ht="19.5" customHeight="1">
      <c r="A350" s="105"/>
      <c r="B350" s="105"/>
      <c r="C350" s="105"/>
      <c r="D350" s="178" t="s">
        <v>236</v>
      </c>
      <c r="E350" s="178"/>
      <c r="F350" s="178"/>
      <c r="G350" s="179">
        <f>G354</f>
        <v>73600</v>
      </c>
      <c r="H350" s="179">
        <f>H354</f>
        <v>73600</v>
      </c>
    </row>
    <row r="351" spans="1:8" ht="26.25" customHeight="1">
      <c r="A351" s="92"/>
      <c r="B351" s="92"/>
      <c r="C351" s="109"/>
      <c r="D351" s="695" t="s">
        <v>91</v>
      </c>
      <c r="E351" s="1117"/>
      <c r="F351" s="1117"/>
      <c r="G351" s="332"/>
      <c r="H351" s="332">
        <v>59200</v>
      </c>
    </row>
    <row r="352" spans="1:8" ht="27.75" customHeight="1">
      <c r="A352" s="92"/>
      <c r="B352" s="92"/>
      <c r="C352" s="109"/>
      <c r="D352" s="695" t="s">
        <v>99</v>
      </c>
      <c r="E352" s="1117"/>
      <c r="F352" s="1117"/>
      <c r="G352" s="332"/>
      <c r="H352" s="332">
        <v>14400</v>
      </c>
    </row>
    <row r="353" spans="1:8" ht="26.25" customHeight="1">
      <c r="A353" s="92"/>
      <c r="B353" s="92"/>
      <c r="C353" s="109"/>
      <c r="D353" s="778" t="s">
        <v>100</v>
      </c>
      <c r="E353" s="779"/>
      <c r="F353" s="779"/>
      <c r="G353" s="382">
        <v>73600</v>
      </c>
      <c r="H353" s="382"/>
    </row>
    <row r="354" spans="1:8" ht="25.5" customHeight="1">
      <c r="A354" s="92"/>
      <c r="B354" s="105"/>
      <c r="C354" s="111">
        <v>2580</v>
      </c>
      <c r="D354" s="116" t="s">
        <v>237</v>
      </c>
      <c r="E354" s="111"/>
      <c r="F354" s="111"/>
      <c r="G354" s="112">
        <f>SUM(G351:G353)</f>
        <v>73600</v>
      </c>
      <c r="H354" s="112">
        <f>SUM(H351:H353)</f>
        <v>73600</v>
      </c>
    </row>
    <row r="355" spans="1:8" ht="19.5" customHeight="1">
      <c r="A355" s="92"/>
      <c r="B355" s="176">
        <v>85202</v>
      </c>
      <c r="C355" s="424"/>
      <c r="D355" s="176" t="s">
        <v>240</v>
      </c>
      <c r="E355" s="174"/>
      <c r="F355" s="174"/>
      <c r="G355" s="174"/>
      <c r="H355" s="174">
        <f>H356</f>
        <v>8200</v>
      </c>
    </row>
    <row r="356" spans="1:8" ht="19.5" customHeight="1">
      <c r="A356" s="92"/>
      <c r="B356" s="92"/>
      <c r="C356" s="92"/>
      <c r="D356" s="180" t="s">
        <v>251</v>
      </c>
      <c r="E356" s="234"/>
      <c r="F356" s="234"/>
      <c r="G356" s="204"/>
      <c r="H356" s="204">
        <f>H358</f>
        <v>8200</v>
      </c>
    </row>
    <row r="357" spans="1:8" ht="17.25" customHeight="1">
      <c r="A357" s="92"/>
      <c r="B357" s="92"/>
      <c r="C357" s="109"/>
      <c r="D357" s="862" t="s">
        <v>253</v>
      </c>
      <c r="E357" s="246"/>
      <c r="F357" s="246"/>
      <c r="G357" s="247"/>
      <c r="H357" s="247">
        <v>8200</v>
      </c>
    </row>
    <row r="358" spans="1:8" ht="27" customHeight="1">
      <c r="A358" s="92"/>
      <c r="B358" s="105"/>
      <c r="C358" s="111">
        <v>2830</v>
      </c>
      <c r="D358" s="260" t="s">
        <v>453</v>
      </c>
      <c r="E358" s="861"/>
      <c r="F358" s="861"/>
      <c r="G358" s="261"/>
      <c r="H358" s="261">
        <f>H357</f>
        <v>8200</v>
      </c>
    </row>
    <row r="359" spans="1:8" ht="19.5" customHeight="1">
      <c r="A359" s="92"/>
      <c r="B359" s="176">
        <v>85219</v>
      </c>
      <c r="C359" s="394"/>
      <c r="D359" s="176" t="s">
        <v>185</v>
      </c>
      <c r="E359" s="174"/>
      <c r="F359" s="174"/>
      <c r="G359" s="174">
        <f>G360</f>
        <v>30000</v>
      </c>
      <c r="H359" s="174">
        <f>H360</f>
        <v>30000</v>
      </c>
    </row>
    <row r="360" spans="1:8" ht="18.75" customHeight="1">
      <c r="A360" s="92"/>
      <c r="B360" s="92"/>
      <c r="C360" s="108"/>
      <c r="D360" s="265" t="s">
        <v>527</v>
      </c>
      <c r="E360" s="408"/>
      <c r="F360" s="408"/>
      <c r="G360" s="408">
        <f>SUM(G361:G362)</f>
        <v>30000</v>
      </c>
      <c r="H360" s="408">
        <f>SUM(H361:H362)</f>
        <v>30000</v>
      </c>
    </row>
    <row r="361" spans="1:8" ht="18.75" customHeight="1">
      <c r="A361" s="92"/>
      <c r="B361" s="92"/>
      <c r="C361" s="111">
        <v>4270</v>
      </c>
      <c r="D361" s="116" t="s">
        <v>189</v>
      </c>
      <c r="E361" s="398"/>
      <c r="F361" s="398"/>
      <c r="G361" s="398"/>
      <c r="H361" s="398">
        <v>30000</v>
      </c>
    </row>
    <row r="362" spans="1:8" ht="18.75" customHeight="1">
      <c r="A362" s="92"/>
      <c r="B362" s="92"/>
      <c r="C362" s="162">
        <v>4300</v>
      </c>
      <c r="D362" s="162" t="s">
        <v>524</v>
      </c>
      <c r="E362" s="428"/>
      <c r="F362" s="428"/>
      <c r="G362" s="428">
        <v>30000</v>
      </c>
      <c r="H362" s="428"/>
    </row>
    <row r="363" spans="1:8" ht="21" customHeight="1" thickBot="1">
      <c r="A363" s="105"/>
      <c r="B363" s="105"/>
      <c r="C363" s="111"/>
      <c r="D363" s="106" t="s">
        <v>538</v>
      </c>
      <c r="E363" s="469"/>
      <c r="F363" s="469"/>
      <c r="G363" s="218">
        <f>G364</f>
        <v>199031</v>
      </c>
      <c r="H363" s="218">
        <f>H364</f>
        <v>145231</v>
      </c>
    </row>
    <row r="364" spans="1:8" s="11" customFormat="1" ht="18.75" customHeight="1" thickTop="1">
      <c r="A364" s="203">
        <v>852</v>
      </c>
      <c r="B364" s="115"/>
      <c r="C364" s="104"/>
      <c r="D364" s="132" t="s">
        <v>511</v>
      </c>
      <c r="E364" s="201"/>
      <c r="F364" s="201"/>
      <c r="G364" s="201">
        <f>G365+G370</f>
        <v>199031</v>
      </c>
      <c r="H364" s="201">
        <f>H365+H370</f>
        <v>145231</v>
      </c>
    </row>
    <row r="365" spans="1:8" s="11" customFormat="1" ht="27.75" customHeight="1">
      <c r="A365" s="92"/>
      <c r="B365" s="176">
        <v>85212</v>
      </c>
      <c r="C365" s="176"/>
      <c r="D365" s="508" t="s">
        <v>139</v>
      </c>
      <c r="E365" s="470"/>
      <c r="F365" s="470"/>
      <c r="G365" s="470">
        <f>G366+G368</f>
        <v>145231</v>
      </c>
      <c r="H365" s="470">
        <f>H366+H368</f>
        <v>145231</v>
      </c>
    </row>
    <row r="366" spans="1:8" ht="18.75" customHeight="1">
      <c r="A366" s="92"/>
      <c r="B366" s="92"/>
      <c r="C366" s="108"/>
      <c r="D366" s="509" t="s">
        <v>430</v>
      </c>
      <c r="E366" s="219"/>
      <c r="F366" s="219"/>
      <c r="G366" s="219"/>
      <c r="H366" s="219">
        <f>H367</f>
        <v>145231</v>
      </c>
    </row>
    <row r="367" spans="1:8" ht="18.75" customHeight="1">
      <c r="A367" s="92"/>
      <c r="B367" s="92"/>
      <c r="C367" s="111">
        <v>4010</v>
      </c>
      <c r="D367" s="397" t="s">
        <v>576</v>
      </c>
      <c r="E367" s="395"/>
      <c r="F367" s="395"/>
      <c r="G367" s="395"/>
      <c r="H367" s="395">
        <v>145231</v>
      </c>
    </row>
    <row r="368" spans="1:8" s="50" customFormat="1" ht="18.75" customHeight="1">
      <c r="A368" s="759"/>
      <c r="B368" s="763"/>
      <c r="C368" s="763"/>
      <c r="D368" s="758" t="s">
        <v>235</v>
      </c>
      <c r="E368" s="764"/>
      <c r="F368" s="764"/>
      <c r="G368" s="764">
        <f>G369</f>
        <v>145231</v>
      </c>
      <c r="H368" s="764"/>
    </row>
    <row r="369" spans="1:8" s="50" customFormat="1" ht="18.75" customHeight="1">
      <c r="A369" s="760"/>
      <c r="B369" s="761"/>
      <c r="C369" s="761">
        <v>3110</v>
      </c>
      <c r="D369" s="708" t="s">
        <v>436</v>
      </c>
      <c r="E369" s="762"/>
      <c r="F369" s="762"/>
      <c r="G369" s="762">
        <v>145231</v>
      </c>
      <c r="H369" s="762"/>
    </row>
    <row r="370" spans="1:8" s="11" customFormat="1" ht="18.75" customHeight="1">
      <c r="A370" s="92"/>
      <c r="B370" s="176">
        <v>85214</v>
      </c>
      <c r="C370" s="176"/>
      <c r="D370" s="508" t="s">
        <v>474</v>
      </c>
      <c r="E370" s="470"/>
      <c r="F370" s="470"/>
      <c r="G370" s="470">
        <f>G371</f>
        <v>53800</v>
      </c>
      <c r="H370" s="470"/>
    </row>
    <row r="371" spans="1:8" ht="18.75" customHeight="1">
      <c r="A371" s="92"/>
      <c r="B371" s="92"/>
      <c r="C371" s="108"/>
      <c r="D371" s="509" t="s">
        <v>477</v>
      </c>
      <c r="E371" s="219"/>
      <c r="F371" s="219"/>
      <c r="G371" s="219">
        <f>G372</f>
        <v>53800</v>
      </c>
      <c r="H371" s="219"/>
    </row>
    <row r="372" spans="1:8" ht="18.75" customHeight="1">
      <c r="A372" s="92"/>
      <c r="B372" s="92"/>
      <c r="C372" s="111">
        <v>3110</v>
      </c>
      <c r="D372" s="397" t="s">
        <v>436</v>
      </c>
      <c r="E372" s="395"/>
      <c r="F372" s="395"/>
      <c r="G372" s="395">
        <v>53800</v>
      </c>
      <c r="H372" s="395"/>
    </row>
    <row r="373" spans="1:8" ht="21" customHeight="1" thickBot="1">
      <c r="A373" s="105"/>
      <c r="B373" s="105"/>
      <c r="C373" s="111"/>
      <c r="D373" s="127" t="s">
        <v>539</v>
      </c>
      <c r="E373" s="469"/>
      <c r="F373" s="469"/>
      <c r="G373" s="218"/>
      <c r="H373" s="218">
        <f>H374</f>
        <v>22587</v>
      </c>
    </row>
    <row r="374" spans="1:8" s="11" customFormat="1" ht="18.75" customHeight="1" thickTop="1">
      <c r="A374" s="203">
        <v>853</v>
      </c>
      <c r="B374" s="115"/>
      <c r="C374" s="104"/>
      <c r="D374" s="132" t="s">
        <v>560</v>
      </c>
      <c r="E374" s="201"/>
      <c r="F374" s="201"/>
      <c r="G374" s="201"/>
      <c r="H374" s="201">
        <f>H375</f>
        <v>22587</v>
      </c>
    </row>
    <row r="375" spans="1:8" s="11" customFormat="1" ht="18.75" customHeight="1">
      <c r="A375" s="92"/>
      <c r="B375" s="176">
        <v>85334</v>
      </c>
      <c r="C375" s="176"/>
      <c r="D375" s="192" t="s">
        <v>440</v>
      </c>
      <c r="E375" s="470"/>
      <c r="F375" s="470"/>
      <c r="G375" s="470"/>
      <c r="H375" s="470">
        <f>H376</f>
        <v>22587</v>
      </c>
    </row>
    <row r="376" spans="1:8" ht="18.75" customHeight="1">
      <c r="A376" s="92"/>
      <c r="B376" s="92"/>
      <c r="C376" s="108"/>
      <c r="D376" s="195" t="s">
        <v>443</v>
      </c>
      <c r="E376" s="219"/>
      <c r="F376" s="219"/>
      <c r="G376" s="219"/>
      <c r="H376" s="219">
        <f>H377</f>
        <v>22587</v>
      </c>
    </row>
    <row r="377" spans="1:8" ht="18.75" customHeight="1">
      <c r="A377" s="92"/>
      <c r="B377" s="92"/>
      <c r="C377" s="109">
        <v>3110</v>
      </c>
      <c r="D377" s="167" t="s">
        <v>436</v>
      </c>
      <c r="E377" s="1013"/>
      <c r="F377" s="1013"/>
      <c r="G377" s="1013"/>
      <c r="H377" s="1013">
        <f>16383+6204</f>
        <v>22587</v>
      </c>
    </row>
    <row r="378" spans="1:8" ht="18.75" customHeight="1">
      <c r="A378" s="1061"/>
      <c r="B378" s="1061"/>
      <c r="C378" s="1062"/>
      <c r="D378" s="1060"/>
      <c r="E378" s="1089"/>
      <c r="F378" s="1089"/>
      <c r="G378" s="1089"/>
      <c r="H378" s="1089"/>
    </row>
    <row r="379" spans="1:8" ht="23.25" customHeight="1">
      <c r="A379" s="92"/>
      <c r="B379" s="92"/>
      <c r="C379" s="109"/>
      <c r="D379" s="99" t="s">
        <v>758</v>
      </c>
      <c r="E379" s="100"/>
      <c r="F379" s="100"/>
      <c r="G379" s="100"/>
      <c r="H379" s="100">
        <f>H380</f>
        <v>350583</v>
      </c>
    </row>
    <row r="380" spans="1:8" ht="25.5" customHeight="1" thickBot="1">
      <c r="A380" s="105"/>
      <c r="B380" s="105"/>
      <c r="C380" s="111"/>
      <c r="D380" s="106" t="s">
        <v>523</v>
      </c>
      <c r="E380" s="107"/>
      <c r="F380" s="107"/>
      <c r="G380" s="107"/>
      <c r="H380" s="107">
        <f>H381+H382</f>
        <v>350583</v>
      </c>
    </row>
    <row r="381" spans="1:8" ht="18" customHeight="1" thickTop="1">
      <c r="A381" s="115">
        <v>801</v>
      </c>
      <c r="B381" s="188"/>
      <c r="C381" s="216"/>
      <c r="D381" s="115" t="s">
        <v>532</v>
      </c>
      <c r="E381" s="120"/>
      <c r="F381" s="120"/>
      <c r="G381" s="120"/>
      <c r="H381" s="120">
        <v>326081</v>
      </c>
    </row>
    <row r="382" spans="1:8" ht="18" customHeight="1">
      <c r="A382" s="115">
        <v>854</v>
      </c>
      <c r="B382" s="115"/>
      <c r="C382" s="115"/>
      <c r="D382" s="115" t="s">
        <v>537</v>
      </c>
      <c r="E382" s="120"/>
      <c r="F382" s="120"/>
      <c r="G382" s="120"/>
      <c r="H382" s="120">
        <v>24502</v>
      </c>
    </row>
    <row r="388" ht="12.75">
      <c r="B388" s="17" t="s">
        <v>24</v>
      </c>
    </row>
    <row r="389" ht="12.75">
      <c r="B389" s="17" t="s">
        <v>23</v>
      </c>
    </row>
    <row r="390" ht="12.75">
      <c r="B390" s="17" t="s">
        <v>22</v>
      </c>
    </row>
  </sheetData>
  <mergeCells count="6">
    <mergeCell ref="G7:H7"/>
    <mergeCell ref="D7:D8"/>
    <mergeCell ref="A7:A8"/>
    <mergeCell ref="B7:B8"/>
    <mergeCell ref="C7:C8"/>
    <mergeCell ref="E7:F7"/>
  </mergeCells>
  <printOptions horizontalCentered="1"/>
  <pageMargins left="0.3937007874015748" right="0.3937007874015748" top="0.52" bottom="0.7874015748031497" header="0.5118110236220472" footer="0.31496062992125984"/>
  <pageSetup firstPageNumber="35" useFirstPageNumber="1" horizontalDpi="300" verticalDpi="300" orientation="landscape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A763"/>
  <sheetViews>
    <sheetView zoomScale="70" zoomScaleNormal="70" workbookViewId="0" topLeftCell="A1">
      <pane xSplit="1" ySplit="13" topLeftCell="B43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L568" sqref="L568"/>
    </sheetView>
  </sheetViews>
  <sheetFormatPr defaultColWidth="9.00390625" defaultRowHeight="12.75"/>
  <cols>
    <col min="1" max="1" width="47.00390625" style="540" customWidth="1"/>
    <col min="2" max="2" width="13.625" style="540" customWidth="1"/>
    <col min="3" max="3" width="10.00390625" style="540" hidden="1" customWidth="1"/>
    <col min="4" max="4" width="12.125" style="540" customWidth="1"/>
    <col min="5" max="5" width="11.25390625" style="540" customWidth="1"/>
    <col min="6" max="6" width="10.75390625" style="540" customWidth="1"/>
    <col min="7" max="7" width="9.75390625" style="679" customWidth="1"/>
    <col min="8" max="8" width="9.00390625" style="540" customWidth="1"/>
    <col min="9" max="9" width="9.00390625" style="540" hidden="1" customWidth="1"/>
    <col min="10" max="10" width="10.375" style="540" hidden="1" customWidth="1"/>
    <col min="11" max="11" width="10.625" style="540" customWidth="1"/>
    <col min="12" max="12" width="11.75390625" style="540" customWidth="1"/>
    <col min="13" max="13" width="10.25390625" style="540" hidden="1" customWidth="1"/>
    <col min="14" max="14" width="12.125" style="540" customWidth="1"/>
    <col min="15" max="15" width="10.125" style="540" customWidth="1"/>
    <col min="16" max="16" width="12.75390625" style="540" customWidth="1"/>
    <col min="17" max="17" width="10.00390625" style="540" customWidth="1"/>
    <col min="18" max="18" width="10.625" style="540" customWidth="1"/>
    <col min="19" max="19" width="10.625" style="540" hidden="1" customWidth="1"/>
    <col min="20" max="21" width="8.125" style="540" customWidth="1"/>
    <col min="22" max="22" width="7.875" style="540" hidden="1" customWidth="1"/>
    <col min="23" max="23" width="12.375" style="540" customWidth="1"/>
    <col min="24" max="24" width="12.125" style="540" hidden="1" customWidth="1"/>
    <col min="25" max="25" width="11.375" style="543" customWidth="1"/>
    <col min="26" max="26" width="11.00390625" style="263" customWidth="1"/>
    <col min="27" max="27" width="12.625" style="263" customWidth="1"/>
    <col min="28" max="28" width="8.125" style="263" customWidth="1"/>
    <col min="29" max="29" width="7.00390625" style="263" customWidth="1"/>
    <col min="30" max="16384" width="9.125" style="263" customWidth="1"/>
  </cols>
  <sheetData>
    <row r="1" spans="1:27" ht="15.75" customHeight="1">
      <c r="A1" s="539"/>
      <c r="D1" s="541"/>
      <c r="E1" s="541"/>
      <c r="F1" s="541"/>
      <c r="G1" s="542"/>
      <c r="J1" s="541"/>
      <c r="K1" s="541"/>
      <c r="L1" s="541"/>
      <c r="Y1" s="540"/>
      <c r="Z1" s="543"/>
      <c r="AA1" s="543"/>
    </row>
    <row r="2" spans="7:27" ht="13.5" thickBot="1">
      <c r="G2" s="540"/>
      <c r="Y2" s="540"/>
      <c r="Z2" s="543"/>
      <c r="AA2" s="543"/>
    </row>
    <row r="3" spans="1:27" ht="14.25" customHeight="1" thickTop="1">
      <c r="A3" s="544"/>
      <c r="B3" s="545" t="s">
        <v>635</v>
      </c>
      <c r="C3" s="546"/>
      <c r="D3" s="547"/>
      <c r="E3" s="548" t="s">
        <v>636</v>
      </c>
      <c r="F3" s="547"/>
      <c r="G3" s="545" t="s">
        <v>637</v>
      </c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5" t="s">
        <v>615</v>
      </c>
      <c r="X3" s="546"/>
      <c r="Y3" s="549"/>
      <c r="Z3" s="542"/>
      <c r="AA3" s="542"/>
    </row>
    <row r="4" spans="1:27" s="557" customFormat="1" ht="12.75">
      <c r="A4" s="550" t="s">
        <v>638</v>
      </c>
      <c r="B4" s="551" t="s">
        <v>639</v>
      </c>
      <c r="C4" s="551" t="s">
        <v>640</v>
      </c>
      <c r="D4" s="551" t="s">
        <v>641</v>
      </c>
      <c r="E4" s="551" t="s">
        <v>642</v>
      </c>
      <c r="F4" s="551" t="s">
        <v>643</v>
      </c>
      <c r="G4" s="552" t="s">
        <v>644</v>
      </c>
      <c r="H4" s="551" t="s">
        <v>645</v>
      </c>
      <c r="I4" s="551" t="s">
        <v>646</v>
      </c>
      <c r="J4" s="551" t="s">
        <v>647</v>
      </c>
      <c r="K4" s="551" t="s">
        <v>648</v>
      </c>
      <c r="L4" s="551" t="s">
        <v>649</v>
      </c>
      <c r="M4" s="551" t="s">
        <v>650</v>
      </c>
      <c r="N4" s="551" t="s">
        <v>651</v>
      </c>
      <c r="O4" s="551" t="s">
        <v>652</v>
      </c>
      <c r="P4" s="551" t="s">
        <v>309</v>
      </c>
      <c r="Q4" s="553" t="s">
        <v>653</v>
      </c>
      <c r="R4" s="551" t="s">
        <v>654</v>
      </c>
      <c r="S4" s="551" t="s">
        <v>655</v>
      </c>
      <c r="T4" s="551" t="s">
        <v>656</v>
      </c>
      <c r="U4" s="551" t="s">
        <v>657</v>
      </c>
      <c r="V4" s="554" t="s">
        <v>658</v>
      </c>
      <c r="W4" s="551" t="s">
        <v>300</v>
      </c>
      <c r="X4" s="551" t="s">
        <v>659</v>
      </c>
      <c r="Y4" s="555"/>
      <c r="Z4" s="556"/>
      <c r="AA4" s="556"/>
    </row>
    <row r="5" spans="1:28" s="557" customFormat="1" ht="12.75">
      <c r="A5" s="558" t="s">
        <v>660</v>
      </c>
      <c r="B5" s="551" t="s">
        <v>635</v>
      </c>
      <c r="C5" s="551" t="s">
        <v>661</v>
      </c>
      <c r="D5" s="559" t="s">
        <v>635</v>
      </c>
      <c r="E5" s="559" t="s">
        <v>662</v>
      </c>
      <c r="F5" s="559" t="s">
        <v>663</v>
      </c>
      <c r="G5" s="559" t="s">
        <v>513</v>
      </c>
      <c r="H5" s="559" t="s">
        <v>664</v>
      </c>
      <c r="I5" s="559" t="s">
        <v>665</v>
      </c>
      <c r="J5" s="559" t="s">
        <v>666</v>
      </c>
      <c r="K5" s="559" t="s">
        <v>667</v>
      </c>
      <c r="L5" s="551" t="s">
        <v>668</v>
      </c>
      <c r="M5" s="551" t="s">
        <v>668</v>
      </c>
      <c r="N5" s="559" t="s">
        <v>668</v>
      </c>
      <c r="O5" s="551" t="s">
        <v>668</v>
      </c>
      <c r="P5" s="551" t="s">
        <v>668</v>
      </c>
      <c r="Q5" s="553" t="s">
        <v>669</v>
      </c>
      <c r="R5" s="551" t="s">
        <v>668</v>
      </c>
      <c r="S5" s="551" t="s">
        <v>670</v>
      </c>
      <c r="T5" s="551" t="s">
        <v>671</v>
      </c>
      <c r="U5" s="551" t="s">
        <v>671</v>
      </c>
      <c r="V5" s="554" t="s">
        <v>672</v>
      </c>
      <c r="W5" s="554" t="s">
        <v>513</v>
      </c>
      <c r="X5" s="554" t="s">
        <v>673</v>
      </c>
      <c r="Y5" s="560"/>
      <c r="Z5" s="556"/>
      <c r="AA5" s="556"/>
      <c r="AB5" s="478"/>
    </row>
    <row r="6" spans="1:28" s="557" customFormat="1" ht="12.75">
      <c r="A6" s="558"/>
      <c r="B6" s="551" t="s">
        <v>674</v>
      </c>
      <c r="C6" s="551" t="s">
        <v>675</v>
      </c>
      <c r="D6" s="559" t="s">
        <v>676</v>
      </c>
      <c r="E6" s="559" t="s">
        <v>677</v>
      </c>
      <c r="F6" s="559" t="s">
        <v>678</v>
      </c>
      <c r="G6" s="559" t="s">
        <v>674</v>
      </c>
      <c r="H6" s="559" t="s">
        <v>679</v>
      </c>
      <c r="I6" s="559" t="s">
        <v>680</v>
      </c>
      <c r="J6" s="559" t="s">
        <v>681</v>
      </c>
      <c r="K6" s="559" t="s">
        <v>682</v>
      </c>
      <c r="L6" s="551" t="s">
        <v>683</v>
      </c>
      <c r="M6" s="551" t="s">
        <v>684</v>
      </c>
      <c r="N6" s="559" t="s">
        <v>680</v>
      </c>
      <c r="O6" s="551" t="s">
        <v>685</v>
      </c>
      <c r="P6" s="551" t="s">
        <v>686</v>
      </c>
      <c r="Q6" s="553" t="s">
        <v>686</v>
      </c>
      <c r="R6" s="551" t="s">
        <v>687</v>
      </c>
      <c r="S6" s="551" t="s">
        <v>688</v>
      </c>
      <c r="T6" s="551" t="s">
        <v>689</v>
      </c>
      <c r="U6" s="551" t="s">
        <v>689</v>
      </c>
      <c r="V6" s="554" t="s">
        <v>690</v>
      </c>
      <c r="W6" s="554" t="s">
        <v>301</v>
      </c>
      <c r="X6" s="554" t="s">
        <v>691</v>
      </c>
      <c r="Y6" s="560"/>
      <c r="Z6" s="556"/>
      <c r="AA6" s="556"/>
      <c r="AB6" s="478"/>
    </row>
    <row r="7" spans="1:28" s="557" customFormat="1" ht="12.75">
      <c r="A7" s="558"/>
      <c r="B7" s="551" t="s">
        <v>692</v>
      </c>
      <c r="C7" s="551" t="s">
        <v>693</v>
      </c>
      <c r="D7" s="561"/>
      <c r="E7" s="559" t="s">
        <v>694</v>
      </c>
      <c r="F7" s="559" t="s">
        <v>695</v>
      </c>
      <c r="G7" s="559" t="s">
        <v>696</v>
      </c>
      <c r="H7" s="562" t="s">
        <v>697</v>
      </c>
      <c r="I7" s="562" t="s">
        <v>343</v>
      </c>
      <c r="J7" s="559" t="s">
        <v>698</v>
      </c>
      <c r="K7" s="559" t="s">
        <v>695</v>
      </c>
      <c r="L7" s="551" t="s">
        <v>699</v>
      </c>
      <c r="M7" s="551" t="s">
        <v>700</v>
      </c>
      <c r="N7" s="559" t="s">
        <v>701</v>
      </c>
      <c r="O7" s="551"/>
      <c r="P7" s="551" t="s">
        <v>310</v>
      </c>
      <c r="Q7" s="562" t="s">
        <v>702</v>
      </c>
      <c r="R7" s="551" t="s">
        <v>703</v>
      </c>
      <c r="S7" s="551" t="s">
        <v>704</v>
      </c>
      <c r="T7" s="551" t="s">
        <v>705</v>
      </c>
      <c r="U7" s="551" t="s">
        <v>706</v>
      </c>
      <c r="V7" s="554" t="s">
        <v>707</v>
      </c>
      <c r="W7" s="554" t="s">
        <v>302</v>
      </c>
      <c r="X7" s="562" t="s">
        <v>708</v>
      </c>
      <c r="Y7" s="563" t="s">
        <v>709</v>
      </c>
      <c r="AB7" s="478"/>
    </row>
    <row r="8" spans="1:28" s="557" customFormat="1" ht="12.75">
      <c r="A8" s="564" t="s">
        <v>638</v>
      </c>
      <c r="B8" s="551"/>
      <c r="C8" s="551"/>
      <c r="D8" s="561"/>
      <c r="E8" s="551"/>
      <c r="F8" s="559" t="s">
        <v>710</v>
      </c>
      <c r="G8" s="559" t="s">
        <v>711</v>
      </c>
      <c r="H8" s="565"/>
      <c r="I8" s="562" t="s">
        <v>697</v>
      </c>
      <c r="J8" s="559" t="s">
        <v>712</v>
      </c>
      <c r="K8" s="559" t="s">
        <v>713</v>
      </c>
      <c r="L8" s="551" t="s">
        <v>714</v>
      </c>
      <c r="M8" s="551"/>
      <c r="N8" s="559" t="s">
        <v>715</v>
      </c>
      <c r="O8" s="551"/>
      <c r="P8" s="551"/>
      <c r="Q8" s="554"/>
      <c r="R8" s="551"/>
      <c r="S8" s="551"/>
      <c r="T8" s="551"/>
      <c r="U8" s="551"/>
      <c r="V8" s="554"/>
      <c r="W8" s="554" t="s">
        <v>303</v>
      </c>
      <c r="X8" s="554"/>
      <c r="Y8" s="560"/>
      <c r="AB8" s="478"/>
    </row>
    <row r="9" spans="1:28" s="557" customFormat="1" ht="12.75">
      <c r="A9" s="564"/>
      <c r="B9" s="551"/>
      <c r="C9" s="551"/>
      <c r="D9" s="561"/>
      <c r="E9" s="551"/>
      <c r="F9" s="559"/>
      <c r="G9" s="562" t="s">
        <v>344</v>
      </c>
      <c r="H9" s="565"/>
      <c r="I9" s="562"/>
      <c r="J9" s="559"/>
      <c r="K9" s="559" t="s">
        <v>345</v>
      </c>
      <c r="L9" s="551"/>
      <c r="M9" s="551"/>
      <c r="N9" s="562" t="s">
        <v>717</v>
      </c>
      <c r="O9" s="551"/>
      <c r="P9" s="551"/>
      <c r="Q9" s="554"/>
      <c r="R9" s="551"/>
      <c r="S9" s="551"/>
      <c r="T9" s="551"/>
      <c r="U9" s="551"/>
      <c r="V9" s="554"/>
      <c r="W9" s="554" t="s">
        <v>304</v>
      </c>
      <c r="X9" s="554"/>
      <c r="Y9" s="560"/>
      <c r="AB9" s="478"/>
    </row>
    <row r="10" spans="1:28" s="557" customFormat="1" ht="12" customHeight="1">
      <c r="A10" s="564" t="s">
        <v>716</v>
      </c>
      <c r="B10" s="566"/>
      <c r="C10" s="566"/>
      <c r="D10" s="567"/>
      <c r="E10" s="566"/>
      <c r="F10" s="568"/>
      <c r="G10" s="569"/>
      <c r="H10" s="570"/>
      <c r="I10" s="570"/>
      <c r="J10" s="566"/>
      <c r="K10" s="568" t="s">
        <v>346</v>
      </c>
      <c r="L10" s="566"/>
      <c r="M10" s="566"/>
      <c r="N10" s="569"/>
      <c r="O10" s="566"/>
      <c r="P10" s="566"/>
      <c r="Q10" s="569"/>
      <c r="R10" s="566"/>
      <c r="S10" s="566"/>
      <c r="T10" s="566"/>
      <c r="U10" s="566"/>
      <c r="V10" s="569"/>
      <c r="W10" s="569"/>
      <c r="X10" s="569"/>
      <c r="Y10" s="571"/>
      <c r="AB10" s="478"/>
    </row>
    <row r="11" spans="1:28" s="576" customFormat="1" ht="11.25">
      <c r="A11" s="572">
        <v>1</v>
      </c>
      <c r="B11" s="573">
        <v>2</v>
      </c>
      <c r="C11" s="573">
        <v>3</v>
      </c>
      <c r="D11" s="573">
        <v>3</v>
      </c>
      <c r="E11" s="573">
        <v>4</v>
      </c>
      <c r="F11" s="573">
        <v>5</v>
      </c>
      <c r="G11" s="573">
        <v>6</v>
      </c>
      <c r="H11" s="573">
        <v>7</v>
      </c>
      <c r="I11" s="573">
        <v>9</v>
      </c>
      <c r="J11" s="573">
        <v>10</v>
      </c>
      <c r="K11" s="573">
        <v>8</v>
      </c>
      <c r="L11" s="573">
        <v>9</v>
      </c>
      <c r="M11" s="573">
        <v>13</v>
      </c>
      <c r="N11" s="573">
        <v>10</v>
      </c>
      <c r="O11" s="573">
        <v>11</v>
      </c>
      <c r="P11" s="573">
        <v>12</v>
      </c>
      <c r="Q11" s="573">
        <v>13</v>
      </c>
      <c r="R11" s="573">
        <v>14</v>
      </c>
      <c r="S11" s="573">
        <v>18</v>
      </c>
      <c r="T11" s="573">
        <v>15</v>
      </c>
      <c r="U11" s="573">
        <v>16</v>
      </c>
      <c r="V11" s="573">
        <v>21</v>
      </c>
      <c r="W11" s="573">
        <v>17</v>
      </c>
      <c r="X11" s="573">
        <v>23</v>
      </c>
      <c r="Y11" s="574">
        <v>18</v>
      </c>
      <c r="Z11" s="575"/>
      <c r="AB11" s="577"/>
    </row>
    <row r="12" spans="1:28" s="585" customFormat="1" ht="18" customHeight="1">
      <c r="A12" s="582" t="s">
        <v>523</v>
      </c>
      <c r="B12" s="583">
        <f>B13+B312+B331+B567</f>
        <v>23200</v>
      </c>
      <c r="C12" s="583"/>
      <c r="D12" s="583">
        <f aca="true" t="shared" si="0" ref="D12:W12">D13+D312+D331+D567</f>
        <v>39153</v>
      </c>
      <c r="E12" s="583">
        <f t="shared" si="0"/>
        <v>3436</v>
      </c>
      <c r="F12" s="583">
        <f t="shared" si="0"/>
        <v>929</v>
      </c>
      <c r="G12" s="583">
        <f t="shared" si="0"/>
        <v>4900</v>
      </c>
      <c r="H12" s="583">
        <f t="shared" si="0"/>
        <v>13502</v>
      </c>
      <c r="I12" s="583">
        <f t="shared" si="0"/>
        <v>0</v>
      </c>
      <c r="J12" s="583">
        <f t="shared" si="0"/>
        <v>0</v>
      </c>
      <c r="K12" s="583">
        <f t="shared" si="0"/>
        <v>0</v>
      </c>
      <c r="L12" s="583">
        <f t="shared" si="0"/>
        <v>41761</v>
      </c>
      <c r="M12" s="583">
        <f t="shared" si="0"/>
        <v>0</v>
      </c>
      <c r="N12" s="583">
        <f t="shared" si="0"/>
        <v>42526</v>
      </c>
      <c r="O12" s="583">
        <f t="shared" si="0"/>
        <v>142434</v>
      </c>
      <c r="P12" s="583">
        <f t="shared" si="0"/>
        <v>-4900</v>
      </c>
      <c r="Q12" s="583">
        <f t="shared" si="0"/>
        <v>530</v>
      </c>
      <c r="R12" s="583">
        <f t="shared" si="0"/>
        <v>30366</v>
      </c>
      <c r="S12" s="583">
        <f t="shared" si="0"/>
        <v>0</v>
      </c>
      <c r="T12" s="583">
        <f t="shared" si="0"/>
        <v>1246</v>
      </c>
      <c r="U12" s="583">
        <f t="shared" si="0"/>
        <v>6000</v>
      </c>
      <c r="V12" s="583">
        <f t="shared" si="0"/>
        <v>0</v>
      </c>
      <c r="W12" s="583">
        <f t="shared" si="0"/>
        <v>5500</v>
      </c>
      <c r="X12" s="583"/>
      <c r="Y12" s="580">
        <f aca="true" t="shared" si="1" ref="Y12:Y112">SUM(B12:X12)</f>
        <v>350583</v>
      </c>
      <c r="Z12" s="584"/>
      <c r="AA12" s="584"/>
      <c r="AB12" s="478"/>
    </row>
    <row r="13" spans="1:28" s="557" customFormat="1" ht="22.5" customHeight="1" thickBot="1">
      <c r="A13" s="578" t="s">
        <v>347</v>
      </c>
      <c r="B13" s="579">
        <f aca="true" t="shared" si="2" ref="B13:W13">B14+B90+B111+B116+B118+B186+B206+B211+B239+B264+B284+B307</f>
        <v>23200</v>
      </c>
      <c r="C13" s="579">
        <f t="shared" si="2"/>
        <v>0</v>
      </c>
      <c r="D13" s="579">
        <f t="shared" si="2"/>
        <v>0</v>
      </c>
      <c r="E13" s="579">
        <f t="shared" si="2"/>
        <v>3600</v>
      </c>
      <c r="F13" s="579">
        <f t="shared" si="2"/>
        <v>950</v>
      </c>
      <c r="G13" s="579">
        <f t="shared" si="2"/>
        <v>3900</v>
      </c>
      <c r="H13" s="579">
        <f t="shared" si="2"/>
        <v>0</v>
      </c>
      <c r="I13" s="579">
        <f t="shared" si="2"/>
        <v>0</v>
      </c>
      <c r="J13" s="579">
        <f t="shared" si="2"/>
        <v>0</v>
      </c>
      <c r="K13" s="579">
        <f t="shared" si="2"/>
        <v>0</v>
      </c>
      <c r="L13" s="579">
        <f t="shared" si="2"/>
        <v>34520</v>
      </c>
      <c r="M13" s="579">
        <f t="shared" si="2"/>
        <v>0</v>
      </c>
      <c r="N13" s="579">
        <f t="shared" si="2"/>
        <v>42526</v>
      </c>
      <c r="O13" s="579">
        <f t="shared" si="2"/>
        <v>142434</v>
      </c>
      <c r="P13" s="579">
        <f t="shared" si="2"/>
        <v>-4900</v>
      </c>
      <c r="Q13" s="579">
        <f t="shared" si="2"/>
        <v>530</v>
      </c>
      <c r="R13" s="579">
        <f t="shared" si="2"/>
        <v>66575</v>
      </c>
      <c r="S13" s="579">
        <f t="shared" si="2"/>
        <v>0</v>
      </c>
      <c r="T13" s="579">
        <f t="shared" si="2"/>
        <v>1246</v>
      </c>
      <c r="U13" s="579">
        <f t="shared" si="2"/>
        <v>6000</v>
      </c>
      <c r="V13" s="579">
        <f t="shared" si="2"/>
        <v>0</v>
      </c>
      <c r="W13" s="579">
        <f t="shared" si="2"/>
        <v>5500</v>
      </c>
      <c r="X13" s="579"/>
      <c r="Y13" s="580">
        <f t="shared" si="1"/>
        <v>326081</v>
      </c>
      <c r="Z13" s="581"/>
      <c r="AA13" s="581"/>
      <c r="AB13" s="478"/>
    </row>
    <row r="14" spans="1:29" s="557" customFormat="1" ht="18" customHeight="1" thickBot="1">
      <c r="A14" s="586" t="s">
        <v>718</v>
      </c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>
        <f>SUM(N22:N52)</f>
        <v>43101</v>
      </c>
      <c r="O14" s="587">
        <f>SUM(O22:O43)</f>
        <v>40000</v>
      </c>
      <c r="P14" s="587">
        <f>SUM(P22:P43)</f>
        <v>2500</v>
      </c>
      <c r="Q14" s="587"/>
      <c r="R14" s="587">
        <f>SUM(R22:R43)</f>
        <v>-2500</v>
      </c>
      <c r="S14" s="587"/>
      <c r="T14" s="587"/>
      <c r="U14" s="587"/>
      <c r="V14" s="587"/>
      <c r="W14" s="587"/>
      <c r="X14" s="587"/>
      <c r="Y14" s="580">
        <f t="shared" si="1"/>
        <v>83101</v>
      </c>
      <c r="Z14" s="588"/>
      <c r="AA14" s="588"/>
      <c r="AB14" s="588"/>
      <c r="AC14" s="588"/>
    </row>
    <row r="15" spans="1:29" s="557" customFormat="1" ht="18" customHeight="1" hidden="1">
      <c r="A15" s="589" t="s">
        <v>719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80">
        <f t="shared" si="1"/>
        <v>0</v>
      </c>
      <c r="Z15" s="581"/>
      <c r="AA15" s="581"/>
      <c r="AB15" s="584"/>
      <c r="AC15" s="591"/>
    </row>
    <row r="16" spans="1:29" s="557" customFormat="1" ht="18" customHeight="1" hidden="1">
      <c r="A16" s="589" t="s">
        <v>720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80">
        <f t="shared" si="1"/>
        <v>0</v>
      </c>
      <c r="Z16" s="581"/>
      <c r="AA16" s="581"/>
      <c r="AB16" s="584"/>
      <c r="AC16" s="591"/>
    </row>
    <row r="17" spans="1:29" s="557" customFormat="1" ht="18" customHeight="1" hidden="1">
      <c r="A17" s="589" t="s">
        <v>721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80">
        <f t="shared" si="1"/>
        <v>0</v>
      </c>
      <c r="Z17" s="581"/>
      <c r="AA17" s="581"/>
      <c r="AB17" s="584"/>
      <c r="AC17" s="591"/>
    </row>
    <row r="18" spans="1:29" s="557" customFormat="1" ht="18" customHeight="1" hidden="1">
      <c r="A18" s="589" t="s">
        <v>722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80">
        <f t="shared" si="1"/>
        <v>0</v>
      </c>
      <c r="Z18" s="581"/>
      <c r="AA18" s="581"/>
      <c r="AB18" s="584"/>
      <c r="AC18" s="591"/>
    </row>
    <row r="19" spans="1:29" s="557" customFormat="1" ht="18" customHeight="1" hidden="1">
      <c r="A19" s="589" t="s">
        <v>723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80">
        <f t="shared" si="1"/>
        <v>0</v>
      </c>
      <c r="Z19" s="581"/>
      <c r="AA19" s="581"/>
      <c r="AB19" s="584"/>
      <c r="AC19" s="591"/>
    </row>
    <row r="20" spans="1:29" s="557" customFormat="1" ht="18" customHeight="1" hidden="1">
      <c r="A20" s="589" t="s">
        <v>724</v>
      </c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580">
        <f t="shared" si="1"/>
        <v>0</v>
      </c>
      <c r="Z20" s="581"/>
      <c r="AA20" s="581"/>
      <c r="AB20" s="584"/>
      <c r="AC20" s="591"/>
    </row>
    <row r="21" spans="1:29" ht="18" customHeight="1" hidden="1">
      <c r="A21" s="589" t="s">
        <v>725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80">
        <f t="shared" si="1"/>
        <v>0</v>
      </c>
      <c r="Z21" s="581"/>
      <c r="AA21" s="581"/>
      <c r="AB21" s="584"/>
      <c r="AC21" s="592"/>
    </row>
    <row r="22" spans="1:29" ht="18" customHeight="1">
      <c r="A22" s="589" t="s">
        <v>726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>
        <v>10000</v>
      </c>
      <c r="P22" s="590"/>
      <c r="Q22" s="590"/>
      <c r="R22" s="590"/>
      <c r="S22" s="590"/>
      <c r="T22" s="590"/>
      <c r="U22" s="590"/>
      <c r="V22" s="590"/>
      <c r="W22" s="590"/>
      <c r="X22" s="590"/>
      <c r="Y22" s="580">
        <f t="shared" si="1"/>
        <v>10000</v>
      </c>
      <c r="Z22" s="581"/>
      <c r="AA22" s="581"/>
      <c r="AB22" s="584"/>
      <c r="AC22" s="592"/>
    </row>
    <row r="23" spans="1:29" ht="18" customHeight="1" hidden="1">
      <c r="A23" s="589" t="s">
        <v>727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80">
        <f t="shared" si="1"/>
        <v>0</v>
      </c>
      <c r="Z23" s="581"/>
      <c r="AA23" s="581"/>
      <c r="AB23" s="584"/>
      <c r="AC23" s="592"/>
    </row>
    <row r="24" spans="1:29" ht="18" customHeight="1" hidden="1">
      <c r="A24" s="589" t="s">
        <v>728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80">
        <f t="shared" si="1"/>
        <v>0</v>
      </c>
      <c r="Z24" s="581"/>
      <c r="AA24" s="581"/>
      <c r="AB24" s="584"/>
      <c r="AC24" s="592"/>
    </row>
    <row r="25" spans="1:29" ht="18" customHeight="1" hidden="1">
      <c r="A25" s="589" t="s">
        <v>729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80">
        <f t="shared" si="1"/>
        <v>0</v>
      </c>
      <c r="Z25" s="581"/>
      <c r="AA25" s="581"/>
      <c r="AB25" s="584"/>
      <c r="AC25" s="592"/>
    </row>
    <row r="26" spans="1:29" ht="18" customHeight="1" hidden="1">
      <c r="A26" s="589" t="s">
        <v>730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80">
        <f t="shared" si="1"/>
        <v>0</v>
      </c>
      <c r="Z26" s="581"/>
      <c r="AA26" s="581"/>
      <c r="AB26" s="584"/>
      <c r="AC26" s="592"/>
    </row>
    <row r="27" spans="1:29" ht="18" customHeight="1" hidden="1">
      <c r="A27" s="589" t="s">
        <v>731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590"/>
      <c r="Y27" s="580">
        <f t="shared" si="1"/>
        <v>0</v>
      </c>
      <c r="Z27" s="581"/>
      <c r="AA27" s="581"/>
      <c r="AB27" s="584"/>
      <c r="AC27" s="592"/>
    </row>
    <row r="28" spans="1:29" ht="18" customHeight="1" hidden="1">
      <c r="A28" s="589" t="s">
        <v>732</v>
      </c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80">
        <f t="shared" si="1"/>
        <v>0</v>
      </c>
      <c r="Z28" s="581"/>
      <c r="AA28" s="581"/>
      <c r="AB28" s="584"/>
      <c r="AC28" s="592"/>
    </row>
    <row r="29" spans="1:29" ht="18" customHeight="1" hidden="1">
      <c r="A29" s="589" t="s">
        <v>733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80">
        <f t="shared" si="1"/>
        <v>0</v>
      </c>
      <c r="Z29" s="581"/>
      <c r="AA29" s="581"/>
      <c r="AB29" s="584"/>
      <c r="AC29" s="592"/>
    </row>
    <row r="30" spans="1:29" ht="18" customHeight="1" hidden="1">
      <c r="A30" s="589" t="s">
        <v>734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80">
        <f t="shared" si="1"/>
        <v>0</v>
      </c>
      <c r="Z30" s="581"/>
      <c r="AA30" s="581"/>
      <c r="AB30" s="584"/>
      <c r="AC30" s="592"/>
    </row>
    <row r="31" spans="1:29" ht="18" customHeight="1" hidden="1">
      <c r="A31" s="589" t="s">
        <v>735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80">
        <f t="shared" si="1"/>
        <v>0</v>
      </c>
      <c r="Z31" s="581"/>
      <c r="AA31" s="581"/>
      <c r="AB31" s="584"/>
      <c r="AC31" s="592"/>
    </row>
    <row r="32" spans="1:29" ht="18" customHeight="1">
      <c r="A32" s="589" t="s">
        <v>736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>
        <v>2500</v>
      </c>
      <c r="Q32" s="590"/>
      <c r="R32" s="590">
        <v>-2500</v>
      </c>
      <c r="S32" s="590"/>
      <c r="T32" s="590"/>
      <c r="U32" s="590"/>
      <c r="V32" s="590"/>
      <c r="W32" s="590"/>
      <c r="X32" s="590"/>
      <c r="Y32" s="580">
        <f t="shared" si="1"/>
        <v>0</v>
      </c>
      <c r="Z32" s="581"/>
      <c r="AA32" s="581"/>
      <c r="AB32" s="584"/>
      <c r="AC32" s="592"/>
    </row>
    <row r="33" spans="1:29" ht="18" customHeight="1" hidden="1">
      <c r="A33" s="589" t="s">
        <v>737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80">
        <f t="shared" si="1"/>
        <v>0</v>
      </c>
      <c r="Z33" s="581"/>
      <c r="AA33" s="581"/>
      <c r="AB33" s="584"/>
      <c r="AC33" s="592"/>
    </row>
    <row r="34" spans="1:29" ht="18" customHeight="1" hidden="1">
      <c r="A34" s="589" t="s">
        <v>738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80">
        <f t="shared" si="1"/>
        <v>0</v>
      </c>
      <c r="Z34" s="581"/>
      <c r="AA34" s="581"/>
      <c r="AB34" s="584"/>
      <c r="AC34" s="592"/>
    </row>
    <row r="35" spans="1:29" ht="18" customHeight="1" hidden="1">
      <c r="A35" s="589" t="s">
        <v>739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80">
        <f t="shared" si="1"/>
        <v>0</v>
      </c>
      <c r="Z35" s="581"/>
      <c r="AA35" s="581"/>
      <c r="AB35" s="584"/>
      <c r="AC35" s="592"/>
    </row>
    <row r="36" spans="1:29" ht="18" customHeight="1" hidden="1">
      <c r="A36" s="589" t="s">
        <v>740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80">
        <f t="shared" si="1"/>
        <v>0</v>
      </c>
      <c r="Z36" s="581"/>
      <c r="AA36" s="581"/>
      <c r="AB36" s="584"/>
      <c r="AC36" s="592"/>
    </row>
    <row r="37" spans="1:29" ht="18" customHeight="1" hidden="1">
      <c r="A37" s="589" t="s">
        <v>741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80">
        <f t="shared" si="1"/>
        <v>0</v>
      </c>
      <c r="Z37" s="581"/>
      <c r="AA37" s="581"/>
      <c r="AB37" s="584"/>
      <c r="AC37" s="592"/>
    </row>
    <row r="38" spans="1:29" ht="18" customHeight="1" hidden="1">
      <c r="A38" s="589" t="s">
        <v>742</v>
      </c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80">
        <f t="shared" si="1"/>
        <v>0</v>
      </c>
      <c r="Z38" s="581"/>
      <c r="AA38" s="581"/>
      <c r="AB38" s="584"/>
      <c r="AC38" s="592"/>
    </row>
    <row r="39" spans="1:29" ht="18" customHeight="1" hidden="1">
      <c r="A39" s="589" t="s">
        <v>746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80">
        <f t="shared" si="1"/>
        <v>0</v>
      </c>
      <c r="Z39" s="581"/>
      <c r="AA39" s="581"/>
      <c r="AB39" s="584"/>
      <c r="AC39" s="592"/>
    </row>
    <row r="40" spans="1:29" ht="18" customHeight="1" hidden="1">
      <c r="A40" s="589" t="s">
        <v>747</v>
      </c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80">
        <f t="shared" si="1"/>
        <v>0</v>
      </c>
      <c r="Z40" s="581"/>
      <c r="AA40" s="581"/>
      <c r="AB40" s="584"/>
      <c r="AC40" s="592"/>
    </row>
    <row r="41" spans="1:29" ht="18" customHeight="1" hidden="1">
      <c r="A41" s="589" t="s">
        <v>748</v>
      </c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80">
        <f t="shared" si="1"/>
        <v>0</v>
      </c>
      <c r="Z41" s="581"/>
      <c r="AA41" s="581"/>
      <c r="AB41" s="584"/>
      <c r="AC41" s="592"/>
    </row>
    <row r="42" spans="1:29" ht="18" customHeight="1">
      <c r="A42" s="589" t="s">
        <v>749</v>
      </c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>
        <v>30000</v>
      </c>
      <c r="P42" s="590"/>
      <c r="Q42" s="590"/>
      <c r="R42" s="590"/>
      <c r="S42" s="590"/>
      <c r="T42" s="590"/>
      <c r="U42" s="590"/>
      <c r="V42" s="590"/>
      <c r="W42" s="590"/>
      <c r="X42" s="590"/>
      <c r="Y42" s="580">
        <f t="shared" si="1"/>
        <v>30000</v>
      </c>
      <c r="Z42" s="581"/>
      <c r="AA42" s="581"/>
      <c r="AB42" s="584"/>
      <c r="AC42" s="592"/>
    </row>
    <row r="43" spans="1:29" ht="18" customHeight="1">
      <c r="A43" s="589" t="s">
        <v>750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80">
        <f t="shared" si="1"/>
        <v>0</v>
      </c>
      <c r="Z43" s="581"/>
      <c r="AA43" s="581"/>
      <c r="AB43" s="584"/>
      <c r="AC43" s="592"/>
    </row>
    <row r="44" spans="1:29" ht="18" customHeight="1" hidden="1">
      <c r="A44" s="589" t="s">
        <v>751</v>
      </c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80">
        <f t="shared" si="1"/>
        <v>0</v>
      </c>
      <c r="Z44" s="581"/>
      <c r="AA44" s="581"/>
      <c r="AB44" s="592"/>
      <c r="AC44" s="592"/>
    </row>
    <row r="45" spans="1:29" ht="18" customHeight="1" hidden="1">
      <c r="A45" s="589" t="s">
        <v>78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80">
        <f t="shared" si="1"/>
        <v>0</v>
      </c>
      <c r="Z45" s="581"/>
      <c r="AA45" s="581"/>
      <c r="AB45" s="584"/>
      <c r="AC45" s="592"/>
    </row>
    <row r="46" spans="1:29" s="557" customFormat="1" ht="18" customHeight="1" hidden="1">
      <c r="A46" s="589" t="s">
        <v>767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80">
        <f t="shared" si="1"/>
        <v>0</v>
      </c>
      <c r="Z46" s="581"/>
      <c r="AA46" s="581"/>
      <c r="AB46" s="584"/>
      <c r="AC46" s="591"/>
    </row>
    <row r="47" spans="1:29" ht="18" customHeight="1" hidden="1">
      <c r="A47" s="589" t="s">
        <v>79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80">
        <f t="shared" si="1"/>
        <v>0</v>
      </c>
      <c r="Z47" s="581"/>
      <c r="AA47" s="581"/>
      <c r="AB47" s="584"/>
      <c r="AC47" s="592"/>
    </row>
    <row r="48" spans="1:29" ht="18" customHeight="1" hidden="1">
      <c r="A48" s="589" t="s">
        <v>768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80">
        <f t="shared" si="1"/>
        <v>0</v>
      </c>
      <c r="Z48" s="581"/>
      <c r="AA48" s="581"/>
      <c r="AB48" s="584"/>
      <c r="AC48" s="592"/>
    </row>
    <row r="49" spans="1:29" ht="18" customHeight="1" hidden="1">
      <c r="A49" s="589" t="s">
        <v>80</v>
      </c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80">
        <f t="shared" si="1"/>
        <v>0</v>
      </c>
      <c r="Z49" s="581"/>
      <c r="AA49" s="581"/>
      <c r="AB49" s="584"/>
      <c r="AC49" s="592"/>
    </row>
    <row r="50" spans="1:29" ht="18" customHeight="1" hidden="1">
      <c r="A50" s="589" t="s">
        <v>754</v>
      </c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0"/>
      <c r="Y50" s="580">
        <f t="shared" si="1"/>
        <v>0</v>
      </c>
      <c r="Z50" s="581"/>
      <c r="AA50" s="581"/>
      <c r="AB50" s="584"/>
      <c r="AC50" s="592"/>
    </row>
    <row r="51" spans="1:29" ht="18" customHeight="1" hidden="1" thickBot="1">
      <c r="A51" s="589" t="s">
        <v>348</v>
      </c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80">
        <f t="shared" si="1"/>
        <v>0</v>
      </c>
      <c r="Z51" s="581"/>
      <c r="AA51" s="581"/>
      <c r="AB51" s="592"/>
      <c r="AC51" s="592"/>
    </row>
    <row r="52" spans="1:29" s="823" customFormat="1" ht="18" customHeight="1">
      <c r="A52" s="785" t="s">
        <v>229</v>
      </c>
      <c r="B52" s="786"/>
      <c r="C52" s="786"/>
      <c r="D52" s="786"/>
      <c r="E52" s="786"/>
      <c r="F52" s="786"/>
      <c r="G52" s="786"/>
      <c r="H52" s="786"/>
      <c r="I52" s="786"/>
      <c r="J52" s="786"/>
      <c r="K52" s="786"/>
      <c r="L52" s="786"/>
      <c r="M52" s="786"/>
      <c r="N52" s="786">
        <f>SUM(N53:N89)</f>
        <v>43101</v>
      </c>
      <c r="O52" s="786"/>
      <c r="P52" s="786"/>
      <c r="Q52" s="786"/>
      <c r="R52" s="786"/>
      <c r="S52" s="786"/>
      <c r="T52" s="786"/>
      <c r="U52" s="786"/>
      <c r="V52" s="786"/>
      <c r="W52" s="786"/>
      <c r="X52" s="786"/>
      <c r="Y52" s="670">
        <f t="shared" si="1"/>
        <v>43101</v>
      </c>
      <c r="Z52" s="787"/>
      <c r="AA52" s="787"/>
      <c r="AB52" s="788"/>
      <c r="AC52" s="788"/>
    </row>
    <row r="53" spans="1:29" ht="18" customHeight="1">
      <c r="A53" s="589" t="s">
        <v>719</v>
      </c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>
        <v>2720</v>
      </c>
      <c r="O53" s="590"/>
      <c r="P53" s="590"/>
      <c r="Q53" s="590"/>
      <c r="R53" s="590"/>
      <c r="S53" s="590"/>
      <c r="T53" s="590"/>
      <c r="U53" s="590"/>
      <c r="V53" s="590"/>
      <c r="W53" s="590"/>
      <c r="X53" s="822"/>
      <c r="Y53" s="580">
        <f t="shared" si="1"/>
        <v>2720</v>
      </c>
      <c r="Z53" s="581"/>
      <c r="AA53" s="581"/>
      <c r="AB53" s="592"/>
      <c r="AC53" s="592"/>
    </row>
    <row r="54" spans="1:29" ht="18" customHeight="1">
      <c r="A54" s="589" t="s">
        <v>720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>
        <v>952</v>
      </c>
      <c r="O54" s="590"/>
      <c r="P54" s="590"/>
      <c r="Q54" s="590"/>
      <c r="R54" s="590"/>
      <c r="S54" s="590"/>
      <c r="T54" s="590"/>
      <c r="U54" s="590"/>
      <c r="V54" s="590"/>
      <c r="W54" s="590"/>
      <c r="X54" s="822"/>
      <c r="Y54" s="580">
        <f t="shared" si="1"/>
        <v>952</v>
      </c>
      <c r="Z54" s="581"/>
      <c r="AA54" s="581"/>
      <c r="AB54" s="592"/>
      <c r="AC54" s="592"/>
    </row>
    <row r="55" spans="1:29" ht="18" customHeight="1">
      <c r="A55" s="589" t="s">
        <v>721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>
        <v>884</v>
      </c>
      <c r="O55" s="590"/>
      <c r="P55" s="590"/>
      <c r="Q55" s="590"/>
      <c r="R55" s="590"/>
      <c r="S55" s="590"/>
      <c r="T55" s="590"/>
      <c r="U55" s="590"/>
      <c r="V55" s="590"/>
      <c r="W55" s="590"/>
      <c r="X55" s="822"/>
      <c r="Y55" s="580">
        <f t="shared" si="1"/>
        <v>884</v>
      </c>
      <c r="Z55" s="581"/>
      <c r="AA55" s="581"/>
      <c r="AB55" s="592"/>
      <c r="AC55" s="592"/>
    </row>
    <row r="56" spans="1:29" ht="18" customHeight="1">
      <c r="A56" s="589" t="s">
        <v>722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>
        <v>952</v>
      </c>
      <c r="O56" s="590"/>
      <c r="P56" s="590"/>
      <c r="Q56" s="590"/>
      <c r="R56" s="590"/>
      <c r="S56" s="590"/>
      <c r="T56" s="590"/>
      <c r="U56" s="590"/>
      <c r="V56" s="590"/>
      <c r="W56" s="590"/>
      <c r="X56" s="822"/>
      <c r="Y56" s="580">
        <f t="shared" si="1"/>
        <v>952</v>
      </c>
      <c r="Z56" s="581"/>
      <c r="AA56" s="581"/>
      <c r="AB56" s="592"/>
      <c r="AC56" s="592"/>
    </row>
    <row r="57" spans="1:29" ht="18" customHeight="1">
      <c r="A57" s="589" t="s">
        <v>723</v>
      </c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>
        <v>816</v>
      </c>
      <c r="O57" s="590"/>
      <c r="P57" s="590"/>
      <c r="Q57" s="590"/>
      <c r="R57" s="590"/>
      <c r="S57" s="590"/>
      <c r="T57" s="590"/>
      <c r="U57" s="590"/>
      <c r="V57" s="590"/>
      <c r="W57" s="590"/>
      <c r="X57" s="822"/>
      <c r="Y57" s="580">
        <f t="shared" si="1"/>
        <v>816</v>
      </c>
      <c r="Z57" s="581"/>
      <c r="AA57" s="581"/>
      <c r="AB57" s="592"/>
      <c r="AC57" s="592"/>
    </row>
    <row r="58" spans="1:29" ht="18" customHeight="1">
      <c r="A58" s="589" t="s">
        <v>724</v>
      </c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>
        <v>1020</v>
      </c>
      <c r="O58" s="590"/>
      <c r="P58" s="590"/>
      <c r="Q58" s="590"/>
      <c r="R58" s="590"/>
      <c r="S58" s="590"/>
      <c r="T58" s="590"/>
      <c r="U58" s="590"/>
      <c r="V58" s="590"/>
      <c r="W58" s="590"/>
      <c r="X58" s="822"/>
      <c r="Y58" s="580">
        <f t="shared" si="1"/>
        <v>1020</v>
      </c>
      <c r="Z58" s="581"/>
      <c r="AA58" s="581"/>
      <c r="AB58" s="592"/>
      <c r="AC58" s="592"/>
    </row>
    <row r="59" spans="1:29" ht="18" customHeight="1">
      <c r="A59" s="589" t="s">
        <v>725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>
        <v>1020</v>
      </c>
      <c r="O59" s="590"/>
      <c r="P59" s="590"/>
      <c r="Q59" s="590"/>
      <c r="R59" s="590"/>
      <c r="S59" s="590"/>
      <c r="T59" s="590"/>
      <c r="U59" s="590"/>
      <c r="V59" s="590"/>
      <c r="W59" s="590"/>
      <c r="X59" s="822"/>
      <c r="Y59" s="580">
        <f t="shared" si="1"/>
        <v>1020</v>
      </c>
      <c r="Z59" s="581"/>
      <c r="AA59" s="581"/>
      <c r="AB59" s="592"/>
      <c r="AC59" s="592"/>
    </row>
    <row r="60" spans="1:29" ht="18" customHeight="1">
      <c r="A60" s="589" t="s">
        <v>726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>
        <v>1700</v>
      </c>
      <c r="O60" s="590"/>
      <c r="P60" s="590"/>
      <c r="Q60" s="590"/>
      <c r="R60" s="590"/>
      <c r="S60" s="590"/>
      <c r="T60" s="590"/>
      <c r="U60" s="590"/>
      <c r="V60" s="590"/>
      <c r="W60" s="590"/>
      <c r="X60" s="822"/>
      <c r="Y60" s="580">
        <f t="shared" si="1"/>
        <v>1700</v>
      </c>
      <c r="Z60" s="581"/>
      <c r="AA60" s="581"/>
      <c r="AB60" s="592"/>
      <c r="AC60" s="592"/>
    </row>
    <row r="61" spans="1:29" ht="18" customHeight="1">
      <c r="A61" s="589" t="s">
        <v>727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>
        <v>816</v>
      </c>
      <c r="O61" s="590"/>
      <c r="P61" s="590"/>
      <c r="Q61" s="590"/>
      <c r="R61" s="590"/>
      <c r="S61" s="590"/>
      <c r="T61" s="590"/>
      <c r="U61" s="590"/>
      <c r="V61" s="590"/>
      <c r="W61" s="590"/>
      <c r="X61" s="822"/>
      <c r="Y61" s="580">
        <f t="shared" si="1"/>
        <v>816</v>
      </c>
      <c r="Z61" s="581"/>
      <c r="AA61" s="581"/>
      <c r="AB61" s="592"/>
      <c r="AC61" s="592"/>
    </row>
    <row r="62" spans="1:29" ht="18" customHeight="1">
      <c r="A62" s="589" t="s">
        <v>728</v>
      </c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>
        <v>2312</v>
      </c>
      <c r="O62" s="590"/>
      <c r="P62" s="590"/>
      <c r="Q62" s="590"/>
      <c r="R62" s="590"/>
      <c r="S62" s="590"/>
      <c r="T62" s="590"/>
      <c r="U62" s="590"/>
      <c r="V62" s="590"/>
      <c r="W62" s="590"/>
      <c r="X62" s="822"/>
      <c r="Y62" s="580">
        <f t="shared" si="1"/>
        <v>2312</v>
      </c>
      <c r="Z62" s="581"/>
      <c r="AA62" s="581"/>
      <c r="AB62" s="592"/>
      <c r="AC62" s="592"/>
    </row>
    <row r="63" spans="1:29" ht="18" customHeight="1">
      <c r="A63" s="589" t="s">
        <v>729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>
        <v>2777</v>
      </c>
      <c r="O63" s="590"/>
      <c r="P63" s="590"/>
      <c r="Q63" s="590"/>
      <c r="R63" s="590"/>
      <c r="S63" s="590"/>
      <c r="T63" s="590"/>
      <c r="U63" s="590"/>
      <c r="V63" s="590"/>
      <c r="W63" s="590"/>
      <c r="X63" s="822"/>
      <c r="Y63" s="580">
        <f t="shared" si="1"/>
        <v>2777</v>
      </c>
      <c r="Z63" s="581"/>
      <c r="AA63" s="581"/>
      <c r="AB63" s="592"/>
      <c r="AC63" s="592"/>
    </row>
    <row r="64" spans="1:29" ht="18" customHeight="1">
      <c r="A64" s="589" t="s">
        <v>730</v>
      </c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>
        <v>680</v>
      </c>
      <c r="O64" s="590"/>
      <c r="P64" s="590"/>
      <c r="Q64" s="590"/>
      <c r="R64" s="590"/>
      <c r="S64" s="590"/>
      <c r="T64" s="590"/>
      <c r="U64" s="590"/>
      <c r="V64" s="590"/>
      <c r="W64" s="590"/>
      <c r="X64" s="822"/>
      <c r="Y64" s="580">
        <f t="shared" si="1"/>
        <v>680</v>
      </c>
      <c r="Z64" s="581"/>
      <c r="AA64" s="581"/>
      <c r="AB64" s="592"/>
      <c r="AC64" s="592"/>
    </row>
    <row r="65" spans="1:29" ht="18" customHeight="1">
      <c r="A65" s="589" t="s">
        <v>731</v>
      </c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>
        <v>2040</v>
      </c>
      <c r="O65" s="590"/>
      <c r="P65" s="590"/>
      <c r="Q65" s="590"/>
      <c r="R65" s="590"/>
      <c r="S65" s="590"/>
      <c r="T65" s="590"/>
      <c r="U65" s="590"/>
      <c r="V65" s="590"/>
      <c r="W65" s="590"/>
      <c r="X65" s="822"/>
      <c r="Y65" s="580">
        <f t="shared" si="1"/>
        <v>2040</v>
      </c>
      <c r="Z65" s="581"/>
      <c r="AA65" s="581"/>
      <c r="AB65" s="592"/>
      <c r="AC65" s="592"/>
    </row>
    <row r="66" spans="1:29" ht="18" customHeight="1">
      <c r="A66" s="589" t="s">
        <v>732</v>
      </c>
      <c r="B66" s="590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  <c r="N66" s="590">
        <v>1360</v>
      </c>
      <c r="O66" s="590"/>
      <c r="P66" s="590"/>
      <c r="Q66" s="590"/>
      <c r="R66" s="590"/>
      <c r="S66" s="590"/>
      <c r="T66" s="590"/>
      <c r="U66" s="590"/>
      <c r="V66" s="590"/>
      <c r="W66" s="590"/>
      <c r="X66" s="822"/>
      <c r="Y66" s="580">
        <f t="shared" si="1"/>
        <v>1360</v>
      </c>
      <c r="Z66" s="581"/>
      <c r="AA66" s="581"/>
      <c r="AB66" s="592"/>
      <c r="AC66" s="592"/>
    </row>
    <row r="67" spans="1:29" ht="18" customHeight="1">
      <c r="A67" s="589" t="s">
        <v>733</v>
      </c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>
        <v>476</v>
      </c>
      <c r="O67" s="590"/>
      <c r="P67" s="590"/>
      <c r="Q67" s="590"/>
      <c r="R67" s="590"/>
      <c r="S67" s="590"/>
      <c r="T67" s="590"/>
      <c r="U67" s="590"/>
      <c r="V67" s="590"/>
      <c r="W67" s="590"/>
      <c r="X67" s="822"/>
      <c r="Y67" s="580">
        <f t="shared" si="1"/>
        <v>476</v>
      </c>
      <c r="Z67" s="581"/>
      <c r="AA67" s="581"/>
      <c r="AB67" s="592"/>
      <c r="AC67" s="592"/>
    </row>
    <row r="68" spans="1:29" ht="18" customHeight="1">
      <c r="A68" s="589" t="s">
        <v>734</v>
      </c>
      <c r="B68" s="590"/>
      <c r="C68" s="590"/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>
        <v>3400</v>
      </c>
      <c r="O68" s="590"/>
      <c r="P68" s="590"/>
      <c r="Q68" s="590"/>
      <c r="R68" s="590"/>
      <c r="S68" s="590"/>
      <c r="T68" s="590"/>
      <c r="U68" s="590"/>
      <c r="V68" s="590"/>
      <c r="W68" s="590"/>
      <c r="X68" s="822"/>
      <c r="Y68" s="580">
        <f t="shared" si="1"/>
        <v>3400</v>
      </c>
      <c r="Z68" s="581"/>
      <c r="AA68" s="581"/>
      <c r="AB68" s="592"/>
      <c r="AC68" s="592"/>
    </row>
    <row r="69" spans="1:29" ht="18" customHeight="1">
      <c r="A69" s="589" t="s">
        <v>735</v>
      </c>
      <c r="B69" s="590"/>
      <c r="C69" s="590"/>
      <c r="D69" s="590"/>
      <c r="E69" s="590"/>
      <c r="F69" s="590"/>
      <c r="G69" s="590"/>
      <c r="H69" s="590"/>
      <c r="I69" s="590"/>
      <c r="J69" s="590"/>
      <c r="K69" s="590"/>
      <c r="L69" s="590"/>
      <c r="M69" s="590"/>
      <c r="N69" s="590">
        <v>2720</v>
      </c>
      <c r="O69" s="590"/>
      <c r="P69" s="590"/>
      <c r="Q69" s="590"/>
      <c r="R69" s="590"/>
      <c r="S69" s="590"/>
      <c r="T69" s="590"/>
      <c r="U69" s="590"/>
      <c r="V69" s="590"/>
      <c r="W69" s="590"/>
      <c r="X69" s="822"/>
      <c r="Y69" s="580">
        <f t="shared" si="1"/>
        <v>2720</v>
      </c>
      <c r="Z69" s="581"/>
      <c r="AA69" s="581"/>
      <c r="AB69" s="592"/>
      <c r="AC69" s="592"/>
    </row>
    <row r="70" spans="1:29" ht="18" customHeight="1">
      <c r="A70" s="589" t="s">
        <v>736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>
        <v>1360</v>
      </c>
      <c r="O70" s="590"/>
      <c r="P70" s="590"/>
      <c r="Q70" s="590"/>
      <c r="R70" s="590"/>
      <c r="S70" s="590"/>
      <c r="T70" s="590"/>
      <c r="U70" s="590"/>
      <c r="V70" s="590"/>
      <c r="W70" s="590"/>
      <c r="X70" s="822"/>
      <c r="Y70" s="580">
        <f t="shared" si="1"/>
        <v>1360</v>
      </c>
      <c r="Z70" s="581"/>
      <c r="AA70" s="581"/>
      <c r="AB70" s="592"/>
      <c r="AC70" s="592"/>
    </row>
    <row r="71" spans="1:29" ht="18" customHeight="1">
      <c r="A71" s="589" t="s">
        <v>737</v>
      </c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  <c r="N71" s="590">
        <v>816</v>
      </c>
      <c r="O71" s="590"/>
      <c r="P71" s="590"/>
      <c r="Q71" s="590"/>
      <c r="R71" s="590"/>
      <c r="S71" s="590"/>
      <c r="T71" s="590"/>
      <c r="U71" s="590"/>
      <c r="V71" s="590"/>
      <c r="W71" s="590"/>
      <c r="X71" s="822"/>
      <c r="Y71" s="580">
        <f t="shared" si="1"/>
        <v>816</v>
      </c>
      <c r="Z71" s="581"/>
      <c r="AA71" s="581"/>
      <c r="AB71" s="592"/>
      <c r="AC71" s="592"/>
    </row>
    <row r="72" spans="1:29" ht="18" customHeight="1">
      <c r="A72" s="589" t="s">
        <v>738</v>
      </c>
      <c r="B72" s="590"/>
      <c r="C72" s="590"/>
      <c r="D72" s="590"/>
      <c r="E72" s="590"/>
      <c r="F72" s="590"/>
      <c r="G72" s="590"/>
      <c r="H72" s="590"/>
      <c r="I72" s="590"/>
      <c r="J72" s="590"/>
      <c r="K72" s="590"/>
      <c r="L72" s="590"/>
      <c r="M72" s="590"/>
      <c r="N72" s="590">
        <v>408</v>
      </c>
      <c r="O72" s="590"/>
      <c r="P72" s="590"/>
      <c r="Q72" s="590"/>
      <c r="R72" s="590"/>
      <c r="S72" s="590"/>
      <c r="T72" s="590"/>
      <c r="U72" s="590"/>
      <c r="V72" s="590"/>
      <c r="W72" s="590"/>
      <c r="X72" s="822"/>
      <c r="Y72" s="580">
        <f t="shared" si="1"/>
        <v>408</v>
      </c>
      <c r="Z72" s="581"/>
      <c r="AA72" s="581"/>
      <c r="AB72" s="592"/>
      <c r="AC72" s="592"/>
    </row>
    <row r="73" spans="1:29" ht="18" customHeight="1">
      <c r="A73" s="589" t="s">
        <v>739</v>
      </c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>
        <v>680</v>
      </c>
      <c r="O73" s="590"/>
      <c r="P73" s="590"/>
      <c r="Q73" s="590"/>
      <c r="R73" s="590"/>
      <c r="S73" s="590"/>
      <c r="T73" s="590"/>
      <c r="U73" s="590"/>
      <c r="V73" s="590"/>
      <c r="W73" s="590"/>
      <c r="X73" s="822"/>
      <c r="Y73" s="580">
        <f t="shared" si="1"/>
        <v>680</v>
      </c>
      <c r="Z73" s="581"/>
      <c r="AA73" s="581"/>
      <c r="AB73" s="592"/>
      <c r="AC73" s="592"/>
    </row>
    <row r="74" spans="1:29" ht="18" customHeight="1">
      <c r="A74" s="589" t="s">
        <v>740</v>
      </c>
      <c r="B74" s="590"/>
      <c r="C74" s="590"/>
      <c r="D74" s="590"/>
      <c r="E74" s="590"/>
      <c r="F74" s="590"/>
      <c r="G74" s="590"/>
      <c r="H74" s="590"/>
      <c r="I74" s="590"/>
      <c r="J74" s="590"/>
      <c r="K74" s="590"/>
      <c r="L74" s="590"/>
      <c r="M74" s="590"/>
      <c r="N74" s="590">
        <v>476</v>
      </c>
      <c r="O74" s="590"/>
      <c r="P74" s="590"/>
      <c r="Q74" s="590"/>
      <c r="R74" s="590"/>
      <c r="S74" s="590"/>
      <c r="T74" s="590"/>
      <c r="U74" s="590"/>
      <c r="V74" s="590"/>
      <c r="W74" s="590"/>
      <c r="X74" s="822"/>
      <c r="Y74" s="580">
        <f t="shared" si="1"/>
        <v>476</v>
      </c>
      <c r="Z74" s="581"/>
      <c r="AA74" s="581"/>
      <c r="AB74" s="592"/>
      <c r="AC74" s="592"/>
    </row>
    <row r="75" spans="1:29" ht="18" customHeight="1">
      <c r="A75" s="589" t="s">
        <v>741</v>
      </c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>
        <v>544</v>
      </c>
      <c r="O75" s="590"/>
      <c r="P75" s="590"/>
      <c r="Q75" s="590"/>
      <c r="R75" s="590"/>
      <c r="S75" s="590"/>
      <c r="T75" s="590"/>
      <c r="U75" s="590"/>
      <c r="V75" s="590"/>
      <c r="W75" s="590"/>
      <c r="X75" s="822"/>
      <c r="Y75" s="580">
        <f t="shared" si="1"/>
        <v>544</v>
      </c>
      <c r="Z75" s="581"/>
      <c r="AA75" s="581"/>
      <c r="AB75" s="592"/>
      <c r="AC75" s="592"/>
    </row>
    <row r="76" spans="1:29" ht="18" customHeight="1">
      <c r="A76" s="589" t="s">
        <v>742</v>
      </c>
      <c r="B76" s="590"/>
      <c r="C76" s="590"/>
      <c r="D76" s="590"/>
      <c r="E76" s="590"/>
      <c r="F76" s="590"/>
      <c r="G76" s="590"/>
      <c r="H76" s="590"/>
      <c r="I76" s="590"/>
      <c r="J76" s="590"/>
      <c r="K76" s="590"/>
      <c r="L76" s="590"/>
      <c r="M76" s="590"/>
      <c r="N76" s="590">
        <v>2720</v>
      </c>
      <c r="O76" s="590"/>
      <c r="P76" s="590"/>
      <c r="Q76" s="590"/>
      <c r="R76" s="590"/>
      <c r="S76" s="590"/>
      <c r="T76" s="590"/>
      <c r="U76" s="590"/>
      <c r="V76" s="590"/>
      <c r="W76" s="590"/>
      <c r="X76" s="822"/>
      <c r="Y76" s="580">
        <f t="shared" si="1"/>
        <v>2720</v>
      </c>
      <c r="Z76" s="581"/>
      <c r="AA76" s="581"/>
      <c r="AB76" s="592"/>
      <c r="AC76" s="592"/>
    </row>
    <row r="77" spans="1:29" ht="18" customHeight="1">
      <c r="A77" s="589" t="s">
        <v>746</v>
      </c>
      <c r="B77" s="590"/>
      <c r="C77" s="590"/>
      <c r="D77" s="590"/>
      <c r="E77" s="590"/>
      <c r="F77" s="590"/>
      <c r="G77" s="590"/>
      <c r="H77" s="590"/>
      <c r="I77" s="590"/>
      <c r="J77" s="590"/>
      <c r="K77" s="590"/>
      <c r="L77" s="590"/>
      <c r="M77" s="590"/>
      <c r="N77" s="590">
        <v>544</v>
      </c>
      <c r="O77" s="590"/>
      <c r="P77" s="590"/>
      <c r="Q77" s="590"/>
      <c r="R77" s="590"/>
      <c r="S77" s="590"/>
      <c r="T77" s="590"/>
      <c r="U77" s="590"/>
      <c r="V77" s="590"/>
      <c r="W77" s="590"/>
      <c r="X77" s="822"/>
      <c r="Y77" s="580">
        <f t="shared" si="1"/>
        <v>544</v>
      </c>
      <c r="Z77" s="581"/>
      <c r="AA77" s="581"/>
      <c r="AB77" s="592"/>
      <c r="AC77" s="592"/>
    </row>
    <row r="78" spans="1:29" ht="18" customHeight="1">
      <c r="A78" s="589" t="s">
        <v>747</v>
      </c>
      <c r="B78" s="590"/>
      <c r="C78" s="590"/>
      <c r="D78" s="590"/>
      <c r="E78" s="590"/>
      <c r="F78" s="590"/>
      <c r="G78" s="590"/>
      <c r="H78" s="590"/>
      <c r="I78" s="590"/>
      <c r="J78" s="590"/>
      <c r="K78" s="590"/>
      <c r="L78" s="590"/>
      <c r="M78" s="590"/>
      <c r="N78" s="590">
        <v>680</v>
      </c>
      <c r="O78" s="590"/>
      <c r="P78" s="590"/>
      <c r="Q78" s="590"/>
      <c r="R78" s="590"/>
      <c r="S78" s="590"/>
      <c r="T78" s="590"/>
      <c r="U78" s="590"/>
      <c r="V78" s="590"/>
      <c r="W78" s="590"/>
      <c r="X78" s="822"/>
      <c r="Y78" s="580">
        <f t="shared" si="1"/>
        <v>680</v>
      </c>
      <c r="Z78" s="581"/>
      <c r="AA78" s="581"/>
      <c r="AB78" s="592"/>
      <c r="AC78" s="592"/>
    </row>
    <row r="79" spans="1:29" ht="18" customHeight="1">
      <c r="A79" s="589" t="s">
        <v>748</v>
      </c>
      <c r="B79" s="590"/>
      <c r="C79" s="590"/>
      <c r="D79" s="590"/>
      <c r="E79" s="590"/>
      <c r="F79" s="590"/>
      <c r="G79" s="590"/>
      <c r="H79" s="590"/>
      <c r="I79" s="590"/>
      <c r="J79" s="590"/>
      <c r="K79" s="590"/>
      <c r="L79" s="590"/>
      <c r="M79" s="590"/>
      <c r="N79" s="590">
        <v>612</v>
      </c>
      <c r="O79" s="590"/>
      <c r="P79" s="590"/>
      <c r="Q79" s="590"/>
      <c r="R79" s="590"/>
      <c r="S79" s="590"/>
      <c r="T79" s="590"/>
      <c r="U79" s="590"/>
      <c r="V79" s="590"/>
      <c r="W79" s="590"/>
      <c r="X79" s="822"/>
      <c r="Y79" s="580">
        <f t="shared" si="1"/>
        <v>612</v>
      </c>
      <c r="Z79" s="581"/>
      <c r="AA79" s="581"/>
      <c r="AB79" s="592"/>
      <c r="AC79" s="592"/>
    </row>
    <row r="80" spans="1:29" ht="18" customHeight="1">
      <c r="A80" s="589" t="s">
        <v>749</v>
      </c>
      <c r="B80" s="590"/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0">
        <v>884</v>
      </c>
      <c r="O80" s="590"/>
      <c r="P80" s="590"/>
      <c r="Q80" s="590"/>
      <c r="R80" s="590"/>
      <c r="S80" s="590"/>
      <c r="T80" s="590"/>
      <c r="U80" s="590"/>
      <c r="V80" s="590"/>
      <c r="W80" s="590"/>
      <c r="X80" s="822"/>
      <c r="Y80" s="580">
        <f t="shared" si="1"/>
        <v>884</v>
      </c>
      <c r="Z80" s="581"/>
      <c r="AA80" s="581"/>
      <c r="AB80" s="592"/>
      <c r="AC80" s="592"/>
    </row>
    <row r="81" spans="1:29" ht="18" customHeight="1">
      <c r="A81" s="589" t="s">
        <v>750</v>
      </c>
      <c r="B81" s="590"/>
      <c r="C81" s="590"/>
      <c r="D81" s="590"/>
      <c r="E81" s="590"/>
      <c r="F81" s="590"/>
      <c r="G81" s="590"/>
      <c r="H81" s="590"/>
      <c r="I81" s="590"/>
      <c r="J81" s="590"/>
      <c r="K81" s="590"/>
      <c r="L81" s="590"/>
      <c r="M81" s="590"/>
      <c r="N81" s="590">
        <v>476</v>
      </c>
      <c r="O81" s="590"/>
      <c r="P81" s="590"/>
      <c r="Q81" s="590"/>
      <c r="R81" s="590"/>
      <c r="S81" s="590"/>
      <c r="T81" s="590"/>
      <c r="U81" s="590"/>
      <c r="V81" s="590"/>
      <c r="W81" s="590"/>
      <c r="X81" s="822"/>
      <c r="Y81" s="580">
        <f t="shared" si="1"/>
        <v>476</v>
      </c>
      <c r="Z81" s="581"/>
      <c r="AA81" s="581"/>
      <c r="AB81" s="592"/>
      <c r="AC81" s="592"/>
    </row>
    <row r="82" spans="1:29" ht="18" customHeight="1">
      <c r="A82" s="589" t="s">
        <v>751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>
        <v>476</v>
      </c>
      <c r="O82" s="590"/>
      <c r="P82" s="590"/>
      <c r="Q82" s="590"/>
      <c r="R82" s="590"/>
      <c r="S82" s="590"/>
      <c r="T82" s="590"/>
      <c r="U82" s="590"/>
      <c r="V82" s="590"/>
      <c r="W82" s="590"/>
      <c r="X82" s="822"/>
      <c r="Y82" s="580">
        <f t="shared" si="1"/>
        <v>476</v>
      </c>
      <c r="Z82" s="581"/>
      <c r="AA82" s="581"/>
      <c r="AB82" s="592"/>
      <c r="AC82" s="592"/>
    </row>
    <row r="83" spans="1:29" ht="18" customHeight="1">
      <c r="A83" s="589" t="s">
        <v>78</v>
      </c>
      <c r="B83" s="590"/>
      <c r="C83" s="590"/>
      <c r="D83" s="590"/>
      <c r="E83" s="590"/>
      <c r="F83" s="590"/>
      <c r="G83" s="590"/>
      <c r="H83" s="590"/>
      <c r="I83" s="590"/>
      <c r="J83" s="590"/>
      <c r="K83" s="590"/>
      <c r="L83" s="590"/>
      <c r="M83" s="590"/>
      <c r="N83" s="590">
        <v>816</v>
      </c>
      <c r="O83" s="590"/>
      <c r="P83" s="590"/>
      <c r="Q83" s="590"/>
      <c r="R83" s="590"/>
      <c r="S83" s="590"/>
      <c r="T83" s="590"/>
      <c r="U83" s="590"/>
      <c r="V83" s="590"/>
      <c r="W83" s="590"/>
      <c r="X83" s="887"/>
      <c r="Y83" s="580">
        <f t="shared" si="1"/>
        <v>816</v>
      </c>
      <c r="Z83" s="581"/>
      <c r="AA83" s="581"/>
      <c r="AB83" s="592"/>
      <c r="AC83" s="592"/>
    </row>
    <row r="84" spans="1:29" ht="18" customHeight="1">
      <c r="A84" s="387" t="s">
        <v>767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>
        <v>1020</v>
      </c>
      <c r="O84" s="437"/>
      <c r="P84" s="437"/>
      <c r="Q84" s="437"/>
      <c r="R84" s="437"/>
      <c r="S84" s="437"/>
      <c r="T84" s="437"/>
      <c r="U84" s="437"/>
      <c r="V84" s="437"/>
      <c r="W84" s="437"/>
      <c r="X84" s="822"/>
      <c r="Y84" s="676">
        <f t="shared" si="1"/>
        <v>1020</v>
      </c>
      <c r="Z84" s="581"/>
      <c r="AA84" s="581"/>
      <c r="AB84" s="592"/>
      <c r="AC84" s="592"/>
    </row>
    <row r="85" spans="1:29" ht="18" customHeight="1">
      <c r="A85" s="589" t="s">
        <v>79</v>
      </c>
      <c r="B85" s="59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>
        <v>816</v>
      </c>
      <c r="O85" s="590"/>
      <c r="P85" s="590"/>
      <c r="Q85" s="590"/>
      <c r="R85" s="590"/>
      <c r="S85" s="590"/>
      <c r="T85" s="590"/>
      <c r="U85" s="590"/>
      <c r="V85" s="590"/>
      <c r="W85" s="590"/>
      <c r="X85" s="822"/>
      <c r="Y85" s="580">
        <f t="shared" si="1"/>
        <v>816</v>
      </c>
      <c r="Z85" s="581"/>
      <c r="AA85" s="581"/>
      <c r="AB85" s="592"/>
      <c r="AC85" s="592"/>
    </row>
    <row r="86" spans="1:29" ht="18" customHeight="1">
      <c r="A86" s="589" t="s">
        <v>768</v>
      </c>
      <c r="B86" s="590"/>
      <c r="C86" s="590"/>
      <c r="D86" s="590"/>
      <c r="E86" s="590"/>
      <c r="F86" s="590"/>
      <c r="G86" s="590"/>
      <c r="H86" s="590"/>
      <c r="I86" s="590"/>
      <c r="J86" s="590"/>
      <c r="K86" s="590"/>
      <c r="L86" s="590"/>
      <c r="M86" s="590"/>
      <c r="N86" s="590">
        <v>680</v>
      </c>
      <c r="O86" s="590"/>
      <c r="P86" s="590"/>
      <c r="Q86" s="590"/>
      <c r="R86" s="590"/>
      <c r="S86" s="590"/>
      <c r="T86" s="590"/>
      <c r="U86" s="590"/>
      <c r="V86" s="590"/>
      <c r="W86" s="590"/>
      <c r="X86" s="822"/>
      <c r="Y86" s="580">
        <f t="shared" si="1"/>
        <v>680</v>
      </c>
      <c r="Z86" s="581"/>
      <c r="AA86" s="581"/>
      <c r="AB86" s="592"/>
      <c r="AC86" s="592"/>
    </row>
    <row r="87" spans="1:29" ht="18" customHeight="1">
      <c r="A87" s="589" t="s">
        <v>80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>
        <v>680</v>
      </c>
      <c r="O87" s="590"/>
      <c r="P87" s="590"/>
      <c r="Q87" s="590"/>
      <c r="R87" s="590"/>
      <c r="S87" s="590"/>
      <c r="T87" s="590"/>
      <c r="U87" s="590"/>
      <c r="V87" s="590"/>
      <c r="W87" s="590"/>
      <c r="X87" s="822"/>
      <c r="Y87" s="580">
        <f t="shared" si="1"/>
        <v>680</v>
      </c>
      <c r="Z87" s="581"/>
      <c r="AA87" s="581"/>
      <c r="AB87" s="592"/>
      <c r="AC87" s="592"/>
    </row>
    <row r="88" spans="1:29" ht="28.5" customHeight="1">
      <c r="A88" s="620" t="s">
        <v>759</v>
      </c>
      <c r="B88" s="590"/>
      <c r="C88" s="590"/>
      <c r="D88" s="590"/>
      <c r="E88" s="590"/>
      <c r="F88" s="590"/>
      <c r="G88" s="590"/>
      <c r="H88" s="590"/>
      <c r="I88" s="590"/>
      <c r="J88" s="590"/>
      <c r="K88" s="590"/>
      <c r="L88" s="590"/>
      <c r="M88" s="590"/>
      <c r="N88" s="590">
        <v>952</v>
      </c>
      <c r="O88" s="590"/>
      <c r="P88" s="590"/>
      <c r="Q88" s="590"/>
      <c r="R88" s="590"/>
      <c r="S88" s="590"/>
      <c r="T88" s="590"/>
      <c r="U88" s="590"/>
      <c r="V88" s="590"/>
      <c r="W88" s="590"/>
      <c r="X88" s="822"/>
      <c r="Y88" s="580">
        <f t="shared" si="1"/>
        <v>952</v>
      </c>
      <c r="Z88" s="581"/>
      <c r="AA88" s="581"/>
      <c r="AB88" s="592"/>
      <c r="AC88" s="592"/>
    </row>
    <row r="89" spans="1:29" ht="18" customHeight="1" thickBot="1">
      <c r="A89" s="589" t="s">
        <v>754</v>
      </c>
      <c r="B89" s="590"/>
      <c r="C89" s="590"/>
      <c r="D89" s="590"/>
      <c r="E89" s="590"/>
      <c r="F89" s="590"/>
      <c r="G89" s="590"/>
      <c r="H89" s="590"/>
      <c r="I89" s="590"/>
      <c r="J89" s="590"/>
      <c r="K89" s="590"/>
      <c r="L89" s="590"/>
      <c r="M89" s="590"/>
      <c r="N89" s="590">
        <v>816</v>
      </c>
      <c r="O89" s="590"/>
      <c r="P89" s="590"/>
      <c r="Q89" s="590"/>
      <c r="R89" s="590"/>
      <c r="S89" s="590"/>
      <c r="T89" s="590"/>
      <c r="U89" s="590"/>
      <c r="V89" s="590"/>
      <c r="W89" s="590"/>
      <c r="X89" s="822"/>
      <c r="Y89" s="605">
        <f t="shared" si="1"/>
        <v>816</v>
      </c>
      <c r="Z89" s="581"/>
      <c r="AA89" s="581"/>
      <c r="AB89" s="592"/>
      <c r="AC89" s="592"/>
    </row>
    <row r="90" spans="1:53" ht="33" customHeight="1" thickBot="1">
      <c r="A90" s="593" t="s">
        <v>752</v>
      </c>
      <c r="B90" s="594">
        <f>B110</f>
        <v>2920</v>
      </c>
      <c r="C90" s="594"/>
      <c r="D90" s="594"/>
      <c r="E90" s="594">
        <f>E110</f>
        <v>1200</v>
      </c>
      <c r="F90" s="594">
        <f>F110</f>
        <v>80</v>
      </c>
      <c r="G90" s="594"/>
      <c r="H90" s="594"/>
      <c r="I90" s="594"/>
      <c r="J90" s="594"/>
      <c r="K90" s="594"/>
      <c r="L90" s="594"/>
      <c r="M90" s="594"/>
      <c r="N90" s="594"/>
      <c r="O90" s="594"/>
      <c r="P90" s="594"/>
      <c r="Q90" s="594"/>
      <c r="R90" s="594"/>
      <c r="S90" s="594"/>
      <c r="T90" s="594"/>
      <c r="U90" s="594"/>
      <c r="V90" s="594"/>
      <c r="W90" s="594"/>
      <c r="X90" s="594"/>
      <c r="Y90" s="628">
        <f t="shared" si="1"/>
        <v>4200</v>
      </c>
      <c r="Z90" s="595"/>
      <c r="AA90" s="595"/>
      <c r="AB90" s="595"/>
      <c r="AC90" s="595"/>
      <c r="AD90" s="543"/>
      <c r="AE90" s="543"/>
      <c r="AF90" s="543"/>
      <c r="AG90" s="543"/>
      <c r="AH90" s="543"/>
      <c r="AI90" s="543"/>
      <c r="AJ90" s="543"/>
      <c r="AK90" s="543"/>
      <c r="AL90" s="543"/>
      <c r="AM90" s="543"/>
      <c r="AN90" s="543"/>
      <c r="AO90" s="543"/>
      <c r="AP90" s="543"/>
      <c r="AQ90" s="543"/>
      <c r="AR90" s="543"/>
      <c r="AS90" s="543"/>
      <c r="AT90" s="543"/>
      <c r="AU90" s="543"/>
      <c r="AV90" s="543"/>
      <c r="AW90" s="543"/>
      <c r="AX90" s="543"/>
      <c r="AY90" s="543"/>
      <c r="AZ90" s="543"/>
      <c r="BA90" s="543"/>
    </row>
    <row r="91" spans="1:29" ht="18" customHeight="1" hidden="1">
      <c r="A91" s="596" t="s">
        <v>719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676">
        <f t="shared" si="1"/>
        <v>0</v>
      </c>
      <c r="Z91" s="581"/>
      <c r="AA91" s="581"/>
      <c r="AC91" s="592"/>
    </row>
    <row r="92" spans="1:29" ht="18" customHeight="1" hidden="1">
      <c r="A92" s="596" t="s">
        <v>720</v>
      </c>
      <c r="B92" s="350"/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580">
        <f t="shared" si="1"/>
        <v>0</v>
      </c>
      <c r="Z92" s="581"/>
      <c r="AA92" s="581"/>
      <c r="AC92" s="592"/>
    </row>
    <row r="93" spans="1:29" ht="18" customHeight="1" hidden="1">
      <c r="A93" s="596" t="s">
        <v>721</v>
      </c>
      <c r="B93" s="350"/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580">
        <f t="shared" si="1"/>
        <v>0</v>
      </c>
      <c r="Z93" s="581"/>
      <c r="AA93" s="581"/>
      <c r="AC93" s="592"/>
    </row>
    <row r="94" spans="1:29" ht="18" customHeight="1" hidden="1">
      <c r="A94" s="596" t="s">
        <v>722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580">
        <f t="shared" si="1"/>
        <v>0</v>
      </c>
      <c r="Z94" s="581"/>
      <c r="AA94" s="581"/>
      <c r="AC94" s="592"/>
    </row>
    <row r="95" spans="1:29" ht="18" customHeight="1" hidden="1">
      <c r="A95" s="596" t="s">
        <v>723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580">
        <f t="shared" si="1"/>
        <v>0</v>
      </c>
      <c r="Z95" s="581"/>
      <c r="AA95" s="581"/>
      <c r="AC95" s="592"/>
    </row>
    <row r="96" spans="1:29" ht="18" customHeight="1" hidden="1">
      <c r="A96" s="596" t="s">
        <v>725</v>
      </c>
      <c r="B96" s="350"/>
      <c r="C96" s="350"/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580">
        <f t="shared" si="1"/>
        <v>0</v>
      </c>
      <c r="Z96" s="581"/>
      <c r="AA96" s="581"/>
      <c r="AC96" s="592"/>
    </row>
    <row r="97" spans="1:29" ht="18" customHeight="1" hidden="1">
      <c r="A97" s="596" t="s">
        <v>728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580">
        <f t="shared" si="1"/>
        <v>0</v>
      </c>
      <c r="Z97" s="581"/>
      <c r="AA97" s="581"/>
      <c r="AC97" s="592"/>
    </row>
    <row r="98" spans="1:29" ht="18" customHeight="1" hidden="1">
      <c r="A98" s="596" t="s">
        <v>729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580">
        <f t="shared" si="1"/>
        <v>0</v>
      </c>
      <c r="Z98" s="581"/>
      <c r="AA98" s="581"/>
      <c r="AC98" s="592"/>
    </row>
    <row r="99" spans="1:29" ht="18" customHeight="1" hidden="1">
      <c r="A99" s="596" t="s">
        <v>732</v>
      </c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580">
        <f t="shared" si="1"/>
        <v>0</v>
      </c>
      <c r="Z99" s="581"/>
      <c r="AA99" s="581"/>
      <c r="AC99" s="592"/>
    </row>
    <row r="100" spans="1:29" ht="18" customHeight="1" hidden="1">
      <c r="A100" s="596" t="s">
        <v>753</v>
      </c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580">
        <f t="shared" si="1"/>
        <v>0</v>
      </c>
      <c r="Z100" s="581"/>
      <c r="AA100" s="581"/>
      <c r="AC100" s="592"/>
    </row>
    <row r="101" spans="1:29" ht="18" customHeight="1" hidden="1">
      <c r="A101" s="596" t="s">
        <v>736</v>
      </c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580">
        <f t="shared" si="1"/>
        <v>0</v>
      </c>
      <c r="Z101" s="581"/>
      <c r="AA101" s="581"/>
      <c r="AC101" s="592"/>
    </row>
    <row r="102" spans="1:29" ht="18" customHeight="1" hidden="1">
      <c r="A102" s="596" t="s">
        <v>737</v>
      </c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580">
        <f t="shared" si="1"/>
        <v>0</v>
      </c>
      <c r="Z102" s="581"/>
      <c r="AA102" s="581"/>
      <c r="AC102" s="592"/>
    </row>
    <row r="103" spans="1:29" ht="18" customHeight="1" hidden="1">
      <c r="A103" s="596" t="s">
        <v>740</v>
      </c>
      <c r="B103" s="350"/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580">
        <f t="shared" si="1"/>
        <v>0</v>
      </c>
      <c r="Z103" s="581"/>
      <c r="AA103" s="581"/>
      <c r="AC103" s="592"/>
    </row>
    <row r="104" spans="1:29" ht="18" customHeight="1" hidden="1">
      <c r="A104" s="596" t="s">
        <v>742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580">
        <f t="shared" si="1"/>
        <v>0</v>
      </c>
      <c r="Z104" s="581"/>
      <c r="AA104" s="581"/>
      <c r="AC104" s="592"/>
    </row>
    <row r="105" spans="1:29" ht="18" customHeight="1" hidden="1">
      <c r="A105" s="596" t="s">
        <v>749</v>
      </c>
      <c r="B105" s="350"/>
      <c r="C105" s="350"/>
      <c r="D105" s="350"/>
      <c r="E105" s="350"/>
      <c r="F105" s="350"/>
      <c r="G105" s="350"/>
      <c r="H105" s="350"/>
      <c r="I105" s="350"/>
      <c r="J105" s="350"/>
      <c r="K105" s="35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580">
        <f t="shared" si="1"/>
        <v>0</v>
      </c>
      <c r="Z105" s="581"/>
      <c r="AA105" s="581"/>
      <c r="AC105" s="592"/>
    </row>
    <row r="106" spans="1:29" ht="18" customHeight="1" hidden="1">
      <c r="A106" s="596" t="s">
        <v>78</v>
      </c>
      <c r="B106" s="350"/>
      <c r="C106" s="350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580">
        <f t="shared" si="1"/>
        <v>0</v>
      </c>
      <c r="Z106" s="581"/>
      <c r="AA106" s="581"/>
      <c r="AC106" s="592"/>
    </row>
    <row r="107" spans="1:29" ht="18" customHeight="1" hidden="1">
      <c r="A107" s="596" t="s">
        <v>767</v>
      </c>
      <c r="B107" s="350"/>
      <c r="C107" s="350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580">
        <f t="shared" si="1"/>
        <v>0</v>
      </c>
      <c r="Z107" s="581"/>
      <c r="AA107" s="581"/>
      <c r="AC107" s="592"/>
    </row>
    <row r="108" spans="1:29" ht="18" customHeight="1" hidden="1">
      <c r="A108" s="596" t="s">
        <v>79</v>
      </c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580">
        <f t="shared" si="1"/>
        <v>0</v>
      </c>
      <c r="Z108" s="581"/>
      <c r="AA108" s="581"/>
      <c r="AC108" s="592"/>
    </row>
    <row r="109" spans="1:29" ht="18" customHeight="1" hidden="1">
      <c r="A109" s="596" t="s">
        <v>768</v>
      </c>
      <c r="B109" s="350"/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580">
        <f t="shared" si="1"/>
        <v>0</v>
      </c>
      <c r="Z109" s="581"/>
      <c r="AA109" s="581"/>
      <c r="AC109" s="592"/>
    </row>
    <row r="110" spans="1:29" ht="18" customHeight="1">
      <c r="A110" s="596" t="s">
        <v>754</v>
      </c>
      <c r="B110" s="350">
        <v>2920</v>
      </c>
      <c r="C110" s="350"/>
      <c r="D110" s="350"/>
      <c r="E110" s="350">
        <v>1200</v>
      </c>
      <c r="F110" s="350">
        <v>80</v>
      </c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580">
        <f t="shared" si="1"/>
        <v>4200</v>
      </c>
      <c r="Z110" s="581"/>
      <c r="AA110" s="581"/>
      <c r="AC110" s="592"/>
    </row>
    <row r="111" spans="1:29" ht="18" customHeight="1" thickBot="1">
      <c r="A111" s="597" t="s">
        <v>760</v>
      </c>
      <c r="B111" s="598">
        <f>B112</f>
        <v>-167720</v>
      </c>
      <c r="C111" s="598"/>
      <c r="D111" s="598"/>
      <c r="E111" s="598">
        <f>E112</f>
        <v>-53600</v>
      </c>
      <c r="F111" s="598">
        <f>F112</f>
        <v>-130</v>
      </c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80">
        <f t="shared" si="1"/>
        <v>-221450</v>
      </c>
      <c r="Z111" s="588"/>
      <c r="AA111" s="588"/>
      <c r="AB111" s="588"/>
      <c r="AC111" s="588"/>
    </row>
    <row r="112" spans="1:29" ht="18" customHeight="1" thickBot="1">
      <c r="A112" s="599" t="s">
        <v>754</v>
      </c>
      <c r="B112" s="600">
        <v>-167720</v>
      </c>
      <c r="C112" s="600"/>
      <c r="D112" s="600"/>
      <c r="E112" s="600">
        <v>-53600</v>
      </c>
      <c r="F112" s="600">
        <v>-130</v>
      </c>
      <c r="G112" s="600"/>
      <c r="H112" s="600"/>
      <c r="I112" s="600"/>
      <c r="J112" s="600"/>
      <c r="K112" s="600"/>
      <c r="L112" s="600"/>
      <c r="M112" s="600"/>
      <c r="N112" s="600"/>
      <c r="O112" s="600"/>
      <c r="P112" s="600"/>
      <c r="Q112" s="600"/>
      <c r="R112" s="600"/>
      <c r="S112" s="600"/>
      <c r="T112" s="600"/>
      <c r="U112" s="600"/>
      <c r="V112" s="600"/>
      <c r="W112" s="600"/>
      <c r="X112" s="600"/>
      <c r="Y112" s="580">
        <f t="shared" si="1"/>
        <v>-221450</v>
      </c>
      <c r="Z112" s="581"/>
      <c r="AA112" s="581"/>
      <c r="AB112" s="592"/>
      <c r="AC112" s="592"/>
    </row>
    <row r="113" spans="1:29" ht="18" customHeight="1" hidden="1">
      <c r="A113" s="601" t="s">
        <v>761</v>
      </c>
      <c r="B113" s="596"/>
      <c r="C113" s="596"/>
      <c r="D113" s="596"/>
      <c r="E113" s="596"/>
      <c r="F113" s="596"/>
      <c r="G113" s="596"/>
      <c r="H113" s="596"/>
      <c r="I113" s="596"/>
      <c r="J113" s="596"/>
      <c r="K113" s="596"/>
      <c r="L113" s="596"/>
      <c r="M113" s="596"/>
      <c r="N113" s="596"/>
      <c r="O113" s="596"/>
      <c r="P113" s="596"/>
      <c r="Q113" s="596"/>
      <c r="R113" s="596"/>
      <c r="S113" s="596"/>
      <c r="T113" s="596"/>
      <c r="U113" s="596"/>
      <c r="V113" s="596"/>
      <c r="W113" s="596"/>
      <c r="X113" s="596"/>
      <c r="Y113" s="580">
        <f aca="true" t="shared" si="3" ref="Y113:Y175">SUM(B113:X113)</f>
        <v>0</v>
      </c>
      <c r="Z113" s="581"/>
      <c r="AA113" s="581"/>
      <c r="AB113" s="581"/>
      <c r="AC113" s="581"/>
    </row>
    <row r="114" spans="1:29" ht="25.5" hidden="1">
      <c r="A114" s="602" t="s">
        <v>762</v>
      </c>
      <c r="B114" s="596"/>
      <c r="C114" s="596"/>
      <c r="D114" s="596"/>
      <c r="E114" s="596"/>
      <c r="F114" s="596"/>
      <c r="G114" s="596"/>
      <c r="H114" s="596"/>
      <c r="I114" s="596"/>
      <c r="J114" s="596"/>
      <c r="K114" s="596"/>
      <c r="L114" s="596"/>
      <c r="M114" s="596"/>
      <c r="N114" s="596"/>
      <c r="O114" s="596"/>
      <c r="P114" s="596"/>
      <c r="Q114" s="596"/>
      <c r="R114" s="596"/>
      <c r="S114" s="596"/>
      <c r="T114" s="596"/>
      <c r="U114" s="596"/>
      <c r="V114" s="596"/>
      <c r="W114" s="596"/>
      <c r="X114" s="596"/>
      <c r="Y114" s="580">
        <f t="shared" si="3"/>
        <v>0</v>
      </c>
      <c r="Z114" s="581"/>
      <c r="AA114" s="581"/>
      <c r="AB114" s="592"/>
      <c r="AC114" s="592"/>
    </row>
    <row r="115" spans="1:29" ht="25.5" hidden="1">
      <c r="A115" s="603" t="s">
        <v>763</v>
      </c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4"/>
      <c r="V115" s="604"/>
      <c r="W115" s="604"/>
      <c r="X115" s="604"/>
      <c r="Y115" s="605">
        <f t="shared" si="3"/>
        <v>0</v>
      </c>
      <c r="Z115" s="581"/>
      <c r="AA115" s="581"/>
      <c r="AB115" s="592"/>
      <c r="AC115" s="592"/>
    </row>
    <row r="116" spans="1:29" s="539" customFormat="1" ht="25.5" customHeight="1" thickBot="1">
      <c r="A116" s="667" t="s">
        <v>299</v>
      </c>
      <c r="B116" s="617">
        <f>B117</f>
        <v>35000</v>
      </c>
      <c r="C116" s="617"/>
      <c r="D116" s="617"/>
      <c r="E116" s="617">
        <f>E117</f>
        <v>6000</v>
      </c>
      <c r="F116" s="617">
        <f>F117</f>
        <v>1000</v>
      </c>
      <c r="G116" s="617"/>
      <c r="H116" s="617"/>
      <c r="I116" s="617"/>
      <c r="J116" s="617"/>
      <c r="K116" s="617"/>
      <c r="L116" s="617"/>
      <c r="M116" s="617"/>
      <c r="N116" s="617"/>
      <c r="O116" s="617"/>
      <c r="P116" s="617"/>
      <c r="Q116" s="617"/>
      <c r="R116" s="617"/>
      <c r="S116" s="617"/>
      <c r="T116" s="617"/>
      <c r="U116" s="617"/>
      <c r="V116" s="617"/>
      <c r="W116" s="617"/>
      <c r="X116" s="617"/>
      <c r="Y116" s="628">
        <f t="shared" si="3"/>
        <v>42000</v>
      </c>
      <c r="Z116" s="588"/>
      <c r="AA116" s="588"/>
      <c r="AB116" s="645"/>
      <c r="AC116" s="645"/>
    </row>
    <row r="117" spans="1:29" ht="20.25" customHeight="1" thickBot="1">
      <c r="A117" s="807" t="s">
        <v>749</v>
      </c>
      <c r="B117" s="808">
        <v>35000</v>
      </c>
      <c r="C117" s="808"/>
      <c r="D117" s="808"/>
      <c r="E117" s="808">
        <v>6000</v>
      </c>
      <c r="F117" s="808">
        <v>1000</v>
      </c>
      <c r="G117" s="808"/>
      <c r="H117" s="808"/>
      <c r="I117" s="808"/>
      <c r="J117" s="808"/>
      <c r="K117" s="808"/>
      <c r="L117" s="808"/>
      <c r="M117" s="808"/>
      <c r="N117" s="808"/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628">
        <f t="shared" si="3"/>
        <v>42000</v>
      </c>
      <c r="Z117" s="581"/>
      <c r="AA117" s="581"/>
      <c r="AB117" s="592"/>
      <c r="AC117" s="592"/>
    </row>
    <row r="118" spans="1:29" ht="18" customHeight="1" thickBot="1">
      <c r="A118" s="674" t="s">
        <v>764</v>
      </c>
      <c r="B118" s="598"/>
      <c r="C118" s="598"/>
      <c r="D118" s="598"/>
      <c r="E118" s="598"/>
      <c r="F118" s="598"/>
      <c r="G118" s="598"/>
      <c r="H118" s="598"/>
      <c r="I118" s="598"/>
      <c r="J118" s="598"/>
      <c r="K118" s="598">
        <f aca="true" t="shared" si="4" ref="K118:X118">SUM(K135:K182)</f>
        <v>0</v>
      </c>
      <c r="L118" s="598">
        <f t="shared" si="4"/>
        <v>6520</v>
      </c>
      <c r="M118" s="598">
        <f t="shared" si="4"/>
        <v>0</v>
      </c>
      <c r="N118" s="598">
        <f t="shared" si="4"/>
        <v>-575</v>
      </c>
      <c r="O118" s="598">
        <f t="shared" si="4"/>
        <v>5959</v>
      </c>
      <c r="P118" s="598">
        <f t="shared" si="4"/>
        <v>-8425</v>
      </c>
      <c r="Q118" s="598">
        <f t="shared" si="4"/>
        <v>530</v>
      </c>
      <c r="R118" s="598">
        <f t="shared" si="4"/>
        <v>6610</v>
      </c>
      <c r="S118" s="598">
        <f t="shared" si="4"/>
        <v>0</v>
      </c>
      <c r="T118" s="598">
        <f t="shared" si="4"/>
        <v>246</v>
      </c>
      <c r="U118" s="598">
        <f t="shared" si="4"/>
        <v>0</v>
      </c>
      <c r="V118" s="598">
        <f t="shared" si="4"/>
        <v>0</v>
      </c>
      <c r="W118" s="598">
        <f t="shared" si="4"/>
        <v>0</v>
      </c>
      <c r="X118" s="598">
        <f t="shared" si="4"/>
        <v>0</v>
      </c>
      <c r="Y118" s="806">
        <f t="shared" si="3"/>
        <v>10865</v>
      </c>
      <c r="Z118" s="588"/>
      <c r="AA118" s="588"/>
      <c r="AB118" s="588"/>
      <c r="AC118" s="588"/>
    </row>
    <row r="119" spans="1:29" ht="18" customHeight="1" hidden="1" thickBot="1">
      <c r="A119" s="607" t="s">
        <v>349</v>
      </c>
      <c r="B119" s="608"/>
      <c r="C119" s="608"/>
      <c r="D119" s="608"/>
      <c r="E119" s="608"/>
      <c r="F119" s="608"/>
      <c r="G119" s="608"/>
      <c r="H119" s="608"/>
      <c r="I119" s="608"/>
      <c r="J119" s="608"/>
      <c r="K119" s="608"/>
      <c r="L119" s="608"/>
      <c r="M119" s="608"/>
      <c r="N119" s="608"/>
      <c r="O119" s="608"/>
      <c r="P119" s="608"/>
      <c r="Q119" s="608"/>
      <c r="R119" s="608"/>
      <c r="S119" s="608"/>
      <c r="T119" s="608"/>
      <c r="U119" s="608"/>
      <c r="V119" s="608"/>
      <c r="W119" s="608"/>
      <c r="X119" s="608"/>
      <c r="Y119" s="606">
        <f t="shared" si="3"/>
        <v>0</v>
      </c>
      <c r="Z119" s="588"/>
      <c r="AA119" s="588"/>
      <c r="AB119" s="588"/>
      <c r="AC119" s="588"/>
    </row>
    <row r="120" spans="1:29" ht="18" customHeight="1" hidden="1">
      <c r="A120" s="609" t="s">
        <v>719</v>
      </c>
      <c r="B120" s="596"/>
      <c r="C120" s="596"/>
      <c r="D120" s="596"/>
      <c r="E120" s="596"/>
      <c r="F120" s="596"/>
      <c r="G120" s="596"/>
      <c r="H120" s="596"/>
      <c r="I120" s="596"/>
      <c r="J120" s="596"/>
      <c r="K120" s="596"/>
      <c r="L120" s="596"/>
      <c r="M120" s="596"/>
      <c r="N120" s="596"/>
      <c r="O120" s="596"/>
      <c r="P120" s="596"/>
      <c r="Q120" s="596"/>
      <c r="R120" s="596"/>
      <c r="S120" s="596"/>
      <c r="T120" s="596"/>
      <c r="U120" s="596"/>
      <c r="V120" s="596"/>
      <c r="W120" s="596"/>
      <c r="X120" s="596"/>
      <c r="Y120" s="580">
        <f t="shared" si="3"/>
        <v>0</v>
      </c>
      <c r="Z120" s="581"/>
      <c r="AA120" s="581"/>
      <c r="AB120" s="592"/>
      <c r="AC120" s="592"/>
    </row>
    <row r="121" spans="1:29" ht="18" customHeight="1" hidden="1">
      <c r="A121" s="387" t="s">
        <v>721</v>
      </c>
      <c r="B121" s="600"/>
      <c r="C121" s="600"/>
      <c r="D121" s="600"/>
      <c r="E121" s="600"/>
      <c r="F121" s="600"/>
      <c r="G121" s="600"/>
      <c r="H121" s="600"/>
      <c r="I121" s="600"/>
      <c r="J121" s="600"/>
      <c r="K121" s="600"/>
      <c r="L121" s="600"/>
      <c r="M121" s="600"/>
      <c r="N121" s="600"/>
      <c r="O121" s="600"/>
      <c r="P121" s="600"/>
      <c r="Q121" s="600"/>
      <c r="R121" s="600"/>
      <c r="S121" s="600"/>
      <c r="T121" s="600"/>
      <c r="U121" s="600"/>
      <c r="V121" s="600"/>
      <c r="W121" s="600"/>
      <c r="X121" s="600"/>
      <c r="Y121" s="580">
        <f t="shared" si="3"/>
        <v>0</v>
      </c>
      <c r="Z121" s="581"/>
      <c r="AA121" s="581"/>
      <c r="AB121" s="592"/>
      <c r="AC121" s="592"/>
    </row>
    <row r="122" spans="1:29" ht="18" customHeight="1" hidden="1">
      <c r="A122" s="589" t="s">
        <v>723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596"/>
      <c r="T122" s="596"/>
      <c r="U122" s="596"/>
      <c r="V122" s="596"/>
      <c r="W122" s="596"/>
      <c r="X122" s="596"/>
      <c r="Y122" s="580">
        <f t="shared" si="3"/>
        <v>0</v>
      </c>
      <c r="Z122" s="581"/>
      <c r="AA122" s="581"/>
      <c r="AB122" s="592"/>
      <c r="AC122" s="592"/>
    </row>
    <row r="123" spans="1:29" ht="18" customHeight="1" hidden="1">
      <c r="A123" s="589" t="s">
        <v>724</v>
      </c>
      <c r="B123" s="596"/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6"/>
      <c r="U123" s="596"/>
      <c r="V123" s="596"/>
      <c r="W123" s="596"/>
      <c r="X123" s="596"/>
      <c r="Y123" s="580">
        <f t="shared" si="3"/>
        <v>0</v>
      </c>
      <c r="Z123" s="581"/>
      <c r="AA123" s="581"/>
      <c r="AB123" s="592"/>
      <c r="AC123" s="592"/>
    </row>
    <row r="124" spans="1:29" ht="18" customHeight="1" hidden="1">
      <c r="A124" s="589" t="s">
        <v>725</v>
      </c>
      <c r="B124" s="596"/>
      <c r="C124" s="596"/>
      <c r="D124" s="596"/>
      <c r="E124" s="596"/>
      <c r="F124" s="596"/>
      <c r="G124" s="596"/>
      <c r="H124" s="596"/>
      <c r="I124" s="596"/>
      <c r="J124" s="596"/>
      <c r="K124" s="596"/>
      <c r="L124" s="596"/>
      <c r="M124" s="596"/>
      <c r="N124" s="596"/>
      <c r="O124" s="596"/>
      <c r="P124" s="596"/>
      <c r="Q124" s="596"/>
      <c r="R124" s="596"/>
      <c r="S124" s="596"/>
      <c r="T124" s="596"/>
      <c r="U124" s="596"/>
      <c r="V124" s="596"/>
      <c r="W124" s="596"/>
      <c r="X124" s="596"/>
      <c r="Y124" s="580">
        <f t="shared" si="3"/>
        <v>0</v>
      </c>
      <c r="Z124" s="581"/>
      <c r="AA124" s="581"/>
      <c r="AB124" s="592"/>
      <c r="AC124" s="592"/>
    </row>
    <row r="125" spans="1:29" ht="18" customHeight="1" hidden="1">
      <c r="A125" s="589" t="s">
        <v>726</v>
      </c>
      <c r="B125" s="596"/>
      <c r="C125" s="596"/>
      <c r="D125" s="596"/>
      <c r="E125" s="596"/>
      <c r="F125" s="596"/>
      <c r="G125" s="596"/>
      <c r="H125" s="596"/>
      <c r="I125" s="596"/>
      <c r="J125" s="596"/>
      <c r="K125" s="596"/>
      <c r="L125" s="596"/>
      <c r="M125" s="596"/>
      <c r="N125" s="596"/>
      <c r="O125" s="596"/>
      <c r="P125" s="596"/>
      <c r="Q125" s="596"/>
      <c r="R125" s="596"/>
      <c r="S125" s="596"/>
      <c r="T125" s="596"/>
      <c r="U125" s="596"/>
      <c r="V125" s="596"/>
      <c r="W125" s="596"/>
      <c r="X125" s="596"/>
      <c r="Y125" s="580">
        <f t="shared" si="3"/>
        <v>0</v>
      </c>
      <c r="Z125" s="581"/>
      <c r="AA125" s="581"/>
      <c r="AB125" s="592"/>
      <c r="AC125" s="592"/>
    </row>
    <row r="126" spans="1:29" ht="18" customHeight="1" hidden="1">
      <c r="A126" s="589" t="s">
        <v>728</v>
      </c>
      <c r="B126" s="596"/>
      <c r="C126" s="596"/>
      <c r="D126" s="596"/>
      <c r="E126" s="596"/>
      <c r="F126" s="596"/>
      <c r="G126" s="596"/>
      <c r="H126" s="596"/>
      <c r="I126" s="596"/>
      <c r="J126" s="596"/>
      <c r="K126" s="596"/>
      <c r="L126" s="596"/>
      <c r="M126" s="596"/>
      <c r="N126" s="596"/>
      <c r="O126" s="596"/>
      <c r="P126" s="596"/>
      <c r="Q126" s="596"/>
      <c r="R126" s="596"/>
      <c r="S126" s="596"/>
      <c r="T126" s="596"/>
      <c r="U126" s="596"/>
      <c r="V126" s="596"/>
      <c r="W126" s="596"/>
      <c r="X126" s="596"/>
      <c r="Y126" s="580">
        <f t="shared" si="3"/>
        <v>0</v>
      </c>
      <c r="Z126" s="581"/>
      <c r="AA126" s="581"/>
      <c r="AB126" s="592"/>
      <c r="AC126" s="592"/>
    </row>
    <row r="127" spans="1:30" s="478" customFormat="1" ht="18" customHeight="1" hidden="1">
      <c r="A127" s="589" t="s">
        <v>730</v>
      </c>
      <c r="B127" s="596"/>
      <c r="C127" s="596"/>
      <c r="D127" s="596"/>
      <c r="E127" s="596"/>
      <c r="F127" s="596"/>
      <c r="G127" s="596"/>
      <c r="H127" s="596"/>
      <c r="I127" s="596"/>
      <c r="J127" s="596"/>
      <c r="K127" s="596"/>
      <c r="L127" s="596"/>
      <c r="M127" s="596"/>
      <c r="N127" s="596"/>
      <c r="O127" s="596"/>
      <c r="P127" s="596"/>
      <c r="Q127" s="596"/>
      <c r="R127" s="596"/>
      <c r="S127" s="596"/>
      <c r="T127" s="596"/>
      <c r="U127" s="596"/>
      <c r="V127" s="596"/>
      <c r="W127" s="596"/>
      <c r="X127" s="596"/>
      <c r="Y127" s="580">
        <f t="shared" si="3"/>
        <v>0</v>
      </c>
      <c r="Z127" s="581"/>
      <c r="AA127" s="581"/>
      <c r="AB127" s="610"/>
      <c r="AC127" s="610"/>
      <c r="AD127" s="585"/>
    </row>
    <row r="128" spans="1:30" s="478" customFormat="1" ht="18" customHeight="1" hidden="1">
      <c r="A128" s="589" t="s">
        <v>740</v>
      </c>
      <c r="B128" s="596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80">
        <f t="shared" si="3"/>
        <v>0</v>
      </c>
      <c r="Z128" s="581"/>
      <c r="AA128" s="581"/>
      <c r="AB128" s="610"/>
      <c r="AC128" s="610"/>
      <c r="AD128" s="585"/>
    </row>
    <row r="129" spans="1:30" s="478" customFormat="1" ht="18" customHeight="1" hidden="1">
      <c r="A129" s="611" t="s">
        <v>747</v>
      </c>
      <c r="B129" s="612"/>
      <c r="C129" s="612"/>
      <c r="D129" s="612"/>
      <c r="E129" s="612"/>
      <c r="F129" s="612"/>
      <c r="G129" s="612"/>
      <c r="H129" s="612"/>
      <c r="I129" s="612"/>
      <c r="J129" s="612"/>
      <c r="K129" s="612"/>
      <c r="L129" s="612"/>
      <c r="M129" s="612"/>
      <c r="N129" s="612"/>
      <c r="O129" s="612"/>
      <c r="P129" s="612"/>
      <c r="Q129" s="612"/>
      <c r="R129" s="612"/>
      <c r="S129" s="612"/>
      <c r="T129" s="612"/>
      <c r="U129" s="612"/>
      <c r="V129" s="612"/>
      <c r="W129" s="612"/>
      <c r="X129" s="612"/>
      <c r="Y129" s="580">
        <f t="shared" si="3"/>
        <v>0</v>
      </c>
      <c r="Z129" s="581"/>
      <c r="AA129" s="581"/>
      <c r="AB129" s="610"/>
      <c r="AC129" s="610"/>
      <c r="AD129" s="585"/>
    </row>
    <row r="130" spans="1:30" s="478" customFormat="1" ht="18" customHeight="1" hidden="1">
      <c r="A130" s="589" t="s">
        <v>748</v>
      </c>
      <c r="B130" s="596"/>
      <c r="C130" s="596"/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  <c r="O130" s="596"/>
      <c r="P130" s="596"/>
      <c r="Q130" s="596"/>
      <c r="R130" s="596"/>
      <c r="S130" s="596"/>
      <c r="T130" s="596"/>
      <c r="U130" s="596"/>
      <c r="V130" s="596"/>
      <c r="W130" s="596"/>
      <c r="X130" s="596"/>
      <c r="Y130" s="580">
        <f t="shared" si="3"/>
        <v>0</v>
      </c>
      <c r="Z130" s="581"/>
      <c r="AA130" s="581"/>
      <c r="AB130" s="610"/>
      <c r="AC130" s="610"/>
      <c r="AD130" s="585"/>
    </row>
    <row r="131" spans="1:30" s="478" customFormat="1" ht="18" customHeight="1" hidden="1">
      <c r="A131" s="589" t="s">
        <v>749</v>
      </c>
      <c r="B131" s="596"/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80">
        <f t="shared" si="3"/>
        <v>0</v>
      </c>
      <c r="Z131" s="581"/>
      <c r="AA131" s="581"/>
      <c r="AB131" s="610"/>
      <c r="AC131" s="610"/>
      <c r="AD131" s="585"/>
    </row>
    <row r="132" spans="1:30" s="478" customFormat="1" ht="18" customHeight="1" hidden="1">
      <c r="A132" s="589" t="s">
        <v>750</v>
      </c>
      <c r="B132" s="596"/>
      <c r="C132" s="596"/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6"/>
      <c r="Q132" s="596"/>
      <c r="R132" s="596"/>
      <c r="S132" s="596"/>
      <c r="T132" s="596"/>
      <c r="U132" s="596"/>
      <c r="V132" s="596"/>
      <c r="W132" s="596"/>
      <c r="X132" s="596"/>
      <c r="Y132" s="580">
        <f t="shared" si="3"/>
        <v>0</v>
      </c>
      <c r="Z132" s="581"/>
      <c r="AA132" s="581"/>
      <c r="AB132" s="610"/>
      <c r="AC132" s="610"/>
      <c r="AD132" s="585"/>
    </row>
    <row r="133" spans="1:30" s="478" customFormat="1" ht="18" customHeight="1" hidden="1">
      <c r="A133" s="589" t="s">
        <v>751</v>
      </c>
      <c r="B133" s="596"/>
      <c r="C133" s="596"/>
      <c r="D133" s="596"/>
      <c r="E133" s="596"/>
      <c r="F133" s="596"/>
      <c r="G133" s="596"/>
      <c r="H133" s="596"/>
      <c r="I133" s="596"/>
      <c r="J133" s="596"/>
      <c r="K133" s="596"/>
      <c r="L133" s="596"/>
      <c r="M133" s="596"/>
      <c r="N133" s="596"/>
      <c r="O133" s="596"/>
      <c r="P133" s="596"/>
      <c r="Q133" s="596"/>
      <c r="R133" s="596"/>
      <c r="S133" s="596"/>
      <c r="T133" s="596"/>
      <c r="U133" s="596"/>
      <c r="V133" s="596"/>
      <c r="W133" s="596"/>
      <c r="X133" s="596"/>
      <c r="Y133" s="580">
        <f t="shared" si="3"/>
        <v>0</v>
      </c>
      <c r="Z133" s="581"/>
      <c r="AA133" s="581"/>
      <c r="AB133" s="610"/>
      <c r="AC133" s="610"/>
      <c r="AD133" s="585"/>
    </row>
    <row r="134" spans="1:29" ht="18" customHeight="1" hidden="1">
      <c r="A134" s="589" t="s">
        <v>80</v>
      </c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80">
        <f t="shared" si="3"/>
        <v>0</v>
      </c>
      <c r="Z134" s="581"/>
      <c r="AA134" s="581"/>
      <c r="AB134" s="592"/>
      <c r="AC134" s="592"/>
    </row>
    <row r="135" spans="1:29" ht="18" customHeight="1">
      <c r="A135" s="609" t="s">
        <v>249</v>
      </c>
      <c r="B135" s="596"/>
      <c r="C135" s="596"/>
      <c r="D135" s="596"/>
      <c r="E135" s="596"/>
      <c r="F135" s="596"/>
      <c r="G135" s="596"/>
      <c r="H135" s="596"/>
      <c r="I135" s="596"/>
      <c r="J135" s="596"/>
      <c r="K135" s="596">
        <v>300</v>
      </c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80">
        <f t="shared" si="3"/>
        <v>300</v>
      </c>
      <c r="Z135" s="581"/>
      <c r="AA135" s="581"/>
      <c r="AB135" s="592"/>
      <c r="AC135" s="592"/>
    </row>
    <row r="136" spans="1:29" ht="18" customHeight="1">
      <c r="A136" s="609" t="s">
        <v>350</v>
      </c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>
        <v>1030</v>
      </c>
      <c r="S136" s="596"/>
      <c r="T136" s="596"/>
      <c r="U136" s="596"/>
      <c r="V136" s="596"/>
      <c r="W136" s="596"/>
      <c r="X136" s="596"/>
      <c r="Y136" s="580">
        <f t="shared" si="3"/>
        <v>1030</v>
      </c>
      <c r="Z136" s="581"/>
      <c r="AA136" s="581"/>
      <c r="AB136" s="592"/>
      <c r="AC136" s="592"/>
    </row>
    <row r="137" spans="1:29" ht="18" customHeight="1">
      <c r="A137" s="609" t="s">
        <v>67</v>
      </c>
      <c r="B137" s="596"/>
      <c r="C137" s="596"/>
      <c r="D137" s="596"/>
      <c r="E137" s="596"/>
      <c r="F137" s="596"/>
      <c r="G137" s="596"/>
      <c r="H137" s="596"/>
      <c r="I137" s="596"/>
      <c r="J137" s="596"/>
      <c r="K137" s="596"/>
      <c r="L137" s="596"/>
      <c r="M137" s="596"/>
      <c r="N137" s="596"/>
      <c r="O137" s="596">
        <v>1796</v>
      </c>
      <c r="P137" s="596"/>
      <c r="Q137" s="596"/>
      <c r="R137" s="596"/>
      <c r="S137" s="596"/>
      <c r="T137" s="596"/>
      <c r="U137" s="596"/>
      <c r="V137" s="596"/>
      <c r="W137" s="596"/>
      <c r="X137" s="596"/>
      <c r="Y137" s="580">
        <f t="shared" si="3"/>
        <v>1796</v>
      </c>
      <c r="Z137" s="581"/>
      <c r="AA137" s="581"/>
      <c r="AB137" s="592"/>
      <c r="AC137" s="592"/>
    </row>
    <row r="138" spans="1:29" ht="18" customHeight="1">
      <c r="A138" s="609" t="s">
        <v>250</v>
      </c>
      <c r="B138" s="596"/>
      <c r="C138" s="596"/>
      <c r="D138" s="596"/>
      <c r="E138" s="596"/>
      <c r="F138" s="596"/>
      <c r="G138" s="596"/>
      <c r="H138" s="596"/>
      <c r="I138" s="596"/>
      <c r="J138" s="596"/>
      <c r="K138" s="596">
        <v>700</v>
      </c>
      <c r="L138" s="596"/>
      <c r="M138" s="596"/>
      <c r="N138" s="596"/>
      <c r="O138" s="596"/>
      <c r="P138" s="596"/>
      <c r="Q138" s="596"/>
      <c r="R138" s="596"/>
      <c r="S138" s="596"/>
      <c r="T138" s="596"/>
      <c r="U138" s="596"/>
      <c r="V138" s="596"/>
      <c r="W138" s="596"/>
      <c r="X138" s="596"/>
      <c r="Y138" s="580">
        <f t="shared" si="3"/>
        <v>700</v>
      </c>
      <c r="Z138" s="581"/>
      <c r="AA138" s="581"/>
      <c r="AB138" s="592"/>
      <c r="AC138" s="592"/>
    </row>
    <row r="139" spans="1:29" ht="18" customHeight="1">
      <c r="A139" s="609" t="s">
        <v>68</v>
      </c>
      <c r="B139" s="596"/>
      <c r="C139" s="596"/>
      <c r="D139" s="596"/>
      <c r="E139" s="596"/>
      <c r="F139" s="596"/>
      <c r="G139" s="596"/>
      <c r="H139" s="596"/>
      <c r="I139" s="596"/>
      <c r="J139" s="596"/>
      <c r="K139" s="596"/>
      <c r="L139" s="596"/>
      <c r="M139" s="596"/>
      <c r="N139" s="596"/>
      <c r="O139" s="596"/>
      <c r="P139" s="596"/>
      <c r="Q139" s="596">
        <v>418</v>
      </c>
      <c r="R139" s="596"/>
      <c r="S139" s="596"/>
      <c r="T139" s="596">
        <v>1</v>
      </c>
      <c r="U139" s="596"/>
      <c r="V139" s="596"/>
      <c r="W139" s="596"/>
      <c r="X139" s="596"/>
      <c r="Y139" s="580">
        <f t="shared" si="3"/>
        <v>419</v>
      </c>
      <c r="Z139" s="581"/>
      <c r="AA139" s="581"/>
      <c r="AB139" s="592"/>
      <c r="AC139" s="592"/>
    </row>
    <row r="140" spans="1:29" ht="18" customHeight="1">
      <c r="A140" s="609" t="s">
        <v>351</v>
      </c>
      <c r="B140" s="596"/>
      <c r="C140" s="596"/>
      <c r="D140" s="596"/>
      <c r="E140" s="596"/>
      <c r="F140" s="596"/>
      <c r="G140" s="596"/>
      <c r="H140" s="596"/>
      <c r="I140" s="596"/>
      <c r="J140" s="596"/>
      <c r="K140" s="596"/>
      <c r="L140" s="596"/>
      <c r="M140" s="596"/>
      <c r="N140" s="596"/>
      <c r="O140" s="596"/>
      <c r="P140" s="596"/>
      <c r="Q140" s="596">
        <v>32</v>
      </c>
      <c r="R140" s="596"/>
      <c r="S140" s="596"/>
      <c r="T140" s="596"/>
      <c r="U140" s="596"/>
      <c r="V140" s="596"/>
      <c r="W140" s="596"/>
      <c r="X140" s="596"/>
      <c r="Y140" s="580">
        <f t="shared" si="3"/>
        <v>32</v>
      </c>
      <c r="Z140" s="581"/>
      <c r="AA140" s="581"/>
      <c r="AB140" s="592"/>
      <c r="AC140" s="592"/>
    </row>
    <row r="141" spans="1:29" ht="18" customHeight="1" hidden="1">
      <c r="A141" s="609" t="s">
        <v>352</v>
      </c>
      <c r="B141" s="596"/>
      <c r="C141" s="596"/>
      <c r="D141" s="596"/>
      <c r="E141" s="596"/>
      <c r="F141" s="596"/>
      <c r="G141" s="596"/>
      <c r="H141" s="596"/>
      <c r="I141" s="596"/>
      <c r="J141" s="596"/>
      <c r="K141" s="596"/>
      <c r="L141" s="596"/>
      <c r="M141" s="596"/>
      <c r="N141" s="596"/>
      <c r="O141" s="596"/>
      <c r="P141" s="596"/>
      <c r="Q141" s="596"/>
      <c r="R141" s="596"/>
      <c r="S141" s="596"/>
      <c r="T141" s="596"/>
      <c r="U141" s="596"/>
      <c r="V141" s="596"/>
      <c r="W141" s="596"/>
      <c r="X141" s="596"/>
      <c r="Y141" s="580">
        <f t="shared" si="3"/>
        <v>0</v>
      </c>
      <c r="Z141" s="581"/>
      <c r="AA141" s="581"/>
      <c r="AB141" s="592"/>
      <c r="AC141" s="592"/>
    </row>
    <row r="142" spans="1:29" ht="18" customHeight="1" hidden="1">
      <c r="A142" s="609" t="s">
        <v>69</v>
      </c>
      <c r="B142" s="596"/>
      <c r="C142" s="596"/>
      <c r="D142" s="596"/>
      <c r="E142" s="596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  <c r="V142" s="596"/>
      <c r="W142" s="596"/>
      <c r="X142" s="596"/>
      <c r="Y142" s="580">
        <f t="shared" si="3"/>
        <v>0</v>
      </c>
      <c r="Z142" s="581"/>
      <c r="AA142" s="581"/>
      <c r="AB142" s="592"/>
      <c r="AC142" s="592"/>
    </row>
    <row r="143" spans="1:29" ht="18" customHeight="1" hidden="1">
      <c r="A143" s="609" t="s">
        <v>353</v>
      </c>
      <c r="B143" s="596"/>
      <c r="C143" s="596"/>
      <c r="D143" s="596"/>
      <c r="E143" s="596"/>
      <c r="F143" s="596"/>
      <c r="G143" s="596"/>
      <c r="H143" s="596"/>
      <c r="I143" s="596"/>
      <c r="J143" s="596"/>
      <c r="K143" s="596"/>
      <c r="L143" s="596"/>
      <c r="M143" s="596"/>
      <c r="N143" s="596"/>
      <c r="O143" s="596"/>
      <c r="P143" s="596"/>
      <c r="Q143" s="596"/>
      <c r="R143" s="596"/>
      <c r="S143" s="596"/>
      <c r="T143" s="596"/>
      <c r="U143" s="596"/>
      <c r="V143" s="596"/>
      <c r="W143" s="596"/>
      <c r="X143" s="596"/>
      <c r="Y143" s="580">
        <f t="shared" si="3"/>
        <v>0</v>
      </c>
      <c r="Z143" s="581"/>
      <c r="AA143" s="581"/>
      <c r="AB143" s="592"/>
      <c r="AC143" s="592"/>
    </row>
    <row r="144" spans="1:29" ht="18" customHeight="1" hidden="1">
      <c r="A144" s="609" t="s">
        <v>354</v>
      </c>
      <c r="B144" s="596"/>
      <c r="C144" s="596"/>
      <c r="D144" s="596"/>
      <c r="E144" s="596"/>
      <c r="F144" s="596"/>
      <c r="G144" s="596"/>
      <c r="H144" s="596"/>
      <c r="I144" s="596"/>
      <c r="J144" s="596"/>
      <c r="K144" s="596"/>
      <c r="L144" s="596"/>
      <c r="M144" s="596"/>
      <c r="N144" s="596"/>
      <c r="O144" s="596"/>
      <c r="P144" s="596"/>
      <c r="Q144" s="596"/>
      <c r="R144" s="596"/>
      <c r="S144" s="596"/>
      <c r="T144" s="596"/>
      <c r="U144" s="596"/>
      <c r="V144" s="596"/>
      <c r="W144" s="596"/>
      <c r="X144" s="596"/>
      <c r="Y144" s="580">
        <f t="shared" si="3"/>
        <v>0</v>
      </c>
      <c r="Z144" s="581"/>
      <c r="AA144" s="581"/>
      <c r="AB144" s="592"/>
      <c r="AC144" s="592"/>
    </row>
    <row r="145" spans="1:29" ht="18" customHeight="1" hidden="1">
      <c r="A145" s="609" t="s">
        <v>355</v>
      </c>
      <c r="B145" s="596"/>
      <c r="C145" s="596"/>
      <c r="D145" s="596"/>
      <c r="E145" s="596"/>
      <c r="F145" s="596"/>
      <c r="G145" s="596"/>
      <c r="H145" s="596"/>
      <c r="I145" s="596"/>
      <c r="J145" s="596"/>
      <c r="K145" s="596"/>
      <c r="L145" s="596"/>
      <c r="M145" s="596"/>
      <c r="N145" s="596"/>
      <c r="O145" s="596"/>
      <c r="P145" s="596"/>
      <c r="Q145" s="596"/>
      <c r="R145" s="596"/>
      <c r="S145" s="596"/>
      <c r="T145" s="596"/>
      <c r="U145" s="596"/>
      <c r="V145" s="596"/>
      <c r="W145" s="596"/>
      <c r="X145" s="596"/>
      <c r="Y145" s="580">
        <f t="shared" si="3"/>
        <v>0</v>
      </c>
      <c r="Z145" s="581"/>
      <c r="AA145" s="581"/>
      <c r="AB145" s="592"/>
      <c r="AC145" s="592"/>
    </row>
    <row r="146" spans="1:29" ht="18" customHeight="1" hidden="1">
      <c r="A146" s="609" t="s">
        <v>356</v>
      </c>
      <c r="B146" s="596"/>
      <c r="C146" s="596"/>
      <c r="D146" s="596"/>
      <c r="E146" s="596"/>
      <c r="F146" s="596"/>
      <c r="G146" s="596"/>
      <c r="H146" s="596"/>
      <c r="I146" s="596"/>
      <c r="J146" s="596"/>
      <c r="K146" s="596"/>
      <c r="L146" s="596"/>
      <c r="M146" s="596"/>
      <c r="N146" s="596"/>
      <c r="O146" s="596"/>
      <c r="P146" s="596"/>
      <c r="Q146" s="596"/>
      <c r="R146" s="596"/>
      <c r="S146" s="596"/>
      <c r="T146" s="596"/>
      <c r="U146" s="596"/>
      <c r="V146" s="596"/>
      <c r="W146" s="596"/>
      <c r="X146" s="596"/>
      <c r="Y146" s="580">
        <f t="shared" si="3"/>
        <v>0</v>
      </c>
      <c r="Z146" s="581"/>
      <c r="AA146" s="581"/>
      <c r="AB146" s="592"/>
      <c r="AC146" s="592"/>
    </row>
    <row r="147" spans="1:29" ht="18" customHeight="1" hidden="1">
      <c r="A147" s="609" t="s">
        <v>357</v>
      </c>
      <c r="B147" s="596"/>
      <c r="C147" s="596"/>
      <c r="D147" s="596"/>
      <c r="E147" s="596"/>
      <c r="F147" s="596"/>
      <c r="G147" s="596"/>
      <c r="H147" s="596"/>
      <c r="I147" s="596"/>
      <c r="J147" s="596"/>
      <c r="K147" s="596"/>
      <c r="L147" s="596"/>
      <c r="M147" s="596"/>
      <c r="N147" s="596"/>
      <c r="O147" s="596"/>
      <c r="P147" s="596"/>
      <c r="Q147" s="596"/>
      <c r="R147" s="596"/>
      <c r="S147" s="596"/>
      <c r="T147" s="596"/>
      <c r="U147" s="596"/>
      <c r="V147" s="596"/>
      <c r="W147" s="596"/>
      <c r="X147" s="596"/>
      <c r="Y147" s="580">
        <f t="shared" si="3"/>
        <v>0</v>
      </c>
      <c r="Z147" s="581"/>
      <c r="AA147" s="581"/>
      <c r="AB147" s="592"/>
      <c r="AC147" s="592"/>
    </row>
    <row r="148" spans="1:29" ht="18" customHeight="1">
      <c r="A148" s="609" t="s">
        <v>352</v>
      </c>
      <c r="B148" s="596"/>
      <c r="C148" s="596"/>
      <c r="D148" s="596"/>
      <c r="E148" s="596"/>
      <c r="F148" s="596"/>
      <c r="G148" s="596"/>
      <c r="H148" s="596"/>
      <c r="I148" s="596"/>
      <c r="J148" s="596"/>
      <c r="K148" s="596">
        <v>-4000</v>
      </c>
      <c r="L148" s="596"/>
      <c r="M148" s="596"/>
      <c r="N148" s="596"/>
      <c r="O148" s="596"/>
      <c r="P148" s="596"/>
      <c r="Q148" s="596"/>
      <c r="R148" s="596"/>
      <c r="S148" s="596"/>
      <c r="T148" s="596"/>
      <c r="U148" s="596"/>
      <c r="V148" s="596"/>
      <c r="W148" s="596"/>
      <c r="X148" s="596"/>
      <c r="Y148" s="580">
        <f t="shared" si="3"/>
        <v>-4000</v>
      </c>
      <c r="Z148" s="581"/>
      <c r="AA148" s="581"/>
      <c r="AB148" s="592"/>
      <c r="AC148" s="592"/>
    </row>
    <row r="149" spans="1:29" ht="18" customHeight="1">
      <c r="A149" s="609" t="s">
        <v>358</v>
      </c>
      <c r="B149" s="596"/>
      <c r="C149" s="596"/>
      <c r="D149" s="596"/>
      <c r="E149" s="596"/>
      <c r="F149" s="596"/>
      <c r="G149" s="596"/>
      <c r="H149" s="596"/>
      <c r="I149" s="596"/>
      <c r="J149" s="596"/>
      <c r="K149" s="596"/>
      <c r="L149" s="596"/>
      <c r="M149" s="596"/>
      <c r="N149" s="596"/>
      <c r="O149" s="596"/>
      <c r="P149" s="596"/>
      <c r="Q149" s="596"/>
      <c r="R149" s="596">
        <v>707</v>
      </c>
      <c r="S149" s="596"/>
      <c r="T149" s="596"/>
      <c r="U149" s="596"/>
      <c r="V149" s="596"/>
      <c r="W149" s="596"/>
      <c r="X149" s="596"/>
      <c r="Y149" s="580">
        <f t="shared" si="3"/>
        <v>707</v>
      </c>
      <c r="Z149" s="581"/>
      <c r="AA149" s="581"/>
      <c r="AB149" s="592"/>
      <c r="AC149" s="592"/>
    </row>
    <row r="150" spans="1:29" ht="18" customHeight="1">
      <c r="A150" s="609" t="s">
        <v>70</v>
      </c>
      <c r="B150" s="596"/>
      <c r="C150" s="596"/>
      <c r="D150" s="596"/>
      <c r="E150" s="596"/>
      <c r="F150" s="596"/>
      <c r="G150" s="596"/>
      <c r="H150" s="596"/>
      <c r="I150" s="596"/>
      <c r="J150" s="596"/>
      <c r="K150" s="596">
        <v>-4105</v>
      </c>
      <c r="L150" s="596"/>
      <c r="M150" s="596"/>
      <c r="N150" s="596">
        <v>-575</v>
      </c>
      <c r="O150" s="596"/>
      <c r="P150" s="596">
        <v>575</v>
      </c>
      <c r="Q150" s="596"/>
      <c r="R150" s="596"/>
      <c r="S150" s="596"/>
      <c r="T150" s="596"/>
      <c r="U150" s="596"/>
      <c r="V150" s="596"/>
      <c r="W150" s="596"/>
      <c r="X150" s="596"/>
      <c r="Y150" s="580">
        <f t="shared" si="3"/>
        <v>-4105</v>
      </c>
      <c r="Z150" s="581"/>
      <c r="AA150" s="581"/>
      <c r="AB150" s="592"/>
      <c r="AC150" s="592"/>
    </row>
    <row r="151" spans="1:29" ht="18" customHeight="1" hidden="1">
      <c r="A151" s="609" t="s">
        <v>359</v>
      </c>
      <c r="B151" s="596"/>
      <c r="C151" s="596"/>
      <c r="D151" s="596"/>
      <c r="E151" s="596"/>
      <c r="F151" s="596"/>
      <c r="G151" s="596"/>
      <c r="H151" s="596"/>
      <c r="I151" s="596"/>
      <c r="J151" s="596"/>
      <c r="K151" s="596"/>
      <c r="L151" s="596"/>
      <c r="M151" s="596"/>
      <c r="N151" s="596"/>
      <c r="O151" s="596"/>
      <c r="P151" s="596"/>
      <c r="Q151" s="596"/>
      <c r="R151" s="596"/>
      <c r="S151" s="596"/>
      <c r="T151" s="596"/>
      <c r="U151" s="596"/>
      <c r="V151" s="596"/>
      <c r="W151" s="596"/>
      <c r="X151" s="596"/>
      <c r="Y151" s="580">
        <f t="shared" si="3"/>
        <v>0</v>
      </c>
      <c r="Z151" s="581"/>
      <c r="AA151" s="581"/>
      <c r="AB151" s="592"/>
      <c r="AC151" s="592"/>
    </row>
    <row r="152" spans="1:29" ht="18" customHeight="1" hidden="1">
      <c r="A152" s="609" t="s">
        <v>360</v>
      </c>
      <c r="B152" s="596"/>
      <c r="C152" s="596"/>
      <c r="D152" s="596"/>
      <c r="E152" s="596"/>
      <c r="F152" s="596"/>
      <c r="G152" s="596"/>
      <c r="H152" s="596"/>
      <c r="I152" s="596"/>
      <c r="J152" s="596"/>
      <c r="K152" s="596"/>
      <c r="L152" s="596"/>
      <c r="M152" s="596"/>
      <c r="N152" s="596"/>
      <c r="O152" s="596"/>
      <c r="P152" s="596"/>
      <c r="Q152" s="596"/>
      <c r="R152" s="596"/>
      <c r="S152" s="596"/>
      <c r="T152" s="596"/>
      <c r="U152" s="596"/>
      <c r="V152" s="596"/>
      <c r="W152" s="596"/>
      <c r="X152" s="596"/>
      <c r="Y152" s="580">
        <f t="shared" si="3"/>
        <v>0</v>
      </c>
      <c r="Z152" s="581"/>
      <c r="AA152" s="581"/>
      <c r="AB152" s="592"/>
      <c r="AC152" s="592"/>
    </row>
    <row r="153" spans="1:29" ht="18" customHeight="1">
      <c r="A153" s="609" t="s">
        <v>360</v>
      </c>
      <c r="B153" s="596"/>
      <c r="C153" s="596"/>
      <c r="D153" s="596"/>
      <c r="E153" s="596"/>
      <c r="F153" s="596"/>
      <c r="G153" s="596"/>
      <c r="H153" s="596"/>
      <c r="I153" s="596"/>
      <c r="J153" s="596"/>
      <c r="K153" s="596">
        <v>1000</v>
      </c>
      <c r="L153" s="596"/>
      <c r="M153" s="596"/>
      <c r="N153" s="596"/>
      <c r="O153" s="596"/>
      <c r="P153" s="596"/>
      <c r="Q153" s="596"/>
      <c r="R153" s="596"/>
      <c r="S153" s="596"/>
      <c r="T153" s="596"/>
      <c r="U153" s="596"/>
      <c r="V153" s="596"/>
      <c r="W153" s="596"/>
      <c r="X153" s="596"/>
      <c r="Y153" s="580">
        <f t="shared" si="3"/>
        <v>1000</v>
      </c>
      <c r="Z153" s="581"/>
      <c r="AA153" s="581"/>
      <c r="AB153" s="592"/>
      <c r="AC153" s="592"/>
    </row>
    <row r="154" spans="1:29" ht="18" customHeight="1">
      <c r="A154" s="609" t="s">
        <v>361</v>
      </c>
      <c r="B154" s="596"/>
      <c r="C154" s="596"/>
      <c r="D154" s="596"/>
      <c r="E154" s="596"/>
      <c r="F154" s="596"/>
      <c r="G154" s="596"/>
      <c r="H154" s="596"/>
      <c r="I154" s="596"/>
      <c r="J154" s="596"/>
      <c r="K154" s="596"/>
      <c r="L154" s="596"/>
      <c r="M154" s="596"/>
      <c r="N154" s="596"/>
      <c r="O154" s="596">
        <v>163</v>
      </c>
      <c r="P154" s="596"/>
      <c r="Q154" s="596"/>
      <c r="R154" s="596"/>
      <c r="S154" s="596"/>
      <c r="T154" s="596"/>
      <c r="U154" s="596"/>
      <c r="V154" s="596"/>
      <c r="W154" s="596"/>
      <c r="X154" s="596"/>
      <c r="Y154" s="580">
        <f t="shared" si="3"/>
        <v>163</v>
      </c>
      <c r="Z154" s="581"/>
      <c r="AA154" s="581"/>
      <c r="AB154" s="592"/>
      <c r="AC154" s="592"/>
    </row>
    <row r="155" spans="1:29" ht="18" customHeight="1" hidden="1">
      <c r="A155" s="609" t="s">
        <v>362</v>
      </c>
      <c r="B155" s="596"/>
      <c r="C155" s="596"/>
      <c r="D155" s="596"/>
      <c r="E155" s="596"/>
      <c r="F155" s="596"/>
      <c r="G155" s="596"/>
      <c r="H155" s="596"/>
      <c r="I155" s="596"/>
      <c r="J155" s="596"/>
      <c r="K155" s="596"/>
      <c r="L155" s="596"/>
      <c r="M155" s="596"/>
      <c r="N155" s="596"/>
      <c r="O155" s="596"/>
      <c r="P155" s="596"/>
      <c r="Q155" s="596"/>
      <c r="R155" s="596"/>
      <c r="S155" s="596"/>
      <c r="T155" s="596"/>
      <c r="U155" s="596"/>
      <c r="V155" s="596"/>
      <c r="W155" s="596"/>
      <c r="X155" s="596"/>
      <c r="Y155" s="580">
        <f t="shared" si="3"/>
        <v>0</v>
      </c>
      <c r="Z155" s="581"/>
      <c r="AA155" s="581"/>
      <c r="AB155" s="592"/>
      <c r="AC155" s="592"/>
    </row>
    <row r="156" spans="1:29" ht="18" customHeight="1" hidden="1">
      <c r="A156" s="609" t="s">
        <v>363</v>
      </c>
      <c r="B156" s="596"/>
      <c r="C156" s="596"/>
      <c r="D156" s="596"/>
      <c r="E156" s="596"/>
      <c r="F156" s="596"/>
      <c r="G156" s="596"/>
      <c r="H156" s="596"/>
      <c r="I156" s="596"/>
      <c r="J156" s="596"/>
      <c r="K156" s="596"/>
      <c r="L156" s="596"/>
      <c r="M156" s="596"/>
      <c r="N156" s="596"/>
      <c r="O156" s="596"/>
      <c r="P156" s="596"/>
      <c r="Q156" s="596"/>
      <c r="R156" s="596"/>
      <c r="S156" s="596"/>
      <c r="T156" s="596"/>
      <c r="U156" s="596"/>
      <c r="V156" s="596"/>
      <c r="W156" s="596"/>
      <c r="X156" s="596"/>
      <c r="Y156" s="580">
        <f t="shared" si="3"/>
        <v>0</v>
      </c>
      <c r="Z156" s="581"/>
      <c r="AA156" s="581"/>
      <c r="AB156" s="592"/>
      <c r="AC156" s="592"/>
    </row>
    <row r="157" spans="1:29" ht="18" customHeight="1" hidden="1">
      <c r="A157" s="609" t="s">
        <v>364</v>
      </c>
      <c r="B157" s="596"/>
      <c r="C157" s="596"/>
      <c r="D157" s="596"/>
      <c r="E157" s="596"/>
      <c r="F157" s="596"/>
      <c r="G157" s="596"/>
      <c r="H157" s="596"/>
      <c r="I157" s="596"/>
      <c r="J157" s="596"/>
      <c r="K157" s="596"/>
      <c r="L157" s="596"/>
      <c r="M157" s="596"/>
      <c r="N157" s="596"/>
      <c r="O157" s="596"/>
      <c r="P157" s="596"/>
      <c r="Q157" s="596"/>
      <c r="R157" s="596"/>
      <c r="S157" s="596"/>
      <c r="T157" s="596"/>
      <c r="U157" s="596"/>
      <c r="V157" s="596"/>
      <c r="W157" s="596"/>
      <c r="X157" s="596"/>
      <c r="Y157" s="580">
        <f t="shared" si="3"/>
        <v>0</v>
      </c>
      <c r="Z157" s="581"/>
      <c r="AA157" s="581"/>
      <c r="AB157" s="592"/>
      <c r="AC157" s="592"/>
    </row>
    <row r="158" spans="1:29" ht="18" customHeight="1" hidden="1">
      <c r="A158" s="609" t="s">
        <v>365</v>
      </c>
      <c r="B158" s="596"/>
      <c r="C158" s="596"/>
      <c r="D158" s="596"/>
      <c r="E158" s="596"/>
      <c r="F158" s="596"/>
      <c r="G158" s="596"/>
      <c r="H158" s="596"/>
      <c r="I158" s="596"/>
      <c r="J158" s="596"/>
      <c r="K158" s="596"/>
      <c r="L158" s="596"/>
      <c r="M158" s="596"/>
      <c r="N158" s="596"/>
      <c r="O158" s="596"/>
      <c r="P158" s="596"/>
      <c r="Q158" s="596"/>
      <c r="R158" s="596"/>
      <c r="S158" s="596"/>
      <c r="T158" s="596"/>
      <c r="U158" s="596"/>
      <c r="V158" s="596"/>
      <c r="W158" s="596"/>
      <c r="X158" s="596"/>
      <c r="Y158" s="580">
        <f t="shared" si="3"/>
        <v>0</v>
      </c>
      <c r="Z158" s="581"/>
      <c r="AA158" s="581"/>
      <c r="AB158" s="592"/>
      <c r="AC158" s="592"/>
    </row>
    <row r="159" spans="1:29" ht="18" customHeight="1" hidden="1">
      <c r="A159" s="609" t="s">
        <v>366</v>
      </c>
      <c r="B159" s="596"/>
      <c r="C159" s="596"/>
      <c r="D159" s="596"/>
      <c r="E159" s="596"/>
      <c r="F159" s="596"/>
      <c r="G159" s="596"/>
      <c r="H159" s="596"/>
      <c r="I159" s="596"/>
      <c r="J159" s="596"/>
      <c r="K159" s="596"/>
      <c r="L159" s="596"/>
      <c r="M159" s="596"/>
      <c r="N159" s="596"/>
      <c r="O159" s="596"/>
      <c r="P159" s="596"/>
      <c r="Q159" s="596"/>
      <c r="R159" s="596"/>
      <c r="S159" s="596"/>
      <c r="T159" s="596"/>
      <c r="U159" s="596"/>
      <c r="V159" s="596"/>
      <c r="W159" s="596"/>
      <c r="X159" s="596"/>
      <c r="Y159" s="580">
        <f t="shared" si="3"/>
        <v>0</v>
      </c>
      <c r="Z159" s="581"/>
      <c r="AA159" s="581"/>
      <c r="AB159" s="592"/>
      <c r="AC159" s="592"/>
    </row>
    <row r="160" spans="1:29" ht="18" customHeight="1" hidden="1">
      <c r="A160" s="609" t="s">
        <v>367</v>
      </c>
      <c r="B160" s="596"/>
      <c r="C160" s="596"/>
      <c r="D160" s="596"/>
      <c r="E160" s="596"/>
      <c r="F160" s="596"/>
      <c r="G160" s="596"/>
      <c r="H160" s="596"/>
      <c r="I160" s="596"/>
      <c r="J160" s="596"/>
      <c r="K160" s="596"/>
      <c r="L160" s="596"/>
      <c r="M160" s="596"/>
      <c r="N160" s="596"/>
      <c r="O160" s="596"/>
      <c r="P160" s="596"/>
      <c r="Q160" s="596"/>
      <c r="R160" s="596"/>
      <c r="S160" s="596"/>
      <c r="T160" s="596"/>
      <c r="U160" s="596"/>
      <c r="V160" s="596"/>
      <c r="W160" s="596"/>
      <c r="X160" s="596"/>
      <c r="Y160" s="580">
        <f t="shared" si="3"/>
        <v>0</v>
      </c>
      <c r="Z160" s="581"/>
      <c r="AA160" s="581"/>
      <c r="AB160" s="592"/>
      <c r="AC160" s="592"/>
    </row>
    <row r="161" spans="1:29" ht="18" customHeight="1" hidden="1">
      <c r="A161" s="609" t="s">
        <v>368</v>
      </c>
      <c r="B161" s="596"/>
      <c r="C161" s="596"/>
      <c r="D161" s="596"/>
      <c r="E161" s="596"/>
      <c r="F161" s="596"/>
      <c r="G161" s="596"/>
      <c r="H161" s="596"/>
      <c r="I161" s="596"/>
      <c r="J161" s="596"/>
      <c r="K161" s="596"/>
      <c r="L161" s="596"/>
      <c r="M161" s="596"/>
      <c r="N161" s="596"/>
      <c r="O161" s="596"/>
      <c r="P161" s="596"/>
      <c r="Q161" s="596"/>
      <c r="R161" s="596"/>
      <c r="S161" s="596"/>
      <c r="T161" s="596"/>
      <c r="U161" s="596"/>
      <c r="V161" s="596"/>
      <c r="W161" s="596"/>
      <c r="X161" s="596"/>
      <c r="Y161" s="580">
        <f t="shared" si="3"/>
        <v>0</v>
      </c>
      <c r="Z161" s="581"/>
      <c r="AA161" s="581"/>
      <c r="AB161" s="592"/>
      <c r="AC161" s="592"/>
    </row>
    <row r="162" spans="1:29" ht="18" customHeight="1" hidden="1">
      <c r="A162" s="609" t="s">
        <v>369</v>
      </c>
      <c r="B162" s="596"/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596"/>
      <c r="U162" s="596"/>
      <c r="V162" s="596"/>
      <c r="W162" s="596"/>
      <c r="X162" s="596"/>
      <c r="Y162" s="580">
        <f t="shared" si="3"/>
        <v>0</v>
      </c>
      <c r="Z162" s="581"/>
      <c r="AA162" s="581"/>
      <c r="AB162" s="592"/>
      <c r="AC162" s="592"/>
    </row>
    <row r="163" spans="1:29" ht="18" customHeight="1">
      <c r="A163" s="609" t="s">
        <v>363</v>
      </c>
      <c r="B163" s="596"/>
      <c r="C163" s="596"/>
      <c r="D163" s="596"/>
      <c r="E163" s="596"/>
      <c r="F163" s="596"/>
      <c r="G163" s="596"/>
      <c r="H163" s="596"/>
      <c r="I163" s="596"/>
      <c r="J163" s="596"/>
      <c r="K163" s="596">
        <v>4500</v>
      </c>
      <c r="L163" s="596"/>
      <c r="M163" s="596"/>
      <c r="N163" s="596"/>
      <c r="O163" s="596"/>
      <c r="P163" s="596"/>
      <c r="Q163" s="596"/>
      <c r="R163" s="596"/>
      <c r="S163" s="596"/>
      <c r="T163" s="596"/>
      <c r="U163" s="596"/>
      <c r="V163" s="596"/>
      <c r="W163" s="596"/>
      <c r="X163" s="596"/>
      <c r="Y163" s="580">
        <f t="shared" si="3"/>
        <v>4500</v>
      </c>
      <c r="Z163" s="581"/>
      <c r="AA163" s="581"/>
      <c r="AB163" s="592"/>
      <c r="AC163" s="592"/>
    </row>
    <row r="164" spans="1:29" ht="18" customHeight="1">
      <c r="A164" s="609" t="s">
        <v>366</v>
      </c>
      <c r="B164" s="596"/>
      <c r="C164" s="596"/>
      <c r="D164" s="596"/>
      <c r="E164" s="596"/>
      <c r="F164" s="596"/>
      <c r="G164" s="596"/>
      <c r="H164" s="596"/>
      <c r="I164" s="596"/>
      <c r="J164" s="596"/>
      <c r="K164" s="596">
        <v>1400</v>
      </c>
      <c r="L164" s="596"/>
      <c r="M164" s="596"/>
      <c r="N164" s="596"/>
      <c r="O164" s="596"/>
      <c r="P164" s="596"/>
      <c r="Q164" s="596"/>
      <c r="R164" s="596"/>
      <c r="S164" s="596"/>
      <c r="T164" s="596"/>
      <c r="U164" s="596"/>
      <c r="V164" s="596"/>
      <c r="W164" s="596"/>
      <c r="X164" s="596"/>
      <c r="Y164" s="580">
        <f t="shared" si="3"/>
        <v>1400</v>
      </c>
      <c r="Z164" s="581"/>
      <c r="AA164" s="581"/>
      <c r="AB164" s="592"/>
      <c r="AC164" s="592"/>
    </row>
    <row r="165" spans="1:29" ht="18" customHeight="1">
      <c r="A165" s="609" t="s">
        <v>71</v>
      </c>
      <c r="B165" s="596"/>
      <c r="C165" s="596"/>
      <c r="D165" s="596"/>
      <c r="E165" s="596"/>
      <c r="F165" s="596"/>
      <c r="G165" s="596"/>
      <c r="H165" s="596"/>
      <c r="I165" s="596"/>
      <c r="J165" s="596"/>
      <c r="K165" s="596"/>
      <c r="L165" s="596"/>
      <c r="M165" s="596"/>
      <c r="N165" s="596"/>
      <c r="O165" s="596"/>
      <c r="P165" s="596"/>
      <c r="Q165" s="596">
        <v>80</v>
      </c>
      <c r="R165" s="596"/>
      <c r="S165" s="596"/>
      <c r="T165" s="596">
        <v>45</v>
      </c>
      <c r="U165" s="596"/>
      <c r="V165" s="596"/>
      <c r="W165" s="596"/>
      <c r="X165" s="596"/>
      <c r="Y165" s="580">
        <f t="shared" si="3"/>
        <v>125</v>
      </c>
      <c r="Z165" s="581"/>
      <c r="AA165" s="581"/>
      <c r="AB165" s="592"/>
      <c r="AC165" s="592"/>
    </row>
    <row r="166" spans="1:29" ht="18" customHeight="1" hidden="1">
      <c r="A166" s="609" t="s">
        <v>370</v>
      </c>
      <c r="B166" s="596"/>
      <c r="C166" s="596"/>
      <c r="D166" s="596"/>
      <c r="E166" s="596"/>
      <c r="F166" s="596"/>
      <c r="G166" s="596"/>
      <c r="H166" s="596"/>
      <c r="I166" s="596"/>
      <c r="J166" s="596"/>
      <c r="K166" s="596"/>
      <c r="L166" s="596"/>
      <c r="M166" s="596"/>
      <c r="N166" s="596"/>
      <c r="O166" s="596"/>
      <c r="P166" s="596"/>
      <c r="Q166" s="596"/>
      <c r="R166" s="596"/>
      <c r="S166" s="596"/>
      <c r="T166" s="596"/>
      <c r="U166" s="596"/>
      <c r="V166" s="596"/>
      <c r="W166" s="596"/>
      <c r="X166" s="596"/>
      <c r="Y166" s="580">
        <f t="shared" si="3"/>
        <v>0</v>
      </c>
      <c r="Z166" s="581"/>
      <c r="AA166" s="581"/>
      <c r="AB166" s="592"/>
      <c r="AC166" s="592"/>
    </row>
    <row r="167" spans="1:29" ht="18" customHeight="1" hidden="1">
      <c r="A167" s="609" t="s">
        <v>371</v>
      </c>
      <c r="B167" s="596"/>
      <c r="C167" s="596"/>
      <c r="D167" s="596"/>
      <c r="E167" s="596"/>
      <c r="F167" s="596"/>
      <c r="G167" s="596"/>
      <c r="H167" s="596"/>
      <c r="I167" s="596"/>
      <c r="J167" s="596"/>
      <c r="K167" s="596"/>
      <c r="L167" s="596"/>
      <c r="M167" s="596"/>
      <c r="N167" s="596"/>
      <c r="O167" s="596"/>
      <c r="P167" s="596"/>
      <c r="Q167" s="596"/>
      <c r="R167" s="596"/>
      <c r="S167" s="596"/>
      <c r="T167" s="596"/>
      <c r="U167" s="596"/>
      <c r="V167" s="596"/>
      <c r="W167" s="596"/>
      <c r="X167" s="596"/>
      <c r="Y167" s="580">
        <f t="shared" si="3"/>
        <v>0</v>
      </c>
      <c r="Z167" s="581"/>
      <c r="AA167" s="581"/>
      <c r="AB167" s="592"/>
      <c r="AC167" s="592"/>
    </row>
    <row r="168" spans="1:29" ht="18" customHeight="1" hidden="1">
      <c r="A168" s="609" t="s">
        <v>372</v>
      </c>
      <c r="B168" s="596"/>
      <c r="C168" s="596"/>
      <c r="D168" s="596"/>
      <c r="E168" s="596"/>
      <c r="F168" s="596"/>
      <c r="G168" s="596"/>
      <c r="H168" s="596"/>
      <c r="I168" s="596"/>
      <c r="J168" s="596"/>
      <c r="K168" s="596"/>
      <c r="L168" s="596"/>
      <c r="M168" s="596"/>
      <c r="N168" s="596"/>
      <c r="O168" s="596"/>
      <c r="P168" s="596"/>
      <c r="Q168" s="596"/>
      <c r="R168" s="596"/>
      <c r="S168" s="596"/>
      <c r="T168" s="596"/>
      <c r="U168" s="596"/>
      <c r="V168" s="596"/>
      <c r="W168" s="596"/>
      <c r="X168" s="596"/>
      <c r="Y168" s="580">
        <f t="shared" si="3"/>
        <v>0</v>
      </c>
      <c r="Z168" s="581"/>
      <c r="AA168" s="581"/>
      <c r="AB168" s="592"/>
      <c r="AC168" s="592"/>
    </row>
    <row r="169" spans="1:29" ht="18" customHeight="1" hidden="1">
      <c r="A169" s="609" t="s">
        <v>373</v>
      </c>
      <c r="B169" s="596"/>
      <c r="C169" s="596"/>
      <c r="D169" s="596"/>
      <c r="E169" s="596"/>
      <c r="F169" s="596"/>
      <c r="G169" s="596"/>
      <c r="H169" s="596"/>
      <c r="I169" s="596"/>
      <c r="J169" s="596"/>
      <c r="K169" s="596"/>
      <c r="L169" s="596"/>
      <c r="M169" s="596"/>
      <c r="N169" s="596"/>
      <c r="O169" s="596"/>
      <c r="P169" s="596"/>
      <c r="Q169" s="596"/>
      <c r="R169" s="596"/>
      <c r="S169" s="596"/>
      <c r="T169" s="596"/>
      <c r="U169" s="596"/>
      <c r="V169" s="596"/>
      <c r="W169" s="596"/>
      <c r="X169" s="596"/>
      <c r="Y169" s="580">
        <f t="shared" si="3"/>
        <v>0</v>
      </c>
      <c r="Z169" s="581"/>
      <c r="AA169" s="581"/>
      <c r="AB169" s="592"/>
      <c r="AC169" s="592"/>
    </row>
    <row r="170" spans="1:29" ht="18" customHeight="1">
      <c r="A170" s="609" t="s">
        <v>372</v>
      </c>
      <c r="B170" s="596"/>
      <c r="C170" s="596"/>
      <c r="D170" s="596"/>
      <c r="E170" s="596"/>
      <c r="F170" s="596"/>
      <c r="G170" s="596"/>
      <c r="H170" s="596"/>
      <c r="I170" s="596"/>
      <c r="J170" s="596"/>
      <c r="K170" s="596">
        <v>205</v>
      </c>
      <c r="L170" s="596"/>
      <c r="M170" s="596"/>
      <c r="N170" s="596"/>
      <c r="O170" s="596"/>
      <c r="P170" s="596"/>
      <c r="Q170" s="596"/>
      <c r="R170" s="596"/>
      <c r="S170" s="596"/>
      <c r="T170" s="596"/>
      <c r="U170" s="596"/>
      <c r="V170" s="596"/>
      <c r="W170" s="596"/>
      <c r="X170" s="596"/>
      <c r="Y170" s="580">
        <f t="shared" si="3"/>
        <v>205</v>
      </c>
      <c r="Z170" s="581"/>
      <c r="AA170" s="581"/>
      <c r="AB170" s="592"/>
      <c r="AC170" s="592"/>
    </row>
    <row r="171" spans="1:29" ht="18" customHeight="1">
      <c r="A171" s="609" t="s">
        <v>72</v>
      </c>
      <c r="B171" s="596"/>
      <c r="C171" s="596"/>
      <c r="D171" s="596"/>
      <c r="E171" s="596"/>
      <c r="F171" s="596"/>
      <c r="G171" s="596"/>
      <c r="H171" s="596"/>
      <c r="I171" s="596"/>
      <c r="J171" s="596"/>
      <c r="K171" s="596"/>
      <c r="L171" s="596">
        <v>1000</v>
      </c>
      <c r="M171" s="596"/>
      <c r="N171" s="596"/>
      <c r="O171" s="596">
        <v>4000</v>
      </c>
      <c r="P171" s="596"/>
      <c r="Q171" s="596"/>
      <c r="R171" s="596">
        <v>1000</v>
      </c>
      <c r="S171" s="596"/>
      <c r="T171" s="596">
        <v>200</v>
      </c>
      <c r="U171" s="596"/>
      <c r="V171" s="596"/>
      <c r="W171" s="596"/>
      <c r="X171" s="596"/>
      <c r="Y171" s="580">
        <f t="shared" si="3"/>
        <v>6200</v>
      </c>
      <c r="Z171" s="581"/>
      <c r="AA171" s="581"/>
      <c r="AB171" s="592"/>
      <c r="AC171" s="592"/>
    </row>
    <row r="172" spans="1:29" ht="18" customHeight="1" hidden="1">
      <c r="A172" s="609" t="s">
        <v>374</v>
      </c>
      <c r="B172" s="596"/>
      <c r="C172" s="596"/>
      <c r="D172" s="596"/>
      <c r="E172" s="596"/>
      <c r="F172" s="596"/>
      <c r="G172" s="596"/>
      <c r="H172" s="596"/>
      <c r="I172" s="596"/>
      <c r="J172" s="596"/>
      <c r="K172" s="596"/>
      <c r="L172" s="596"/>
      <c r="M172" s="596"/>
      <c r="N172" s="596"/>
      <c r="O172" s="596"/>
      <c r="P172" s="596"/>
      <c r="Q172" s="596"/>
      <c r="R172" s="596"/>
      <c r="S172" s="596"/>
      <c r="T172" s="596"/>
      <c r="U172" s="596"/>
      <c r="V172" s="596"/>
      <c r="W172" s="596"/>
      <c r="X172" s="596"/>
      <c r="Y172" s="580">
        <f t="shared" si="3"/>
        <v>0</v>
      </c>
      <c r="Z172" s="581"/>
      <c r="AA172" s="581"/>
      <c r="AB172" s="592"/>
      <c r="AC172" s="592"/>
    </row>
    <row r="173" spans="1:29" ht="18" customHeight="1" hidden="1">
      <c r="A173" s="609" t="s">
        <v>375</v>
      </c>
      <c r="B173" s="596"/>
      <c r="C173" s="596"/>
      <c r="D173" s="596"/>
      <c r="E173" s="596"/>
      <c r="F173" s="596"/>
      <c r="G173" s="596"/>
      <c r="H173" s="596"/>
      <c r="I173" s="596"/>
      <c r="J173" s="596"/>
      <c r="K173" s="596"/>
      <c r="L173" s="596"/>
      <c r="M173" s="596"/>
      <c r="N173" s="596"/>
      <c r="O173" s="596"/>
      <c r="P173" s="596"/>
      <c r="Q173" s="596"/>
      <c r="R173" s="596"/>
      <c r="S173" s="596"/>
      <c r="T173" s="596"/>
      <c r="U173" s="596"/>
      <c r="V173" s="596"/>
      <c r="W173" s="596"/>
      <c r="X173" s="596"/>
      <c r="Y173" s="580">
        <f t="shared" si="3"/>
        <v>0</v>
      </c>
      <c r="Z173" s="581"/>
      <c r="AA173" s="581"/>
      <c r="AB173" s="592"/>
      <c r="AC173" s="592"/>
    </row>
    <row r="174" spans="1:29" ht="18" customHeight="1" hidden="1">
      <c r="A174" s="609" t="s">
        <v>376</v>
      </c>
      <c r="B174" s="596"/>
      <c r="C174" s="596"/>
      <c r="D174" s="596"/>
      <c r="E174" s="596"/>
      <c r="F174" s="596"/>
      <c r="G174" s="596"/>
      <c r="H174" s="596"/>
      <c r="I174" s="596"/>
      <c r="J174" s="596"/>
      <c r="K174" s="596"/>
      <c r="L174" s="596"/>
      <c r="M174" s="596"/>
      <c r="N174" s="596"/>
      <c r="O174" s="596"/>
      <c r="P174" s="596"/>
      <c r="Q174" s="596"/>
      <c r="R174" s="596"/>
      <c r="S174" s="596"/>
      <c r="T174" s="596"/>
      <c r="U174" s="596"/>
      <c r="V174" s="596"/>
      <c r="W174" s="596"/>
      <c r="X174" s="596"/>
      <c r="Y174" s="580">
        <f t="shared" si="3"/>
        <v>0</v>
      </c>
      <c r="Z174" s="581"/>
      <c r="AA174" s="581"/>
      <c r="AB174" s="592"/>
      <c r="AC174" s="592"/>
    </row>
    <row r="175" spans="1:29" ht="18" customHeight="1" hidden="1">
      <c r="A175" s="609" t="s">
        <v>377</v>
      </c>
      <c r="B175" s="596"/>
      <c r="C175" s="596"/>
      <c r="D175" s="596"/>
      <c r="E175" s="596"/>
      <c r="F175" s="596"/>
      <c r="G175" s="596"/>
      <c r="H175" s="596"/>
      <c r="I175" s="596"/>
      <c r="J175" s="596"/>
      <c r="K175" s="596"/>
      <c r="L175" s="596"/>
      <c r="M175" s="596"/>
      <c r="N175" s="596"/>
      <c r="O175" s="596"/>
      <c r="P175" s="596"/>
      <c r="Q175" s="596"/>
      <c r="R175" s="596"/>
      <c r="S175" s="596"/>
      <c r="T175" s="596"/>
      <c r="U175" s="596"/>
      <c r="V175" s="596"/>
      <c r="W175" s="596"/>
      <c r="X175" s="596"/>
      <c r="Y175" s="580">
        <f t="shared" si="3"/>
        <v>0</v>
      </c>
      <c r="Z175" s="581"/>
      <c r="AA175" s="581"/>
      <c r="AB175" s="592"/>
      <c r="AC175" s="592"/>
    </row>
    <row r="176" spans="1:29" ht="18" customHeight="1" hidden="1">
      <c r="A176" s="609" t="s">
        <v>378</v>
      </c>
      <c r="B176" s="596"/>
      <c r="C176" s="596"/>
      <c r="D176" s="596"/>
      <c r="E176" s="596"/>
      <c r="F176" s="596"/>
      <c r="G176" s="596"/>
      <c r="H176" s="596"/>
      <c r="I176" s="596"/>
      <c r="J176" s="596"/>
      <c r="K176" s="596"/>
      <c r="L176" s="596"/>
      <c r="M176" s="596"/>
      <c r="N176" s="596"/>
      <c r="O176" s="596"/>
      <c r="P176" s="596"/>
      <c r="Q176" s="596"/>
      <c r="R176" s="596"/>
      <c r="S176" s="596"/>
      <c r="T176" s="596"/>
      <c r="U176" s="596"/>
      <c r="V176" s="596"/>
      <c r="W176" s="596"/>
      <c r="X176" s="596"/>
      <c r="Y176" s="580">
        <f aca="true" t="shared" si="5" ref="Y176:Y182">SUM(B176:X176)</f>
        <v>0</v>
      </c>
      <c r="Z176" s="581"/>
      <c r="AA176" s="581"/>
      <c r="AB176" s="592"/>
      <c r="AC176" s="592"/>
    </row>
    <row r="177" spans="1:29" ht="18" customHeight="1">
      <c r="A177" s="609" t="s">
        <v>379</v>
      </c>
      <c r="B177" s="596"/>
      <c r="C177" s="596"/>
      <c r="D177" s="596"/>
      <c r="E177" s="596"/>
      <c r="F177" s="596"/>
      <c r="G177" s="596"/>
      <c r="H177" s="596"/>
      <c r="I177" s="596"/>
      <c r="J177" s="596"/>
      <c r="K177" s="596"/>
      <c r="L177" s="596">
        <v>460</v>
      </c>
      <c r="M177" s="596"/>
      <c r="N177" s="596"/>
      <c r="O177" s="596"/>
      <c r="P177" s="596">
        <v>-4000</v>
      </c>
      <c r="Q177" s="596"/>
      <c r="R177" s="596">
        <v>3540</v>
      </c>
      <c r="S177" s="596"/>
      <c r="T177" s="596"/>
      <c r="U177" s="596"/>
      <c r="V177" s="596"/>
      <c r="W177" s="596"/>
      <c r="X177" s="596"/>
      <c r="Y177" s="580">
        <f t="shared" si="5"/>
        <v>0</v>
      </c>
      <c r="Z177" s="581"/>
      <c r="AA177" s="581"/>
      <c r="AB177" s="592"/>
      <c r="AC177" s="592"/>
    </row>
    <row r="178" spans="1:29" ht="18" customHeight="1">
      <c r="A178" s="609" t="s">
        <v>380</v>
      </c>
      <c r="B178" s="596"/>
      <c r="C178" s="596"/>
      <c r="D178" s="596"/>
      <c r="E178" s="596"/>
      <c r="F178" s="596"/>
      <c r="G178" s="596"/>
      <c r="H178" s="596"/>
      <c r="I178" s="596"/>
      <c r="J178" s="596"/>
      <c r="K178" s="596"/>
      <c r="L178" s="596">
        <v>5000</v>
      </c>
      <c r="M178" s="596"/>
      <c r="N178" s="596"/>
      <c r="O178" s="596"/>
      <c r="P178" s="596">
        <v>-5000</v>
      </c>
      <c r="Q178" s="596"/>
      <c r="R178" s="596"/>
      <c r="S178" s="596"/>
      <c r="T178" s="596"/>
      <c r="U178" s="596"/>
      <c r="V178" s="596"/>
      <c r="W178" s="596"/>
      <c r="X178" s="596"/>
      <c r="Y178" s="580">
        <f t="shared" si="5"/>
        <v>0</v>
      </c>
      <c r="Z178" s="581"/>
      <c r="AA178" s="581"/>
      <c r="AB178" s="592"/>
      <c r="AC178" s="592"/>
    </row>
    <row r="179" spans="1:29" ht="18" customHeight="1" hidden="1">
      <c r="A179" s="609" t="s">
        <v>381</v>
      </c>
      <c r="B179" s="596"/>
      <c r="C179" s="596"/>
      <c r="D179" s="596"/>
      <c r="E179" s="596"/>
      <c r="F179" s="596"/>
      <c r="G179" s="596"/>
      <c r="H179" s="596"/>
      <c r="I179" s="596"/>
      <c r="J179" s="596"/>
      <c r="K179" s="596"/>
      <c r="L179" s="596"/>
      <c r="M179" s="596"/>
      <c r="N179" s="596"/>
      <c r="O179" s="596"/>
      <c r="P179" s="596"/>
      <c r="Q179" s="596"/>
      <c r="R179" s="596"/>
      <c r="S179" s="596"/>
      <c r="T179" s="596"/>
      <c r="U179" s="596"/>
      <c r="V179" s="596"/>
      <c r="W179" s="596"/>
      <c r="X179" s="596"/>
      <c r="Y179" s="580">
        <f t="shared" si="5"/>
        <v>0</v>
      </c>
      <c r="Z179" s="581"/>
      <c r="AA179" s="581"/>
      <c r="AB179" s="592"/>
      <c r="AC179" s="592"/>
    </row>
    <row r="180" spans="1:29" ht="18" customHeight="1" hidden="1">
      <c r="A180" s="609" t="s">
        <v>73</v>
      </c>
      <c r="B180" s="596"/>
      <c r="C180" s="596"/>
      <c r="D180" s="596"/>
      <c r="E180" s="596"/>
      <c r="F180" s="596"/>
      <c r="G180" s="596"/>
      <c r="H180" s="596"/>
      <c r="I180" s="596"/>
      <c r="J180" s="596"/>
      <c r="K180" s="596"/>
      <c r="L180" s="596"/>
      <c r="M180" s="596"/>
      <c r="N180" s="596"/>
      <c r="O180" s="596"/>
      <c r="P180" s="596"/>
      <c r="Q180" s="596"/>
      <c r="R180" s="596"/>
      <c r="S180" s="596"/>
      <c r="T180" s="596"/>
      <c r="U180" s="596"/>
      <c r="V180" s="596"/>
      <c r="W180" s="596"/>
      <c r="X180" s="596"/>
      <c r="Y180" s="580">
        <f t="shared" si="5"/>
        <v>0</v>
      </c>
      <c r="Z180" s="581"/>
      <c r="AA180" s="581"/>
      <c r="AB180" s="592"/>
      <c r="AC180" s="592"/>
    </row>
    <row r="181" spans="1:29" ht="18" customHeight="1" hidden="1">
      <c r="A181" s="609" t="s">
        <v>382</v>
      </c>
      <c r="B181" s="596"/>
      <c r="C181" s="596"/>
      <c r="D181" s="596"/>
      <c r="E181" s="596"/>
      <c r="F181" s="596"/>
      <c r="G181" s="596"/>
      <c r="H181" s="596"/>
      <c r="I181" s="596"/>
      <c r="J181" s="596"/>
      <c r="K181" s="596"/>
      <c r="L181" s="596"/>
      <c r="M181" s="596"/>
      <c r="N181" s="596"/>
      <c r="O181" s="596"/>
      <c r="P181" s="596"/>
      <c r="Q181" s="596"/>
      <c r="R181" s="596"/>
      <c r="S181" s="596"/>
      <c r="T181" s="596"/>
      <c r="U181" s="596"/>
      <c r="V181" s="596"/>
      <c r="W181" s="596"/>
      <c r="X181" s="596"/>
      <c r="Y181" s="580">
        <f t="shared" si="5"/>
        <v>0</v>
      </c>
      <c r="Z181" s="581"/>
      <c r="AA181" s="581"/>
      <c r="AB181" s="592"/>
      <c r="AC181" s="592"/>
    </row>
    <row r="182" spans="1:29" ht="18" customHeight="1" thickBot="1">
      <c r="A182" s="609" t="s">
        <v>383</v>
      </c>
      <c r="B182" s="596"/>
      <c r="C182" s="596"/>
      <c r="D182" s="596"/>
      <c r="E182" s="596"/>
      <c r="F182" s="596"/>
      <c r="G182" s="596"/>
      <c r="H182" s="596"/>
      <c r="I182" s="596"/>
      <c r="J182" s="596"/>
      <c r="K182" s="596"/>
      <c r="L182" s="596">
        <v>60</v>
      </c>
      <c r="M182" s="596"/>
      <c r="N182" s="596"/>
      <c r="O182" s="596"/>
      <c r="P182" s="596"/>
      <c r="Q182" s="596"/>
      <c r="R182" s="596">
        <v>333</v>
      </c>
      <c r="S182" s="596"/>
      <c r="T182" s="596"/>
      <c r="U182" s="596"/>
      <c r="V182" s="596"/>
      <c r="W182" s="596"/>
      <c r="X182" s="596"/>
      <c r="Y182" s="580">
        <f t="shared" si="5"/>
        <v>393</v>
      </c>
      <c r="Z182" s="581"/>
      <c r="AA182" s="581"/>
      <c r="AB182" s="592"/>
      <c r="AC182" s="592"/>
    </row>
    <row r="183" spans="1:30" s="478" customFormat="1" ht="18" customHeight="1" hidden="1" thickBot="1">
      <c r="A183" s="613" t="s">
        <v>765</v>
      </c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0"/>
      <c r="Q183" s="390"/>
      <c r="R183" s="390"/>
      <c r="S183" s="390"/>
      <c r="T183" s="390"/>
      <c r="U183" s="390"/>
      <c r="V183" s="390"/>
      <c r="W183" s="390"/>
      <c r="X183" s="390"/>
      <c r="Y183" s="580">
        <f aca="true" t="shared" si="6" ref="Y183:Y228">SUM(B183:X183)</f>
        <v>0</v>
      </c>
      <c r="Z183" s="581"/>
      <c r="AA183" s="581"/>
      <c r="AB183" s="581"/>
      <c r="AC183" s="581"/>
      <c r="AD183" s="581">
        <f>AD184+AD185</f>
        <v>0</v>
      </c>
    </row>
    <row r="184" spans="1:30" s="478" customFormat="1" ht="25.5" hidden="1">
      <c r="A184" s="602" t="s">
        <v>762</v>
      </c>
      <c r="B184" s="614"/>
      <c r="C184" s="614"/>
      <c r="D184" s="614"/>
      <c r="E184" s="614"/>
      <c r="F184" s="614"/>
      <c r="G184" s="614"/>
      <c r="H184" s="614"/>
      <c r="I184" s="614"/>
      <c r="J184" s="614"/>
      <c r="K184" s="614"/>
      <c r="L184" s="614"/>
      <c r="M184" s="614"/>
      <c r="N184" s="614"/>
      <c r="O184" s="614"/>
      <c r="P184" s="614"/>
      <c r="Q184" s="614"/>
      <c r="R184" s="614"/>
      <c r="S184" s="614"/>
      <c r="T184" s="614"/>
      <c r="U184" s="614"/>
      <c r="V184" s="614"/>
      <c r="W184" s="614"/>
      <c r="X184" s="614"/>
      <c r="Y184" s="580">
        <f t="shared" si="6"/>
        <v>0</v>
      </c>
      <c r="Z184" s="581"/>
      <c r="AA184" s="581"/>
      <c r="AB184" s="610"/>
      <c r="AC184" s="610"/>
      <c r="AD184" s="610">
        <f>AB184+AC184</f>
        <v>0</v>
      </c>
    </row>
    <row r="185" spans="1:30" s="478" customFormat="1" ht="18" customHeight="1" hidden="1" thickBot="1">
      <c r="A185" s="615" t="s">
        <v>766</v>
      </c>
      <c r="B185" s="616"/>
      <c r="C185" s="616"/>
      <c r="D185" s="616"/>
      <c r="E185" s="616"/>
      <c r="F185" s="616"/>
      <c r="G185" s="616"/>
      <c r="H185" s="616"/>
      <c r="I185" s="616"/>
      <c r="J185" s="616"/>
      <c r="K185" s="616"/>
      <c r="L185" s="616"/>
      <c r="M185" s="616"/>
      <c r="N185" s="616"/>
      <c r="O185" s="616"/>
      <c r="P185" s="616"/>
      <c r="Q185" s="616"/>
      <c r="R185" s="616"/>
      <c r="S185" s="616"/>
      <c r="T185" s="616"/>
      <c r="U185" s="616"/>
      <c r="V185" s="616"/>
      <c r="W185" s="616"/>
      <c r="X185" s="616"/>
      <c r="Y185" s="605">
        <f t="shared" si="6"/>
        <v>0</v>
      </c>
      <c r="Z185" s="581"/>
      <c r="AA185" s="581"/>
      <c r="AB185" s="610"/>
      <c r="AC185" s="610"/>
      <c r="AD185" s="610">
        <f>AB185+AC185</f>
        <v>0</v>
      </c>
    </row>
    <row r="186" spans="1:29" s="478" customFormat="1" ht="18" customHeight="1" thickBot="1">
      <c r="A186" s="586" t="s">
        <v>1</v>
      </c>
      <c r="B186" s="617"/>
      <c r="C186" s="617"/>
      <c r="D186" s="617"/>
      <c r="E186" s="617"/>
      <c r="F186" s="617"/>
      <c r="G186" s="617"/>
      <c r="H186" s="617"/>
      <c r="I186" s="617"/>
      <c r="J186" s="617"/>
      <c r="K186" s="617"/>
      <c r="L186" s="617">
        <f>SUM(L190:L192)</f>
        <v>5000</v>
      </c>
      <c r="M186" s="617"/>
      <c r="N186" s="617"/>
      <c r="O186" s="617">
        <f>SUM(O190:O192)</f>
        <v>95000</v>
      </c>
      <c r="P186" s="617"/>
      <c r="Q186" s="617"/>
      <c r="R186" s="617"/>
      <c r="S186" s="617"/>
      <c r="T186" s="617"/>
      <c r="U186" s="617"/>
      <c r="V186" s="617"/>
      <c r="W186" s="617"/>
      <c r="X186" s="617"/>
      <c r="Y186" s="628">
        <f t="shared" si="6"/>
        <v>100000</v>
      </c>
      <c r="Z186" s="581"/>
      <c r="AA186" s="581"/>
      <c r="AB186" s="584"/>
      <c r="AC186" s="584"/>
    </row>
    <row r="187" spans="1:29" s="478" customFormat="1" ht="18" customHeight="1" hidden="1">
      <c r="A187" s="387" t="s">
        <v>2</v>
      </c>
      <c r="B187" s="600"/>
      <c r="C187" s="600"/>
      <c r="D187" s="600"/>
      <c r="E187" s="600"/>
      <c r="F187" s="600"/>
      <c r="G187" s="600"/>
      <c r="H187" s="600"/>
      <c r="I187" s="600"/>
      <c r="J187" s="600"/>
      <c r="K187" s="600"/>
      <c r="L187" s="600"/>
      <c r="M187" s="600"/>
      <c r="N187" s="600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76">
        <f t="shared" si="6"/>
        <v>0</v>
      </c>
      <c r="Z187" s="581"/>
      <c r="AA187" s="581"/>
      <c r="AB187" s="584"/>
      <c r="AC187" s="584"/>
    </row>
    <row r="188" spans="1:29" s="478" customFormat="1" ht="18" customHeight="1" hidden="1">
      <c r="A188" s="589" t="s">
        <v>3</v>
      </c>
      <c r="B188" s="596"/>
      <c r="C188" s="596"/>
      <c r="D188" s="596"/>
      <c r="E188" s="596"/>
      <c r="F188" s="596"/>
      <c r="G188" s="596"/>
      <c r="H188" s="596"/>
      <c r="I188" s="596"/>
      <c r="J188" s="596"/>
      <c r="K188" s="596"/>
      <c r="L188" s="596"/>
      <c r="M188" s="596"/>
      <c r="N188" s="596"/>
      <c r="O188" s="596"/>
      <c r="P188" s="596"/>
      <c r="Q188" s="596"/>
      <c r="R188" s="596"/>
      <c r="S188" s="596"/>
      <c r="T188" s="596"/>
      <c r="U188" s="596"/>
      <c r="V188" s="596"/>
      <c r="W188" s="596"/>
      <c r="X188" s="596"/>
      <c r="Y188" s="580">
        <f t="shared" si="6"/>
        <v>0</v>
      </c>
      <c r="Z188" s="581"/>
      <c r="AA188" s="581"/>
      <c r="AB188" s="584"/>
      <c r="AC188" s="584"/>
    </row>
    <row r="189" spans="1:29" s="478" customFormat="1" ht="18" customHeight="1" hidden="1">
      <c r="A189" s="589" t="s">
        <v>4</v>
      </c>
      <c r="B189" s="596"/>
      <c r="C189" s="596"/>
      <c r="D189" s="596"/>
      <c r="E189" s="596"/>
      <c r="F189" s="596"/>
      <c r="G189" s="596"/>
      <c r="H189" s="596"/>
      <c r="I189" s="596"/>
      <c r="J189" s="596"/>
      <c r="K189" s="596"/>
      <c r="L189" s="596"/>
      <c r="M189" s="596"/>
      <c r="N189" s="596"/>
      <c r="O189" s="596"/>
      <c r="P189" s="596"/>
      <c r="Q189" s="596"/>
      <c r="R189" s="596"/>
      <c r="S189" s="596"/>
      <c r="T189" s="596"/>
      <c r="U189" s="596"/>
      <c r="V189" s="596"/>
      <c r="W189" s="596"/>
      <c r="X189" s="596"/>
      <c r="Y189" s="580">
        <f t="shared" si="6"/>
        <v>0</v>
      </c>
      <c r="Z189" s="581"/>
      <c r="AA189" s="581"/>
      <c r="AB189" s="584"/>
      <c r="AC189" s="584"/>
    </row>
    <row r="190" spans="1:29" s="478" customFormat="1" ht="18" customHeight="1">
      <c r="A190" s="589" t="s">
        <v>5</v>
      </c>
      <c r="B190" s="596"/>
      <c r="C190" s="596"/>
      <c r="D190" s="596"/>
      <c r="E190" s="596"/>
      <c r="F190" s="596"/>
      <c r="G190" s="596"/>
      <c r="H190" s="596"/>
      <c r="I190" s="596"/>
      <c r="J190" s="596"/>
      <c r="K190" s="596"/>
      <c r="L190" s="596">
        <v>5000</v>
      </c>
      <c r="M190" s="596"/>
      <c r="N190" s="596"/>
      <c r="O190" s="596">
        <v>70000</v>
      </c>
      <c r="P190" s="596"/>
      <c r="Q190" s="596"/>
      <c r="R190" s="596"/>
      <c r="S190" s="596"/>
      <c r="T190" s="596"/>
      <c r="U190" s="596"/>
      <c r="V190" s="596"/>
      <c r="W190" s="596"/>
      <c r="X190" s="596"/>
      <c r="Y190" s="580">
        <f t="shared" si="6"/>
        <v>75000</v>
      </c>
      <c r="Z190" s="581"/>
      <c r="AA190" s="581"/>
      <c r="AB190" s="584"/>
      <c r="AC190" s="584"/>
    </row>
    <row r="191" spans="1:29" s="478" customFormat="1" ht="18" customHeight="1" hidden="1">
      <c r="A191" s="589" t="s">
        <v>6</v>
      </c>
      <c r="B191" s="596"/>
      <c r="C191" s="596"/>
      <c r="D191" s="596"/>
      <c r="E191" s="596"/>
      <c r="F191" s="596"/>
      <c r="G191" s="596"/>
      <c r="H191" s="596"/>
      <c r="I191" s="596"/>
      <c r="J191" s="596"/>
      <c r="K191" s="596"/>
      <c r="L191" s="596"/>
      <c r="M191" s="596"/>
      <c r="N191" s="596"/>
      <c r="O191" s="596"/>
      <c r="P191" s="596"/>
      <c r="Q191" s="596"/>
      <c r="R191" s="596"/>
      <c r="S191" s="596"/>
      <c r="T191" s="596"/>
      <c r="U191" s="596"/>
      <c r="V191" s="596"/>
      <c r="W191" s="596"/>
      <c r="X191" s="596"/>
      <c r="Y191" s="580">
        <f t="shared" si="6"/>
        <v>0</v>
      </c>
      <c r="Z191" s="581"/>
      <c r="AA191" s="581"/>
      <c r="AB191" s="584"/>
      <c r="AC191" s="584"/>
    </row>
    <row r="192" spans="1:29" s="388" customFormat="1" ht="18" customHeight="1" thickBot="1">
      <c r="A192" s="589" t="s">
        <v>7</v>
      </c>
      <c r="B192" s="590"/>
      <c r="C192" s="590"/>
      <c r="D192" s="590"/>
      <c r="E192" s="590"/>
      <c r="F192" s="590"/>
      <c r="G192" s="590"/>
      <c r="H192" s="590"/>
      <c r="I192" s="590"/>
      <c r="J192" s="590"/>
      <c r="K192" s="590"/>
      <c r="L192" s="590"/>
      <c r="M192" s="590"/>
      <c r="N192" s="590"/>
      <c r="O192" s="590">
        <v>25000</v>
      </c>
      <c r="P192" s="590"/>
      <c r="Q192" s="590"/>
      <c r="R192" s="590"/>
      <c r="S192" s="590"/>
      <c r="T192" s="590"/>
      <c r="U192" s="590"/>
      <c r="V192" s="590"/>
      <c r="W192" s="590"/>
      <c r="X192" s="590"/>
      <c r="Y192" s="580">
        <f t="shared" si="6"/>
        <v>25000</v>
      </c>
      <c r="Z192" s="581"/>
      <c r="AA192" s="581"/>
      <c r="AB192" s="584"/>
      <c r="AC192" s="584"/>
    </row>
    <row r="193" spans="1:29" s="388" customFormat="1" ht="18" customHeight="1" hidden="1">
      <c r="A193" s="589" t="s">
        <v>8</v>
      </c>
      <c r="B193" s="618"/>
      <c r="C193" s="618"/>
      <c r="D193" s="618"/>
      <c r="E193" s="618"/>
      <c r="F193" s="618"/>
      <c r="G193" s="618"/>
      <c r="H193" s="618"/>
      <c r="I193" s="618"/>
      <c r="J193" s="618"/>
      <c r="K193" s="618"/>
      <c r="L193" s="618"/>
      <c r="M193" s="618"/>
      <c r="N193" s="618"/>
      <c r="O193" s="618"/>
      <c r="P193" s="618"/>
      <c r="Q193" s="618"/>
      <c r="R193" s="618"/>
      <c r="S193" s="618"/>
      <c r="T193" s="618"/>
      <c r="U193" s="618"/>
      <c r="V193" s="618"/>
      <c r="W193" s="618"/>
      <c r="X193" s="618"/>
      <c r="Y193" s="580">
        <f t="shared" si="6"/>
        <v>0</v>
      </c>
      <c r="Z193" s="581"/>
      <c r="AA193" s="581"/>
      <c r="AB193" s="584"/>
      <c r="AC193" s="584"/>
    </row>
    <row r="194" spans="1:29" s="388" customFormat="1" ht="18" customHeight="1" hidden="1">
      <c r="A194" s="589" t="s">
        <v>9</v>
      </c>
      <c r="B194" s="590"/>
      <c r="C194" s="590"/>
      <c r="D194" s="590"/>
      <c r="E194" s="590"/>
      <c r="F194" s="590"/>
      <c r="G194" s="590"/>
      <c r="H194" s="590"/>
      <c r="I194" s="590"/>
      <c r="J194" s="590"/>
      <c r="K194" s="590"/>
      <c r="L194" s="590"/>
      <c r="M194" s="590"/>
      <c r="N194" s="590"/>
      <c r="O194" s="590"/>
      <c r="P194" s="590"/>
      <c r="Q194" s="590"/>
      <c r="R194" s="590"/>
      <c r="S194" s="590"/>
      <c r="T194" s="590"/>
      <c r="U194" s="590"/>
      <c r="V194" s="590"/>
      <c r="W194" s="590"/>
      <c r="X194" s="590"/>
      <c r="Y194" s="580">
        <f t="shared" si="6"/>
        <v>0</v>
      </c>
      <c r="Z194" s="581"/>
      <c r="AA194" s="581"/>
      <c r="AB194" s="584"/>
      <c r="AC194" s="584"/>
    </row>
    <row r="195" spans="1:29" s="388" customFormat="1" ht="18" customHeight="1" hidden="1">
      <c r="A195" s="589" t="s">
        <v>10</v>
      </c>
      <c r="B195" s="590"/>
      <c r="C195" s="590"/>
      <c r="D195" s="590"/>
      <c r="E195" s="590"/>
      <c r="F195" s="590"/>
      <c r="G195" s="590"/>
      <c r="H195" s="590"/>
      <c r="I195" s="590"/>
      <c r="J195" s="590"/>
      <c r="K195" s="590"/>
      <c r="L195" s="590"/>
      <c r="M195" s="590"/>
      <c r="N195" s="590"/>
      <c r="O195" s="590"/>
      <c r="P195" s="590"/>
      <c r="Q195" s="590"/>
      <c r="R195" s="590"/>
      <c r="S195" s="590"/>
      <c r="T195" s="590"/>
      <c r="U195" s="590"/>
      <c r="V195" s="590"/>
      <c r="W195" s="590"/>
      <c r="X195" s="590"/>
      <c r="Y195" s="580">
        <f t="shared" si="6"/>
        <v>0</v>
      </c>
      <c r="Z195" s="581"/>
      <c r="AA195" s="581"/>
      <c r="AB195" s="584"/>
      <c r="AC195" s="584"/>
    </row>
    <row r="196" spans="1:29" s="388" customFormat="1" ht="18" customHeight="1" hidden="1">
      <c r="A196" s="589" t="s">
        <v>11</v>
      </c>
      <c r="B196" s="590"/>
      <c r="C196" s="590"/>
      <c r="D196" s="590"/>
      <c r="E196" s="590"/>
      <c r="F196" s="590"/>
      <c r="G196" s="590"/>
      <c r="H196" s="590"/>
      <c r="I196" s="590"/>
      <c r="J196" s="590"/>
      <c r="K196" s="590"/>
      <c r="L196" s="590"/>
      <c r="M196" s="590"/>
      <c r="N196" s="590"/>
      <c r="O196" s="590"/>
      <c r="P196" s="590"/>
      <c r="Q196" s="590"/>
      <c r="R196" s="590"/>
      <c r="S196" s="590"/>
      <c r="T196" s="590"/>
      <c r="U196" s="590"/>
      <c r="V196" s="590"/>
      <c r="W196" s="590"/>
      <c r="X196" s="590"/>
      <c r="Y196" s="580">
        <f t="shared" si="6"/>
        <v>0</v>
      </c>
      <c r="Z196" s="581"/>
      <c r="AA196" s="581"/>
      <c r="AB196" s="584"/>
      <c r="AC196" s="584"/>
    </row>
    <row r="197" spans="1:29" s="388" customFormat="1" ht="18" customHeight="1" hidden="1">
      <c r="A197" s="589" t="s">
        <v>12</v>
      </c>
      <c r="B197" s="590"/>
      <c r="C197" s="590"/>
      <c r="D197" s="590"/>
      <c r="E197" s="590"/>
      <c r="F197" s="590"/>
      <c r="G197" s="590"/>
      <c r="H197" s="590"/>
      <c r="I197" s="590"/>
      <c r="J197" s="590"/>
      <c r="K197" s="590"/>
      <c r="L197" s="590"/>
      <c r="M197" s="590"/>
      <c r="N197" s="590"/>
      <c r="O197" s="590"/>
      <c r="P197" s="590"/>
      <c r="Q197" s="590"/>
      <c r="R197" s="590"/>
      <c r="S197" s="590"/>
      <c r="T197" s="590"/>
      <c r="U197" s="590"/>
      <c r="V197" s="590"/>
      <c r="W197" s="590"/>
      <c r="X197" s="590"/>
      <c r="Y197" s="580">
        <f t="shared" si="6"/>
        <v>0</v>
      </c>
      <c r="Z197" s="581"/>
      <c r="AA197" s="581"/>
      <c r="AB197" s="584"/>
      <c r="AC197" s="584"/>
    </row>
    <row r="198" spans="1:29" s="388" customFormat="1" ht="18" customHeight="1" hidden="1">
      <c r="A198" s="589" t="s">
        <v>13</v>
      </c>
      <c r="B198" s="590"/>
      <c r="C198" s="590"/>
      <c r="D198" s="590"/>
      <c r="E198" s="590"/>
      <c r="F198" s="590"/>
      <c r="G198" s="590"/>
      <c r="H198" s="590"/>
      <c r="I198" s="590"/>
      <c r="J198" s="590"/>
      <c r="K198" s="590"/>
      <c r="L198" s="590"/>
      <c r="M198" s="590"/>
      <c r="N198" s="590"/>
      <c r="O198" s="590"/>
      <c r="P198" s="590"/>
      <c r="Q198" s="590"/>
      <c r="R198" s="590"/>
      <c r="S198" s="590"/>
      <c r="T198" s="590"/>
      <c r="U198" s="590"/>
      <c r="V198" s="590"/>
      <c r="W198" s="590"/>
      <c r="X198" s="590"/>
      <c r="Y198" s="580">
        <f t="shared" si="6"/>
        <v>0</v>
      </c>
      <c r="Z198" s="581"/>
      <c r="AA198" s="581"/>
      <c r="AB198" s="584"/>
      <c r="AC198" s="584"/>
    </row>
    <row r="199" spans="1:29" s="388" customFormat="1" ht="18" customHeight="1" hidden="1">
      <c r="A199" s="589" t="s">
        <v>14</v>
      </c>
      <c r="B199" s="590"/>
      <c r="C199" s="590"/>
      <c r="D199" s="590"/>
      <c r="E199" s="590"/>
      <c r="F199" s="590"/>
      <c r="G199" s="590"/>
      <c r="H199" s="590"/>
      <c r="I199" s="590"/>
      <c r="J199" s="590"/>
      <c r="K199" s="590"/>
      <c r="L199" s="590"/>
      <c r="M199" s="590"/>
      <c r="N199" s="590"/>
      <c r="O199" s="590"/>
      <c r="P199" s="590"/>
      <c r="Q199" s="590"/>
      <c r="R199" s="590"/>
      <c r="S199" s="590"/>
      <c r="T199" s="590"/>
      <c r="U199" s="590"/>
      <c r="V199" s="590"/>
      <c r="W199" s="590"/>
      <c r="X199" s="590"/>
      <c r="Y199" s="580">
        <f t="shared" si="6"/>
        <v>0</v>
      </c>
      <c r="Z199" s="581"/>
      <c r="AA199" s="581"/>
      <c r="AB199" s="584"/>
      <c r="AC199" s="584"/>
    </row>
    <row r="200" spans="1:29" s="388" customFormat="1" ht="18" customHeight="1" hidden="1">
      <c r="A200" s="589" t="s">
        <v>15</v>
      </c>
      <c r="B200" s="590"/>
      <c r="C200" s="590"/>
      <c r="D200" s="590"/>
      <c r="E200" s="590"/>
      <c r="F200" s="590"/>
      <c r="G200" s="590"/>
      <c r="H200" s="590"/>
      <c r="I200" s="590"/>
      <c r="J200" s="590"/>
      <c r="K200" s="590"/>
      <c r="L200" s="590"/>
      <c r="M200" s="590"/>
      <c r="N200" s="590"/>
      <c r="O200" s="590"/>
      <c r="P200" s="590"/>
      <c r="Q200" s="590"/>
      <c r="R200" s="590"/>
      <c r="S200" s="590"/>
      <c r="T200" s="590"/>
      <c r="U200" s="590"/>
      <c r="V200" s="590"/>
      <c r="W200" s="590"/>
      <c r="X200" s="590"/>
      <c r="Y200" s="580">
        <f t="shared" si="6"/>
        <v>0</v>
      </c>
      <c r="Z200" s="581"/>
      <c r="AA200" s="581"/>
      <c r="AB200" s="584"/>
      <c r="AC200" s="584"/>
    </row>
    <row r="201" spans="1:29" s="388" customFormat="1" ht="18" customHeight="1" hidden="1">
      <c r="A201" s="589" t="s">
        <v>16</v>
      </c>
      <c r="B201" s="590"/>
      <c r="C201" s="590"/>
      <c r="D201" s="590"/>
      <c r="E201" s="590"/>
      <c r="F201" s="590"/>
      <c r="G201" s="590"/>
      <c r="H201" s="590"/>
      <c r="I201" s="590"/>
      <c r="J201" s="590"/>
      <c r="K201" s="590"/>
      <c r="L201" s="590"/>
      <c r="M201" s="590"/>
      <c r="N201" s="590"/>
      <c r="O201" s="590"/>
      <c r="P201" s="590"/>
      <c r="Q201" s="590"/>
      <c r="R201" s="590"/>
      <c r="S201" s="590"/>
      <c r="T201" s="590"/>
      <c r="U201" s="590"/>
      <c r="V201" s="590"/>
      <c r="W201" s="590"/>
      <c r="X201" s="590"/>
      <c r="Y201" s="580">
        <f t="shared" si="6"/>
        <v>0</v>
      </c>
      <c r="Z201" s="581"/>
      <c r="AA201" s="581"/>
      <c r="AB201" s="584"/>
      <c r="AC201" s="584"/>
    </row>
    <row r="202" spans="1:29" s="388" customFormat="1" ht="18" customHeight="1" hidden="1">
      <c r="A202" s="589" t="s">
        <v>17</v>
      </c>
      <c r="B202" s="590"/>
      <c r="C202" s="590"/>
      <c r="D202" s="590"/>
      <c r="E202" s="590"/>
      <c r="F202" s="590"/>
      <c r="G202" s="590"/>
      <c r="H202" s="590"/>
      <c r="I202" s="590"/>
      <c r="J202" s="590"/>
      <c r="K202" s="590"/>
      <c r="L202" s="590"/>
      <c r="M202" s="590"/>
      <c r="N202" s="590"/>
      <c r="O202" s="590"/>
      <c r="P202" s="590"/>
      <c r="Q202" s="590"/>
      <c r="R202" s="590"/>
      <c r="S202" s="590"/>
      <c r="T202" s="590"/>
      <c r="U202" s="590"/>
      <c r="V202" s="590"/>
      <c r="W202" s="590"/>
      <c r="X202" s="590"/>
      <c r="Y202" s="580">
        <f t="shared" si="6"/>
        <v>0</v>
      </c>
      <c r="Z202" s="581"/>
      <c r="AA202" s="581"/>
      <c r="AB202" s="584"/>
      <c r="AC202" s="584"/>
    </row>
    <row r="203" spans="1:29" s="388" customFormat="1" ht="18" customHeight="1" hidden="1">
      <c r="A203" s="589" t="s">
        <v>18</v>
      </c>
      <c r="B203" s="590"/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590"/>
      <c r="N203" s="590"/>
      <c r="O203" s="590"/>
      <c r="P203" s="590"/>
      <c r="Q203" s="590"/>
      <c r="R203" s="590"/>
      <c r="S203" s="590"/>
      <c r="T203" s="590"/>
      <c r="U203" s="590"/>
      <c r="V203" s="590"/>
      <c r="W203" s="590"/>
      <c r="X203" s="590"/>
      <c r="Y203" s="580">
        <f t="shared" si="6"/>
        <v>0</v>
      </c>
      <c r="Z203" s="581"/>
      <c r="AA203" s="581"/>
      <c r="AB203" s="584"/>
      <c r="AC203" s="584"/>
    </row>
    <row r="204" spans="1:29" s="478" customFormat="1" ht="18" customHeight="1" hidden="1">
      <c r="A204" s="589" t="s">
        <v>0</v>
      </c>
      <c r="B204" s="596"/>
      <c r="C204" s="596"/>
      <c r="D204" s="596"/>
      <c r="E204" s="596"/>
      <c r="F204" s="596"/>
      <c r="G204" s="596"/>
      <c r="H204" s="596"/>
      <c r="I204" s="596"/>
      <c r="J204" s="596"/>
      <c r="K204" s="596"/>
      <c r="L204" s="596"/>
      <c r="M204" s="596"/>
      <c r="N204" s="596"/>
      <c r="O204" s="596"/>
      <c r="P204" s="596"/>
      <c r="Q204" s="596"/>
      <c r="R204" s="596"/>
      <c r="S204" s="596"/>
      <c r="T204" s="596"/>
      <c r="U204" s="596"/>
      <c r="V204" s="596"/>
      <c r="W204" s="596"/>
      <c r="X204" s="596"/>
      <c r="Y204" s="580">
        <f t="shared" si="6"/>
        <v>0</v>
      </c>
      <c r="Z204" s="581"/>
      <c r="AA204" s="581"/>
      <c r="AB204" s="584"/>
      <c r="AC204" s="584"/>
    </row>
    <row r="205" spans="1:29" s="478" customFormat="1" ht="18" customHeight="1" hidden="1" thickBot="1">
      <c r="A205" s="589" t="s">
        <v>384</v>
      </c>
      <c r="B205" s="596"/>
      <c r="C205" s="596"/>
      <c r="D205" s="596"/>
      <c r="E205" s="596"/>
      <c r="F205" s="596"/>
      <c r="G205" s="596"/>
      <c r="H205" s="596"/>
      <c r="I205" s="596"/>
      <c r="J205" s="596"/>
      <c r="K205" s="596"/>
      <c r="L205" s="596"/>
      <c r="M205" s="596"/>
      <c r="N205" s="596"/>
      <c r="O205" s="596"/>
      <c r="P205" s="596"/>
      <c r="Q205" s="596"/>
      <c r="R205" s="596"/>
      <c r="S205" s="596"/>
      <c r="T205" s="596"/>
      <c r="U205" s="596"/>
      <c r="V205" s="596"/>
      <c r="W205" s="596"/>
      <c r="X205" s="596"/>
      <c r="Y205" s="605">
        <f t="shared" si="6"/>
        <v>0</v>
      </c>
      <c r="Z205" s="581"/>
      <c r="AA205" s="581"/>
      <c r="AB205" s="584"/>
      <c r="AC205" s="584"/>
    </row>
    <row r="206" spans="1:29" s="388" customFormat="1" ht="19.5" customHeight="1" thickBot="1">
      <c r="A206" s="586" t="s">
        <v>19</v>
      </c>
      <c r="B206" s="390">
        <f>B207</f>
        <v>153000</v>
      </c>
      <c r="C206" s="390"/>
      <c r="D206" s="390"/>
      <c r="E206" s="390">
        <f>E207</f>
        <v>50000</v>
      </c>
      <c r="F206" s="390"/>
      <c r="G206" s="390"/>
      <c r="H206" s="390"/>
      <c r="I206" s="390"/>
      <c r="J206" s="390"/>
      <c r="K206" s="390"/>
      <c r="L206" s="390"/>
      <c r="M206" s="390"/>
      <c r="N206" s="390"/>
      <c r="O206" s="390"/>
      <c r="P206" s="390"/>
      <c r="Q206" s="390"/>
      <c r="R206" s="390"/>
      <c r="S206" s="390"/>
      <c r="T206" s="390"/>
      <c r="U206" s="390"/>
      <c r="V206" s="390"/>
      <c r="W206" s="390"/>
      <c r="X206" s="390"/>
      <c r="Y206" s="628">
        <f t="shared" si="6"/>
        <v>203000</v>
      </c>
      <c r="Z206" s="581"/>
      <c r="AA206" s="581"/>
      <c r="AB206" s="619"/>
      <c r="AC206" s="619"/>
    </row>
    <row r="207" spans="1:29" s="388" customFormat="1" ht="18" customHeight="1" thickBot="1">
      <c r="A207" s="1118" t="s">
        <v>754</v>
      </c>
      <c r="B207" s="1119">
        <v>153000</v>
      </c>
      <c r="C207" s="1119"/>
      <c r="D207" s="1119"/>
      <c r="E207" s="1119">
        <v>50000</v>
      </c>
      <c r="F207" s="1119"/>
      <c r="G207" s="1119"/>
      <c r="H207" s="1119"/>
      <c r="I207" s="1119"/>
      <c r="J207" s="1119"/>
      <c r="K207" s="1119"/>
      <c r="L207" s="1119"/>
      <c r="M207" s="1119"/>
      <c r="N207" s="1119"/>
      <c r="O207" s="1119"/>
      <c r="P207" s="1119"/>
      <c r="Q207" s="1119"/>
      <c r="R207" s="1119"/>
      <c r="S207" s="1119"/>
      <c r="T207" s="1119"/>
      <c r="U207" s="1119"/>
      <c r="V207" s="1119"/>
      <c r="W207" s="1119"/>
      <c r="X207" s="1119"/>
      <c r="Y207" s="628">
        <f t="shared" si="6"/>
        <v>203000</v>
      </c>
      <c r="Z207" s="581"/>
      <c r="AA207" s="581"/>
      <c r="AB207" s="619"/>
      <c r="AC207" s="619"/>
    </row>
    <row r="208" spans="1:29" s="388" customFormat="1" ht="19.5" customHeight="1" hidden="1">
      <c r="A208" s="620" t="s">
        <v>385</v>
      </c>
      <c r="B208" s="621"/>
      <c r="C208" s="621"/>
      <c r="D208" s="621"/>
      <c r="E208" s="621"/>
      <c r="F208" s="621"/>
      <c r="G208" s="621"/>
      <c r="H208" s="621"/>
      <c r="I208" s="621"/>
      <c r="J208" s="621"/>
      <c r="K208" s="621"/>
      <c r="L208" s="621"/>
      <c r="M208" s="621"/>
      <c r="N208" s="621"/>
      <c r="O208" s="621"/>
      <c r="P208" s="621"/>
      <c r="Q208" s="621"/>
      <c r="R208" s="621"/>
      <c r="S208" s="621"/>
      <c r="T208" s="621"/>
      <c r="U208" s="621"/>
      <c r="V208" s="621"/>
      <c r="W208" s="621"/>
      <c r="X208" s="621"/>
      <c r="Y208" s="628">
        <f t="shared" si="6"/>
        <v>0</v>
      </c>
      <c r="Z208" s="581"/>
      <c r="AA208" s="581"/>
      <c r="AB208" s="619"/>
      <c r="AC208" s="619"/>
    </row>
    <row r="209" spans="1:29" s="388" customFormat="1" ht="26.25" hidden="1" thickBot="1">
      <c r="A209" s="622" t="s">
        <v>386</v>
      </c>
      <c r="B209" s="590"/>
      <c r="C209" s="590"/>
      <c r="D209" s="590"/>
      <c r="E209" s="590"/>
      <c r="F209" s="590"/>
      <c r="G209" s="590"/>
      <c r="H209" s="590"/>
      <c r="I209" s="590"/>
      <c r="J209" s="590"/>
      <c r="K209" s="590"/>
      <c r="L209" s="590"/>
      <c r="M209" s="590"/>
      <c r="N209" s="590"/>
      <c r="O209" s="590"/>
      <c r="P209" s="590"/>
      <c r="Q209" s="590"/>
      <c r="R209" s="590"/>
      <c r="S209" s="590"/>
      <c r="T209" s="590"/>
      <c r="U209" s="590"/>
      <c r="V209" s="590"/>
      <c r="W209" s="590"/>
      <c r="X209" s="590"/>
      <c r="Y209" s="628">
        <f t="shared" si="6"/>
        <v>0</v>
      </c>
      <c r="Z209" s="581"/>
      <c r="AA209" s="581"/>
      <c r="AB209" s="619"/>
      <c r="AC209" s="619"/>
    </row>
    <row r="210" spans="1:29" s="388" customFormat="1" ht="26.25" hidden="1" thickBot="1">
      <c r="A210" s="620" t="s">
        <v>387</v>
      </c>
      <c r="B210" s="621"/>
      <c r="C210" s="621"/>
      <c r="D210" s="621"/>
      <c r="E210" s="621"/>
      <c r="F210" s="621"/>
      <c r="G210" s="621"/>
      <c r="H210" s="621"/>
      <c r="I210" s="621"/>
      <c r="J210" s="621"/>
      <c r="K210" s="621"/>
      <c r="L210" s="621"/>
      <c r="M210" s="621"/>
      <c r="N210" s="621"/>
      <c r="O210" s="621"/>
      <c r="P210" s="621"/>
      <c r="Q210" s="621"/>
      <c r="R210" s="621"/>
      <c r="S210" s="621"/>
      <c r="T210" s="621"/>
      <c r="U210" s="621"/>
      <c r="V210" s="621"/>
      <c r="W210" s="621"/>
      <c r="X210" s="621"/>
      <c r="Y210" s="628">
        <f t="shared" si="6"/>
        <v>0</v>
      </c>
      <c r="Z210" s="581"/>
      <c r="AA210" s="581"/>
      <c r="AB210" s="619"/>
      <c r="AC210" s="619"/>
    </row>
    <row r="211" spans="1:29" s="388" customFormat="1" ht="18" customHeight="1" thickBot="1">
      <c r="A211" s="586" t="s">
        <v>20</v>
      </c>
      <c r="B211" s="390"/>
      <c r="C211" s="390"/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>
        <f>SUM(R218:R238)</f>
        <v>12965</v>
      </c>
      <c r="S211" s="390"/>
      <c r="T211" s="390"/>
      <c r="U211" s="390"/>
      <c r="V211" s="390"/>
      <c r="W211" s="390"/>
      <c r="X211" s="390"/>
      <c r="Y211" s="628">
        <f t="shared" si="6"/>
        <v>12965</v>
      </c>
      <c r="Z211" s="581"/>
      <c r="AA211" s="581"/>
      <c r="AB211" s="619"/>
      <c r="AC211" s="619"/>
    </row>
    <row r="212" spans="1:29" s="388" customFormat="1" ht="18" customHeight="1" hidden="1">
      <c r="A212" s="387" t="s">
        <v>720</v>
      </c>
      <c r="B212" s="623"/>
      <c r="C212" s="623"/>
      <c r="D212" s="623"/>
      <c r="E212" s="623"/>
      <c r="F212" s="623"/>
      <c r="G212" s="623"/>
      <c r="H212" s="623"/>
      <c r="I212" s="623"/>
      <c r="J212" s="623"/>
      <c r="K212" s="623"/>
      <c r="L212" s="623"/>
      <c r="M212" s="623"/>
      <c r="N212" s="623"/>
      <c r="O212" s="623"/>
      <c r="P212" s="623"/>
      <c r="Q212" s="623"/>
      <c r="R212" s="623"/>
      <c r="S212" s="623"/>
      <c r="T212" s="623"/>
      <c r="U212" s="623"/>
      <c r="V212" s="623"/>
      <c r="W212" s="623"/>
      <c r="X212" s="623"/>
      <c r="Y212" s="676">
        <f t="shared" si="6"/>
        <v>0</v>
      </c>
      <c r="Z212" s="581"/>
      <c r="AA212" s="581"/>
      <c r="AB212" s="619"/>
      <c r="AC212" s="619"/>
    </row>
    <row r="213" spans="1:29" s="388" customFormat="1" ht="18" customHeight="1" hidden="1">
      <c r="A213" s="387" t="s">
        <v>721</v>
      </c>
      <c r="B213" s="623"/>
      <c r="C213" s="623"/>
      <c r="D213" s="623"/>
      <c r="E213" s="623"/>
      <c r="F213" s="623"/>
      <c r="G213" s="623"/>
      <c r="H213" s="623"/>
      <c r="I213" s="623"/>
      <c r="J213" s="623"/>
      <c r="K213" s="623"/>
      <c r="L213" s="623"/>
      <c r="M213" s="623"/>
      <c r="N213" s="623"/>
      <c r="O213" s="623"/>
      <c r="P213" s="623"/>
      <c r="Q213" s="623"/>
      <c r="R213" s="623"/>
      <c r="S213" s="623"/>
      <c r="T213" s="623"/>
      <c r="U213" s="623"/>
      <c r="V213" s="623"/>
      <c r="W213" s="623"/>
      <c r="X213" s="623"/>
      <c r="Y213" s="580">
        <f t="shared" si="6"/>
        <v>0</v>
      </c>
      <c r="Z213" s="581"/>
      <c r="AA213" s="581"/>
      <c r="AB213" s="619"/>
      <c r="AC213" s="619"/>
    </row>
    <row r="214" spans="1:29" s="388" customFormat="1" ht="18" customHeight="1" hidden="1">
      <c r="A214" s="387" t="s">
        <v>723</v>
      </c>
      <c r="B214" s="623"/>
      <c r="C214" s="623"/>
      <c r="D214" s="623"/>
      <c r="E214" s="623"/>
      <c r="F214" s="623"/>
      <c r="G214" s="623"/>
      <c r="H214" s="623"/>
      <c r="I214" s="623"/>
      <c r="J214" s="623"/>
      <c r="K214" s="623"/>
      <c r="L214" s="623"/>
      <c r="M214" s="623"/>
      <c r="N214" s="623"/>
      <c r="O214" s="623"/>
      <c r="P214" s="623"/>
      <c r="Q214" s="623"/>
      <c r="R214" s="623"/>
      <c r="S214" s="623"/>
      <c r="T214" s="623"/>
      <c r="U214" s="623"/>
      <c r="V214" s="623"/>
      <c r="W214" s="623"/>
      <c r="X214" s="623"/>
      <c r="Y214" s="580">
        <f t="shared" si="6"/>
        <v>0</v>
      </c>
      <c r="Z214" s="581"/>
      <c r="AA214" s="581"/>
      <c r="AB214" s="619"/>
      <c r="AC214" s="619"/>
    </row>
    <row r="215" spans="1:29" s="388" customFormat="1" ht="18" customHeight="1" hidden="1">
      <c r="A215" s="589" t="s">
        <v>725</v>
      </c>
      <c r="B215" s="621"/>
      <c r="C215" s="621"/>
      <c r="D215" s="621"/>
      <c r="E215" s="621"/>
      <c r="F215" s="621"/>
      <c r="G215" s="621"/>
      <c r="H215" s="621"/>
      <c r="I215" s="621"/>
      <c r="J215" s="621"/>
      <c r="K215" s="621"/>
      <c r="L215" s="621"/>
      <c r="M215" s="621"/>
      <c r="N215" s="621"/>
      <c r="O215" s="621"/>
      <c r="P215" s="621"/>
      <c r="Q215" s="621"/>
      <c r="R215" s="621"/>
      <c r="S215" s="621"/>
      <c r="T215" s="621"/>
      <c r="U215" s="621"/>
      <c r="V215" s="621"/>
      <c r="W215" s="621"/>
      <c r="X215" s="621"/>
      <c r="Y215" s="580">
        <f t="shared" si="6"/>
        <v>0</v>
      </c>
      <c r="Z215" s="581"/>
      <c r="AA215" s="581"/>
      <c r="AB215" s="619"/>
      <c r="AC215" s="619"/>
    </row>
    <row r="216" spans="1:29" s="388" customFormat="1" ht="18" customHeight="1" hidden="1">
      <c r="A216" s="589" t="s">
        <v>727</v>
      </c>
      <c r="B216" s="621"/>
      <c r="C216" s="621"/>
      <c r="D216" s="621"/>
      <c r="E216" s="621"/>
      <c r="F216" s="621"/>
      <c r="G216" s="621"/>
      <c r="H216" s="621"/>
      <c r="I216" s="621"/>
      <c r="J216" s="621"/>
      <c r="K216" s="621"/>
      <c r="L216" s="621"/>
      <c r="M216" s="621"/>
      <c r="N216" s="621"/>
      <c r="O216" s="621"/>
      <c r="P216" s="621"/>
      <c r="Q216" s="621"/>
      <c r="R216" s="621"/>
      <c r="S216" s="621"/>
      <c r="T216" s="621"/>
      <c r="U216" s="621"/>
      <c r="V216" s="621"/>
      <c r="W216" s="621"/>
      <c r="X216" s="621"/>
      <c r="Y216" s="580">
        <f t="shared" si="6"/>
        <v>0</v>
      </c>
      <c r="Z216" s="581"/>
      <c r="AA216" s="581"/>
      <c r="AB216" s="619"/>
      <c r="AC216" s="619"/>
    </row>
    <row r="217" spans="1:29" s="388" customFormat="1" ht="18" customHeight="1" hidden="1">
      <c r="A217" s="589" t="s">
        <v>731</v>
      </c>
      <c r="B217" s="621"/>
      <c r="C217" s="621"/>
      <c r="D217" s="621"/>
      <c r="E217" s="621"/>
      <c r="F217" s="621"/>
      <c r="G217" s="621"/>
      <c r="H217" s="621"/>
      <c r="I217" s="621"/>
      <c r="J217" s="621"/>
      <c r="K217" s="621"/>
      <c r="L217" s="621"/>
      <c r="M217" s="621"/>
      <c r="N217" s="621"/>
      <c r="O217" s="621"/>
      <c r="P217" s="621"/>
      <c r="Q217" s="621"/>
      <c r="R217" s="621"/>
      <c r="S217" s="621"/>
      <c r="T217" s="621"/>
      <c r="U217" s="621"/>
      <c r="V217" s="621"/>
      <c r="W217" s="621"/>
      <c r="X217" s="621"/>
      <c r="Y217" s="580">
        <f t="shared" si="6"/>
        <v>0</v>
      </c>
      <c r="Z217" s="581"/>
      <c r="AA217" s="581"/>
      <c r="AB217" s="619"/>
      <c r="AC217" s="619"/>
    </row>
    <row r="218" spans="1:29" s="388" customFormat="1" ht="18" customHeight="1">
      <c r="A218" s="589" t="s">
        <v>732</v>
      </c>
      <c r="B218" s="621"/>
      <c r="C218" s="621"/>
      <c r="D218" s="621"/>
      <c r="E218" s="621"/>
      <c r="F218" s="621"/>
      <c r="G218" s="621"/>
      <c r="H218" s="621"/>
      <c r="I218" s="621"/>
      <c r="J218" s="621"/>
      <c r="K218" s="621"/>
      <c r="L218" s="621"/>
      <c r="M218" s="621"/>
      <c r="N218" s="621"/>
      <c r="O218" s="621"/>
      <c r="P218" s="621"/>
      <c r="Q218" s="621"/>
      <c r="R218" s="621">
        <v>2965</v>
      </c>
      <c r="S218" s="621"/>
      <c r="T218" s="621"/>
      <c r="U218" s="621"/>
      <c r="V218" s="621"/>
      <c r="W218" s="621"/>
      <c r="X218" s="621"/>
      <c r="Y218" s="580">
        <f t="shared" si="6"/>
        <v>2965</v>
      </c>
      <c r="Z218" s="581"/>
      <c r="AA218" s="581"/>
      <c r="AB218" s="619"/>
      <c r="AC218" s="619"/>
    </row>
    <row r="219" spans="1:29" s="388" customFormat="1" ht="18" customHeight="1" hidden="1">
      <c r="A219" s="589" t="s">
        <v>735</v>
      </c>
      <c r="B219" s="621"/>
      <c r="C219" s="621"/>
      <c r="D219" s="621"/>
      <c r="E219" s="621"/>
      <c r="F219" s="621"/>
      <c r="G219" s="621"/>
      <c r="H219" s="621"/>
      <c r="I219" s="621"/>
      <c r="J219" s="621"/>
      <c r="K219" s="621"/>
      <c r="L219" s="621"/>
      <c r="M219" s="621"/>
      <c r="N219" s="621"/>
      <c r="O219" s="621"/>
      <c r="P219" s="621"/>
      <c r="Q219" s="621"/>
      <c r="R219" s="621"/>
      <c r="S219" s="621"/>
      <c r="T219" s="621"/>
      <c r="U219" s="621"/>
      <c r="V219" s="621"/>
      <c r="W219" s="621"/>
      <c r="X219" s="621"/>
      <c r="Y219" s="580">
        <f t="shared" si="6"/>
        <v>0</v>
      </c>
      <c r="Z219" s="581"/>
      <c r="AA219" s="581"/>
      <c r="AB219" s="619"/>
      <c r="AC219" s="619"/>
    </row>
    <row r="220" spans="1:29" s="388" customFormat="1" ht="18" customHeight="1" hidden="1">
      <c r="A220" s="589" t="s">
        <v>736</v>
      </c>
      <c r="B220" s="621"/>
      <c r="C220" s="621"/>
      <c r="D220" s="621"/>
      <c r="E220" s="621"/>
      <c r="F220" s="621"/>
      <c r="G220" s="621"/>
      <c r="H220" s="621"/>
      <c r="I220" s="621"/>
      <c r="J220" s="621"/>
      <c r="K220" s="621"/>
      <c r="L220" s="621"/>
      <c r="M220" s="621"/>
      <c r="N220" s="621"/>
      <c r="O220" s="621"/>
      <c r="P220" s="621"/>
      <c r="Q220" s="621"/>
      <c r="R220" s="621"/>
      <c r="S220" s="621"/>
      <c r="T220" s="621"/>
      <c r="U220" s="621"/>
      <c r="V220" s="621"/>
      <c r="W220" s="621"/>
      <c r="X220" s="621"/>
      <c r="Y220" s="580">
        <f t="shared" si="6"/>
        <v>0</v>
      </c>
      <c r="Z220" s="581"/>
      <c r="AA220" s="581"/>
      <c r="AB220" s="619"/>
      <c r="AC220" s="619"/>
    </row>
    <row r="221" spans="1:29" s="388" customFormat="1" ht="18" customHeight="1" hidden="1">
      <c r="A221" s="589" t="s">
        <v>739</v>
      </c>
      <c r="B221" s="621"/>
      <c r="C221" s="621"/>
      <c r="D221" s="621"/>
      <c r="E221" s="621"/>
      <c r="F221" s="621"/>
      <c r="G221" s="621"/>
      <c r="H221" s="621"/>
      <c r="I221" s="621"/>
      <c r="J221" s="621"/>
      <c r="K221" s="621"/>
      <c r="L221" s="621"/>
      <c r="M221" s="621"/>
      <c r="N221" s="621"/>
      <c r="O221" s="621"/>
      <c r="P221" s="621"/>
      <c r="Q221" s="621"/>
      <c r="R221" s="621"/>
      <c r="S221" s="621"/>
      <c r="T221" s="621"/>
      <c r="U221" s="621"/>
      <c r="V221" s="621"/>
      <c r="W221" s="621"/>
      <c r="X221" s="621"/>
      <c r="Y221" s="580">
        <f t="shared" si="6"/>
        <v>0</v>
      </c>
      <c r="Z221" s="581"/>
      <c r="AA221" s="581"/>
      <c r="AB221" s="619"/>
      <c r="AC221" s="619"/>
    </row>
    <row r="222" spans="1:29" s="388" customFormat="1" ht="18" customHeight="1" hidden="1">
      <c r="A222" s="589" t="s">
        <v>741</v>
      </c>
      <c r="B222" s="621"/>
      <c r="C222" s="621"/>
      <c r="D222" s="621"/>
      <c r="E222" s="621"/>
      <c r="F222" s="621"/>
      <c r="G222" s="621"/>
      <c r="H222" s="621"/>
      <c r="I222" s="621"/>
      <c r="J222" s="621"/>
      <c r="K222" s="621"/>
      <c r="L222" s="621"/>
      <c r="M222" s="621"/>
      <c r="N222" s="621"/>
      <c r="O222" s="621"/>
      <c r="P222" s="621"/>
      <c r="Q222" s="621"/>
      <c r="R222" s="621"/>
      <c r="S222" s="621"/>
      <c r="T222" s="621"/>
      <c r="U222" s="621"/>
      <c r="V222" s="621"/>
      <c r="W222" s="621"/>
      <c r="X222" s="621"/>
      <c r="Y222" s="580">
        <f t="shared" si="6"/>
        <v>0</v>
      </c>
      <c r="Z222" s="581"/>
      <c r="AA222" s="581"/>
      <c r="AB222" s="619"/>
      <c r="AC222" s="619"/>
    </row>
    <row r="223" spans="1:29" s="388" customFormat="1" ht="18" customHeight="1" hidden="1">
      <c r="A223" s="589" t="s">
        <v>2</v>
      </c>
      <c r="B223" s="621"/>
      <c r="C223" s="621"/>
      <c r="D223" s="621"/>
      <c r="E223" s="621"/>
      <c r="F223" s="621"/>
      <c r="G223" s="621"/>
      <c r="H223" s="621"/>
      <c r="I223" s="621"/>
      <c r="J223" s="621"/>
      <c r="K223" s="621"/>
      <c r="L223" s="621"/>
      <c r="M223" s="621"/>
      <c r="N223" s="621"/>
      <c r="O223" s="621"/>
      <c r="P223" s="621"/>
      <c r="Q223" s="621"/>
      <c r="R223" s="621"/>
      <c r="S223" s="621"/>
      <c r="T223" s="621"/>
      <c r="U223" s="621"/>
      <c r="V223" s="621"/>
      <c r="W223" s="621"/>
      <c r="X223" s="621"/>
      <c r="Y223" s="580">
        <f t="shared" si="6"/>
        <v>0</v>
      </c>
      <c r="Z223" s="581"/>
      <c r="AA223" s="581"/>
      <c r="AB223" s="619"/>
      <c r="AC223" s="619"/>
    </row>
    <row r="224" spans="1:29" s="388" customFormat="1" ht="18" customHeight="1" hidden="1">
      <c r="A224" s="589" t="s">
        <v>3</v>
      </c>
      <c r="B224" s="621"/>
      <c r="C224" s="621"/>
      <c r="D224" s="621"/>
      <c r="E224" s="621"/>
      <c r="F224" s="621"/>
      <c r="G224" s="621"/>
      <c r="H224" s="621"/>
      <c r="I224" s="621"/>
      <c r="J224" s="621"/>
      <c r="K224" s="621"/>
      <c r="L224" s="621"/>
      <c r="M224" s="621"/>
      <c r="N224" s="621"/>
      <c r="O224" s="621"/>
      <c r="P224" s="621"/>
      <c r="Q224" s="621"/>
      <c r="R224" s="621"/>
      <c r="S224" s="621"/>
      <c r="T224" s="621"/>
      <c r="U224" s="621"/>
      <c r="V224" s="621"/>
      <c r="W224" s="621"/>
      <c r="X224" s="621"/>
      <c r="Y224" s="580">
        <f t="shared" si="6"/>
        <v>0</v>
      </c>
      <c r="Z224" s="581"/>
      <c r="AA224" s="581"/>
      <c r="AB224" s="619"/>
      <c r="AC224" s="619"/>
    </row>
    <row r="225" spans="1:29" s="388" customFormat="1" ht="18" customHeight="1" hidden="1">
      <c r="A225" s="589" t="s">
        <v>4</v>
      </c>
      <c r="B225" s="621"/>
      <c r="C225" s="621"/>
      <c r="D225" s="621"/>
      <c r="E225" s="621"/>
      <c r="F225" s="621"/>
      <c r="G225" s="621"/>
      <c r="H225" s="621"/>
      <c r="I225" s="621"/>
      <c r="J225" s="621"/>
      <c r="K225" s="621"/>
      <c r="L225" s="621"/>
      <c r="M225" s="621"/>
      <c r="N225" s="621"/>
      <c r="O225" s="621"/>
      <c r="P225" s="621"/>
      <c r="Q225" s="621"/>
      <c r="R225" s="621"/>
      <c r="S225" s="621"/>
      <c r="T225" s="621"/>
      <c r="U225" s="621"/>
      <c r="V225" s="621"/>
      <c r="W225" s="621"/>
      <c r="X225" s="621"/>
      <c r="Y225" s="580">
        <f t="shared" si="6"/>
        <v>0</v>
      </c>
      <c r="Z225" s="581"/>
      <c r="AA225" s="581"/>
      <c r="AB225" s="619"/>
      <c r="AC225" s="619"/>
    </row>
    <row r="226" spans="1:29" s="388" customFormat="1" ht="18" customHeight="1" hidden="1">
      <c r="A226" s="589" t="s">
        <v>6</v>
      </c>
      <c r="B226" s="621"/>
      <c r="C226" s="621"/>
      <c r="D226" s="621"/>
      <c r="E226" s="621"/>
      <c r="F226" s="621"/>
      <c r="G226" s="621"/>
      <c r="H226" s="621"/>
      <c r="I226" s="621"/>
      <c r="J226" s="621"/>
      <c r="K226" s="621"/>
      <c r="L226" s="621"/>
      <c r="M226" s="621"/>
      <c r="N226" s="621"/>
      <c r="O226" s="621"/>
      <c r="P226" s="621"/>
      <c r="Q226" s="621"/>
      <c r="R226" s="621"/>
      <c r="S226" s="621"/>
      <c r="T226" s="621"/>
      <c r="U226" s="621"/>
      <c r="V226" s="621"/>
      <c r="W226" s="621"/>
      <c r="X226" s="621"/>
      <c r="Y226" s="580">
        <f t="shared" si="6"/>
        <v>0</v>
      </c>
      <c r="Z226" s="581"/>
      <c r="AA226" s="581"/>
      <c r="AB226" s="619"/>
      <c r="AC226" s="619"/>
    </row>
    <row r="227" spans="1:29" s="388" customFormat="1" ht="18" customHeight="1" hidden="1">
      <c r="A227" s="589" t="s">
        <v>8</v>
      </c>
      <c r="B227" s="621"/>
      <c r="C227" s="621"/>
      <c r="D227" s="621"/>
      <c r="E227" s="621"/>
      <c r="F227" s="621"/>
      <c r="G227" s="621"/>
      <c r="H227" s="621"/>
      <c r="I227" s="621"/>
      <c r="J227" s="621"/>
      <c r="K227" s="621"/>
      <c r="L227" s="621"/>
      <c r="M227" s="621"/>
      <c r="N227" s="621"/>
      <c r="O227" s="621"/>
      <c r="P227" s="621"/>
      <c r="Q227" s="621"/>
      <c r="R227" s="621"/>
      <c r="S227" s="621"/>
      <c r="T227" s="621"/>
      <c r="U227" s="621"/>
      <c r="V227" s="621"/>
      <c r="W227" s="621"/>
      <c r="X227" s="621"/>
      <c r="Y227" s="580">
        <f t="shared" si="6"/>
        <v>0</v>
      </c>
      <c r="Z227" s="581"/>
      <c r="AA227" s="581"/>
      <c r="AB227" s="619"/>
      <c r="AC227" s="619"/>
    </row>
    <row r="228" spans="1:29" s="388" customFormat="1" ht="18" customHeight="1" hidden="1">
      <c r="A228" s="589" t="s">
        <v>9</v>
      </c>
      <c r="B228" s="621"/>
      <c r="C228" s="621"/>
      <c r="D228" s="621"/>
      <c r="E228" s="621"/>
      <c r="F228" s="621"/>
      <c r="G228" s="621"/>
      <c r="H228" s="621"/>
      <c r="I228" s="621"/>
      <c r="J228" s="621"/>
      <c r="K228" s="621"/>
      <c r="L228" s="621"/>
      <c r="M228" s="621"/>
      <c r="N228" s="621"/>
      <c r="O228" s="621"/>
      <c r="P228" s="621"/>
      <c r="Q228" s="621"/>
      <c r="R228" s="621"/>
      <c r="S228" s="621"/>
      <c r="T228" s="621"/>
      <c r="U228" s="621"/>
      <c r="V228" s="621"/>
      <c r="W228" s="621"/>
      <c r="X228" s="621"/>
      <c r="Y228" s="580">
        <f t="shared" si="6"/>
        <v>0</v>
      </c>
      <c r="Z228" s="581"/>
      <c r="AA228" s="581"/>
      <c r="AB228" s="619"/>
      <c r="AC228" s="619"/>
    </row>
    <row r="229" spans="1:29" s="388" customFormat="1" ht="18" customHeight="1" hidden="1">
      <c r="A229" s="589" t="s">
        <v>10</v>
      </c>
      <c r="B229" s="621"/>
      <c r="C229" s="621"/>
      <c r="D229" s="621"/>
      <c r="E229" s="621"/>
      <c r="F229" s="621"/>
      <c r="G229" s="621"/>
      <c r="H229" s="621"/>
      <c r="I229" s="621"/>
      <c r="J229" s="621"/>
      <c r="K229" s="621"/>
      <c r="L229" s="621"/>
      <c r="M229" s="621"/>
      <c r="N229" s="621"/>
      <c r="O229" s="621"/>
      <c r="P229" s="621"/>
      <c r="Q229" s="621"/>
      <c r="R229" s="621"/>
      <c r="S229" s="621"/>
      <c r="T229" s="621"/>
      <c r="U229" s="621"/>
      <c r="V229" s="621"/>
      <c r="W229" s="621"/>
      <c r="X229" s="621"/>
      <c r="Y229" s="580">
        <f aca="true" t="shared" si="7" ref="Y229:Y292">SUM(B229:X229)</f>
        <v>0</v>
      </c>
      <c r="Z229" s="581"/>
      <c r="AA229" s="581"/>
      <c r="AB229" s="619"/>
      <c r="AC229" s="619"/>
    </row>
    <row r="230" spans="1:29" s="388" customFormat="1" ht="18" customHeight="1" hidden="1">
      <c r="A230" s="589" t="s">
        <v>12</v>
      </c>
      <c r="B230" s="621"/>
      <c r="C230" s="621"/>
      <c r="D230" s="621"/>
      <c r="E230" s="621"/>
      <c r="F230" s="621"/>
      <c r="G230" s="621"/>
      <c r="H230" s="621"/>
      <c r="I230" s="621"/>
      <c r="J230" s="621"/>
      <c r="K230" s="621"/>
      <c r="L230" s="621"/>
      <c r="M230" s="621"/>
      <c r="N230" s="621"/>
      <c r="O230" s="621"/>
      <c r="P230" s="621"/>
      <c r="Q230" s="621"/>
      <c r="R230" s="621"/>
      <c r="S230" s="621"/>
      <c r="T230" s="621"/>
      <c r="U230" s="621"/>
      <c r="V230" s="621"/>
      <c r="W230" s="621"/>
      <c r="X230" s="621"/>
      <c r="Y230" s="580">
        <f t="shared" si="7"/>
        <v>0</v>
      </c>
      <c r="Z230" s="581"/>
      <c r="AA230" s="581"/>
      <c r="AB230" s="619"/>
      <c r="AC230" s="619"/>
    </row>
    <row r="231" spans="1:29" s="388" customFormat="1" ht="18" customHeight="1" hidden="1">
      <c r="A231" s="589" t="s">
        <v>13</v>
      </c>
      <c r="B231" s="621"/>
      <c r="C231" s="621"/>
      <c r="D231" s="621"/>
      <c r="E231" s="621"/>
      <c r="F231" s="621"/>
      <c r="G231" s="621"/>
      <c r="H231" s="621"/>
      <c r="I231" s="621"/>
      <c r="J231" s="621"/>
      <c r="K231" s="621"/>
      <c r="L231" s="621"/>
      <c r="M231" s="621"/>
      <c r="N231" s="621"/>
      <c r="O231" s="621"/>
      <c r="P231" s="621"/>
      <c r="Q231" s="621"/>
      <c r="R231" s="621"/>
      <c r="S231" s="621"/>
      <c r="T231" s="621"/>
      <c r="U231" s="621"/>
      <c r="V231" s="621"/>
      <c r="W231" s="621"/>
      <c r="X231" s="621"/>
      <c r="Y231" s="580">
        <f t="shared" si="7"/>
        <v>0</v>
      </c>
      <c r="Z231" s="581"/>
      <c r="AA231" s="581"/>
      <c r="AB231" s="619"/>
      <c r="AC231" s="619"/>
    </row>
    <row r="232" spans="1:29" s="388" customFormat="1" ht="18" customHeight="1" hidden="1">
      <c r="A232" s="589" t="s">
        <v>14</v>
      </c>
      <c r="B232" s="621"/>
      <c r="C232" s="621"/>
      <c r="D232" s="621"/>
      <c r="E232" s="621"/>
      <c r="F232" s="621"/>
      <c r="G232" s="621"/>
      <c r="H232" s="621"/>
      <c r="I232" s="621"/>
      <c r="J232" s="621"/>
      <c r="K232" s="621"/>
      <c r="L232" s="621"/>
      <c r="M232" s="621"/>
      <c r="N232" s="621"/>
      <c r="O232" s="621"/>
      <c r="P232" s="621"/>
      <c r="Q232" s="621"/>
      <c r="R232" s="621"/>
      <c r="S232" s="621"/>
      <c r="T232" s="621"/>
      <c r="U232" s="621"/>
      <c r="V232" s="621"/>
      <c r="W232" s="621"/>
      <c r="X232" s="621"/>
      <c r="Y232" s="580">
        <f t="shared" si="7"/>
        <v>0</v>
      </c>
      <c r="Z232" s="581"/>
      <c r="AA232" s="581"/>
      <c r="AB232" s="619"/>
      <c r="AC232" s="619"/>
    </row>
    <row r="233" spans="1:29" s="388" customFormat="1" ht="18" customHeight="1" hidden="1">
      <c r="A233" s="589" t="s">
        <v>16</v>
      </c>
      <c r="B233" s="621"/>
      <c r="C233" s="621"/>
      <c r="D233" s="621"/>
      <c r="E233" s="621"/>
      <c r="F233" s="621"/>
      <c r="G233" s="621"/>
      <c r="H233" s="621"/>
      <c r="I233" s="621"/>
      <c r="J233" s="621"/>
      <c r="K233" s="621"/>
      <c r="L233" s="621"/>
      <c r="M233" s="621"/>
      <c r="N233" s="621"/>
      <c r="O233" s="621"/>
      <c r="P233" s="621"/>
      <c r="Q233" s="621"/>
      <c r="R233" s="621"/>
      <c r="S233" s="621"/>
      <c r="T233" s="621"/>
      <c r="U233" s="621"/>
      <c r="V233" s="621"/>
      <c r="W233" s="621"/>
      <c r="X233" s="621"/>
      <c r="Y233" s="580">
        <f t="shared" si="7"/>
        <v>0</v>
      </c>
      <c r="Z233" s="581"/>
      <c r="AA233" s="581"/>
      <c r="AB233" s="619"/>
      <c r="AC233" s="619"/>
    </row>
    <row r="234" spans="1:29" s="388" customFormat="1" ht="18" customHeight="1" hidden="1">
      <c r="A234" s="589" t="s">
        <v>17</v>
      </c>
      <c r="B234" s="621"/>
      <c r="C234" s="621"/>
      <c r="D234" s="621"/>
      <c r="E234" s="621"/>
      <c r="F234" s="621"/>
      <c r="G234" s="621"/>
      <c r="H234" s="621"/>
      <c r="I234" s="621"/>
      <c r="J234" s="621"/>
      <c r="K234" s="621"/>
      <c r="L234" s="621"/>
      <c r="M234" s="621"/>
      <c r="N234" s="621"/>
      <c r="O234" s="621"/>
      <c r="P234" s="621"/>
      <c r="Q234" s="621"/>
      <c r="R234" s="621"/>
      <c r="S234" s="621"/>
      <c r="T234" s="621"/>
      <c r="U234" s="621"/>
      <c r="V234" s="621"/>
      <c r="W234" s="621"/>
      <c r="X234" s="621"/>
      <c r="Y234" s="580">
        <f t="shared" si="7"/>
        <v>0</v>
      </c>
      <c r="Z234" s="581"/>
      <c r="AA234" s="581"/>
      <c r="AB234" s="619"/>
      <c r="AC234" s="619"/>
    </row>
    <row r="235" spans="1:29" s="388" customFormat="1" ht="18" customHeight="1" hidden="1">
      <c r="A235" s="589" t="s">
        <v>18</v>
      </c>
      <c r="B235" s="621"/>
      <c r="C235" s="621"/>
      <c r="D235" s="621"/>
      <c r="E235" s="621"/>
      <c r="F235" s="621"/>
      <c r="G235" s="621"/>
      <c r="H235" s="621"/>
      <c r="I235" s="621"/>
      <c r="J235" s="621"/>
      <c r="K235" s="621"/>
      <c r="L235" s="621"/>
      <c r="M235" s="621"/>
      <c r="N235" s="621"/>
      <c r="O235" s="621"/>
      <c r="P235" s="621"/>
      <c r="Q235" s="621"/>
      <c r="R235" s="621"/>
      <c r="S235" s="621"/>
      <c r="T235" s="621"/>
      <c r="U235" s="621"/>
      <c r="V235" s="621"/>
      <c r="W235" s="621"/>
      <c r="X235" s="621"/>
      <c r="Y235" s="580">
        <f t="shared" si="7"/>
        <v>0</v>
      </c>
      <c r="Z235" s="581"/>
      <c r="AA235" s="581"/>
      <c r="AB235" s="619"/>
      <c r="AC235" s="619"/>
    </row>
    <row r="236" spans="1:29" s="388" customFormat="1" ht="18" customHeight="1" hidden="1">
      <c r="A236" s="589" t="s">
        <v>0</v>
      </c>
      <c r="B236" s="621"/>
      <c r="C236" s="621"/>
      <c r="D236" s="621"/>
      <c r="E236" s="621"/>
      <c r="F236" s="621"/>
      <c r="G236" s="621"/>
      <c r="H236" s="621"/>
      <c r="I236" s="621"/>
      <c r="J236" s="621"/>
      <c r="K236" s="621"/>
      <c r="L236" s="621"/>
      <c r="M236" s="621"/>
      <c r="N236" s="621"/>
      <c r="O236" s="621"/>
      <c r="P236" s="621"/>
      <c r="Q236" s="621"/>
      <c r="R236" s="621"/>
      <c r="S236" s="621"/>
      <c r="T236" s="621"/>
      <c r="U236" s="621"/>
      <c r="V236" s="621"/>
      <c r="W236" s="621"/>
      <c r="X236" s="621"/>
      <c r="Y236" s="580">
        <f t="shared" si="7"/>
        <v>0</v>
      </c>
      <c r="Z236" s="581"/>
      <c r="AA236" s="581"/>
      <c r="AB236" s="619"/>
      <c r="AC236" s="619"/>
    </row>
    <row r="237" spans="1:29" s="388" customFormat="1" ht="18" customHeight="1" hidden="1">
      <c r="A237" s="624" t="s">
        <v>67</v>
      </c>
      <c r="B237" s="625"/>
      <c r="C237" s="625"/>
      <c r="D237" s="625"/>
      <c r="E237" s="625"/>
      <c r="F237" s="625"/>
      <c r="G237" s="625"/>
      <c r="H237" s="625"/>
      <c r="I237" s="625"/>
      <c r="J237" s="625"/>
      <c r="K237" s="625"/>
      <c r="L237" s="625"/>
      <c r="M237" s="625"/>
      <c r="N237" s="625"/>
      <c r="O237" s="625"/>
      <c r="P237" s="625"/>
      <c r="Q237" s="625"/>
      <c r="R237" s="625"/>
      <c r="S237" s="625"/>
      <c r="T237" s="625"/>
      <c r="U237" s="625"/>
      <c r="V237" s="625"/>
      <c r="W237" s="625"/>
      <c r="X237" s="625"/>
      <c r="Y237" s="580">
        <f t="shared" si="7"/>
        <v>0</v>
      </c>
      <c r="Z237" s="581"/>
      <c r="AA237" s="581"/>
      <c r="AB237" s="619"/>
      <c r="AC237" s="619"/>
    </row>
    <row r="238" spans="1:29" s="388" customFormat="1" ht="18" customHeight="1">
      <c r="A238" s="589" t="s">
        <v>21</v>
      </c>
      <c r="B238" s="621"/>
      <c r="C238" s="621"/>
      <c r="D238" s="621"/>
      <c r="E238" s="621"/>
      <c r="F238" s="621"/>
      <c r="G238" s="621"/>
      <c r="H238" s="621"/>
      <c r="I238" s="621"/>
      <c r="J238" s="621"/>
      <c r="K238" s="621"/>
      <c r="L238" s="621"/>
      <c r="M238" s="621"/>
      <c r="N238" s="621"/>
      <c r="O238" s="621"/>
      <c r="P238" s="621"/>
      <c r="Q238" s="621"/>
      <c r="R238" s="621">
        <v>10000</v>
      </c>
      <c r="S238" s="621"/>
      <c r="T238" s="621"/>
      <c r="U238" s="621"/>
      <c r="V238" s="621"/>
      <c r="W238" s="621"/>
      <c r="X238" s="621"/>
      <c r="Y238" s="580">
        <f t="shared" si="7"/>
        <v>10000</v>
      </c>
      <c r="Z238" s="581"/>
      <c r="AA238" s="581"/>
      <c r="AB238" s="619"/>
      <c r="AC238" s="619"/>
    </row>
    <row r="239" spans="1:29" s="388" customFormat="1" ht="19.5" customHeight="1" thickBot="1">
      <c r="A239" s="597" t="s">
        <v>25</v>
      </c>
      <c r="B239" s="888"/>
      <c r="C239" s="888"/>
      <c r="D239" s="888"/>
      <c r="E239" s="888"/>
      <c r="F239" s="888"/>
      <c r="G239" s="888">
        <f>SUM(G240:G253)</f>
        <v>2000</v>
      </c>
      <c r="H239" s="888"/>
      <c r="I239" s="888"/>
      <c r="J239" s="888"/>
      <c r="K239" s="888"/>
      <c r="L239" s="888">
        <f>SUM(L240:L253)</f>
        <v>17000</v>
      </c>
      <c r="M239" s="888"/>
      <c r="N239" s="888"/>
      <c r="O239" s="888">
        <f>SUM(O240:O253)</f>
        <v>-6525</v>
      </c>
      <c r="P239" s="888">
        <f>SUM(P240:P253)</f>
        <v>1025</v>
      </c>
      <c r="Q239" s="888"/>
      <c r="R239" s="888">
        <f>SUM(R240:R253)</f>
        <v>22500</v>
      </c>
      <c r="S239" s="888"/>
      <c r="T239" s="888">
        <f>SUM(T240:T253)</f>
        <v>1000</v>
      </c>
      <c r="U239" s="888">
        <f>SUM(U240:U253)</f>
        <v>6000</v>
      </c>
      <c r="V239" s="888"/>
      <c r="W239" s="888">
        <f>SUM(W240:W253)</f>
        <v>5500</v>
      </c>
      <c r="X239" s="888"/>
      <c r="Y239" s="606">
        <f t="shared" si="7"/>
        <v>48500</v>
      </c>
      <c r="Z239" s="581"/>
      <c r="AA239" s="581"/>
      <c r="AB239" s="619"/>
      <c r="AC239" s="619"/>
    </row>
    <row r="240" spans="1:29" s="388" customFormat="1" ht="19.5" customHeight="1">
      <c r="A240" s="626" t="s">
        <v>26</v>
      </c>
      <c r="B240" s="623"/>
      <c r="C240" s="623"/>
      <c r="D240" s="623"/>
      <c r="E240" s="623"/>
      <c r="F240" s="623"/>
      <c r="G240" s="623"/>
      <c r="H240" s="623"/>
      <c r="I240" s="623"/>
      <c r="J240" s="623"/>
      <c r="K240" s="623"/>
      <c r="L240" s="623"/>
      <c r="M240" s="623"/>
      <c r="N240" s="623"/>
      <c r="O240" s="623"/>
      <c r="P240" s="623"/>
      <c r="Q240" s="623"/>
      <c r="R240" s="623">
        <v>7000</v>
      </c>
      <c r="S240" s="623"/>
      <c r="T240" s="623"/>
      <c r="U240" s="623">
        <v>6000</v>
      </c>
      <c r="V240" s="623"/>
      <c r="W240" s="623"/>
      <c r="X240" s="623"/>
      <c r="Y240" s="676">
        <f t="shared" si="7"/>
        <v>13000</v>
      </c>
      <c r="Z240" s="581"/>
      <c r="AA240" s="581"/>
      <c r="AB240" s="619"/>
      <c r="AC240" s="619"/>
    </row>
    <row r="241" spans="1:29" s="388" customFormat="1" ht="19.5" customHeight="1">
      <c r="A241" s="627" t="s">
        <v>27</v>
      </c>
      <c r="B241" s="621"/>
      <c r="C241" s="621"/>
      <c r="D241" s="621"/>
      <c r="E241" s="621"/>
      <c r="F241" s="621"/>
      <c r="G241" s="621"/>
      <c r="H241" s="621"/>
      <c r="I241" s="621"/>
      <c r="J241" s="621"/>
      <c r="K241" s="621"/>
      <c r="L241" s="621"/>
      <c r="M241" s="621"/>
      <c r="N241" s="621"/>
      <c r="O241" s="621">
        <v>-5500</v>
      </c>
      <c r="P241" s="621"/>
      <c r="Q241" s="621"/>
      <c r="R241" s="621"/>
      <c r="S241" s="621"/>
      <c r="T241" s="621"/>
      <c r="U241" s="621"/>
      <c r="V241" s="621"/>
      <c r="W241" s="621">
        <v>5500</v>
      </c>
      <c r="X241" s="621"/>
      <c r="Y241" s="580">
        <f t="shared" si="7"/>
        <v>0</v>
      </c>
      <c r="Z241" s="581"/>
      <c r="AA241" s="581"/>
      <c r="AB241" s="619"/>
      <c r="AC241" s="619"/>
    </row>
    <row r="242" spans="1:29" s="388" customFormat="1" ht="19.5" customHeight="1">
      <c r="A242" s="627" t="s">
        <v>28</v>
      </c>
      <c r="B242" s="621"/>
      <c r="C242" s="621"/>
      <c r="D242" s="621"/>
      <c r="E242" s="621"/>
      <c r="F242" s="621"/>
      <c r="G242" s="621">
        <v>2000</v>
      </c>
      <c r="H242" s="621"/>
      <c r="I242" s="621"/>
      <c r="J242" s="621"/>
      <c r="K242" s="621"/>
      <c r="L242" s="621">
        <v>5000</v>
      </c>
      <c r="M242" s="621"/>
      <c r="N242" s="621"/>
      <c r="O242" s="621"/>
      <c r="P242" s="621"/>
      <c r="Q242" s="621"/>
      <c r="R242" s="621">
        <v>10000</v>
      </c>
      <c r="S242" s="621"/>
      <c r="T242" s="621"/>
      <c r="U242" s="621"/>
      <c r="V242" s="621"/>
      <c r="W242" s="621"/>
      <c r="X242" s="621"/>
      <c r="Y242" s="580">
        <f t="shared" si="7"/>
        <v>17000</v>
      </c>
      <c r="Z242" s="581"/>
      <c r="AA242" s="581"/>
      <c r="AB242" s="619"/>
      <c r="AC242" s="619"/>
    </row>
    <row r="243" spans="1:29" s="388" customFormat="1" ht="19.5" customHeight="1">
      <c r="A243" s="627" t="s">
        <v>29</v>
      </c>
      <c r="B243" s="621"/>
      <c r="C243" s="621"/>
      <c r="D243" s="621"/>
      <c r="E243" s="621"/>
      <c r="F243" s="621"/>
      <c r="G243" s="621"/>
      <c r="H243" s="621"/>
      <c r="I243" s="621"/>
      <c r="J243" s="621"/>
      <c r="K243" s="621"/>
      <c r="L243" s="621">
        <v>5000</v>
      </c>
      <c r="M243" s="621"/>
      <c r="N243" s="621"/>
      <c r="O243" s="621"/>
      <c r="P243" s="621"/>
      <c r="Q243" s="621"/>
      <c r="R243" s="621"/>
      <c r="S243" s="621"/>
      <c r="T243" s="621"/>
      <c r="U243" s="621"/>
      <c r="V243" s="621"/>
      <c r="W243" s="621"/>
      <c r="X243" s="621"/>
      <c r="Y243" s="580">
        <f t="shared" si="7"/>
        <v>5000</v>
      </c>
      <c r="Z243" s="581"/>
      <c r="AA243" s="581"/>
      <c r="AB243" s="619"/>
      <c r="AC243" s="619"/>
    </row>
    <row r="244" spans="1:29" s="388" customFormat="1" ht="19.5" customHeight="1" hidden="1">
      <c r="A244" s="627" t="s">
        <v>30</v>
      </c>
      <c r="B244" s="621"/>
      <c r="C244" s="621"/>
      <c r="D244" s="621"/>
      <c r="E244" s="621"/>
      <c r="F244" s="621"/>
      <c r="G244" s="621"/>
      <c r="H244" s="621"/>
      <c r="I244" s="621"/>
      <c r="J244" s="621"/>
      <c r="K244" s="621"/>
      <c r="L244" s="621"/>
      <c r="M244" s="621"/>
      <c r="N244" s="621"/>
      <c r="O244" s="621"/>
      <c r="P244" s="621"/>
      <c r="Q244" s="621"/>
      <c r="R244" s="621"/>
      <c r="S244" s="621"/>
      <c r="T244" s="621"/>
      <c r="U244" s="621"/>
      <c r="V244" s="621"/>
      <c r="W244" s="621"/>
      <c r="X244" s="621"/>
      <c r="Y244" s="580">
        <f t="shared" si="7"/>
        <v>0</v>
      </c>
      <c r="Z244" s="581"/>
      <c r="AA244" s="581"/>
      <c r="AB244" s="619"/>
      <c r="AC244" s="619"/>
    </row>
    <row r="245" spans="1:29" s="388" customFormat="1" ht="19.5" customHeight="1" hidden="1">
      <c r="A245" s="627" t="s">
        <v>31</v>
      </c>
      <c r="B245" s="621"/>
      <c r="C245" s="621"/>
      <c r="D245" s="621"/>
      <c r="E245" s="621"/>
      <c r="F245" s="621"/>
      <c r="G245" s="621"/>
      <c r="H245" s="621"/>
      <c r="I245" s="621"/>
      <c r="J245" s="621"/>
      <c r="K245" s="621"/>
      <c r="L245" s="621"/>
      <c r="M245" s="621"/>
      <c r="N245" s="621"/>
      <c r="O245" s="621"/>
      <c r="P245" s="621"/>
      <c r="Q245" s="621"/>
      <c r="R245" s="621"/>
      <c r="S245" s="621"/>
      <c r="T245" s="621"/>
      <c r="U245" s="621"/>
      <c r="V245" s="621"/>
      <c r="W245" s="621"/>
      <c r="X245" s="621"/>
      <c r="Y245" s="580">
        <f t="shared" si="7"/>
        <v>0</v>
      </c>
      <c r="Z245" s="581"/>
      <c r="AA245" s="581"/>
      <c r="AB245" s="619"/>
      <c r="AC245" s="619"/>
    </row>
    <row r="246" spans="1:29" s="388" customFormat="1" ht="18" customHeight="1" hidden="1">
      <c r="A246" s="627" t="s">
        <v>32</v>
      </c>
      <c r="B246" s="621"/>
      <c r="C246" s="621"/>
      <c r="D246" s="621"/>
      <c r="E246" s="621"/>
      <c r="F246" s="621"/>
      <c r="G246" s="621"/>
      <c r="H246" s="621"/>
      <c r="I246" s="621"/>
      <c r="J246" s="621"/>
      <c r="K246" s="621"/>
      <c r="L246" s="621"/>
      <c r="M246" s="621"/>
      <c r="N246" s="621"/>
      <c r="O246" s="621"/>
      <c r="P246" s="621"/>
      <c r="Q246" s="621"/>
      <c r="R246" s="621"/>
      <c r="S246" s="621"/>
      <c r="T246" s="621"/>
      <c r="U246" s="621"/>
      <c r="V246" s="621"/>
      <c r="W246" s="621"/>
      <c r="X246" s="621"/>
      <c r="Y246" s="580">
        <f t="shared" si="7"/>
        <v>0</v>
      </c>
      <c r="Z246" s="581"/>
      <c r="AA246" s="581"/>
      <c r="AB246" s="619"/>
      <c r="AC246" s="619"/>
    </row>
    <row r="247" spans="1:29" s="388" customFormat="1" ht="18" customHeight="1">
      <c r="A247" s="627" t="s">
        <v>33</v>
      </c>
      <c r="B247" s="621"/>
      <c r="C247" s="621"/>
      <c r="D247" s="621"/>
      <c r="E247" s="621"/>
      <c r="F247" s="621"/>
      <c r="G247" s="621"/>
      <c r="H247" s="621"/>
      <c r="I247" s="621"/>
      <c r="J247" s="621"/>
      <c r="K247" s="621"/>
      <c r="L247" s="621">
        <v>4000</v>
      </c>
      <c r="M247" s="621"/>
      <c r="N247" s="621"/>
      <c r="O247" s="621">
        <v>-1025</v>
      </c>
      <c r="P247" s="621">
        <v>1025</v>
      </c>
      <c r="Q247" s="621"/>
      <c r="R247" s="621">
        <v>3500</v>
      </c>
      <c r="S247" s="621"/>
      <c r="T247" s="621"/>
      <c r="U247" s="621"/>
      <c r="V247" s="621"/>
      <c r="W247" s="621"/>
      <c r="X247" s="621"/>
      <c r="Y247" s="580">
        <f t="shared" si="7"/>
        <v>7500</v>
      </c>
      <c r="Z247" s="581"/>
      <c r="AA247" s="581"/>
      <c r="AB247" s="619"/>
      <c r="AC247" s="619"/>
    </row>
    <row r="248" spans="1:29" s="388" customFormat="1" ht="18" customHeight="1" hidden="1">
      <c r="A248" s="627" t="s">
        <v>34</v>
      </c>
      <c r="B248" s="621"/>
      <c r="C248" s="621"/>
      <c r="D248" s="621"/>
      <c r="E248" s="621"/>
      <c r="F248" s="621"/>
      <c r="G248" s="621"/>
      <c r="H248" s="621"/>
      <c r="I248" s="621"/>
      <c r="J248" s="621"/>
      <c r="K248" s="621"/>
      <c r="L248" s="621"/>
      <c r="M248" s="621"/>
      <c r="N248" s="621"/>
      <c r="O248" s="621"/>
      <c r="P248" s="621"/>
      <c r="Q248" s="621"/>
      <c r="R248" s="621"/>
      <c r="S248" s="621"/>
      <c r="T248" s="621"/>
      <c r="U248" s="621"/>
      <c r="V248" s="621"/>
      <c r="W248" s="621"/>
      <c r="X248" s="621"/>
      <c r="Y248" s="580">
        <f t="shared" si="7"/>
        <v>0</v>
      </c>
      <c r="Z248" s="581"/>
      <c r="AA248" s="581"/>
      <c r="AB248" s="619"/>
      <c r="AC248" s="619"/>
    </row>
    <row r="249" spans="1:29" s="388" customFormat="1" ht="19.5" customHeight="1" hidden="1">
      <c r="A249" s="627" t="s">
        <v>388</v>
      </c>
      <c r="B249" s="621"/>
      <c r="C249" s="621"/>
      <c r="D249" s="621"/>
      <c r="E249" s="621"/>
      <c r="F249" s="621"/>
      <c r="G249" s="621"/>
      <c r="H249" s="621"/>
      <c r="I249" s="621"/>
      <c r="J249" s="621"/>
      <c r="K249" s="621"/>
      <c r="L249" s="621"/>
      <c r="M249" s="621"/>
      <c r="N249" s="621"/>
      <c r="O249" s="621"/>
      <c r="P249" s="621"/>
      <c r="Q249" s="621"/>
      <c r="R249" s="621"/>
      <c r="S249" s="621"/>
      <c r="T249" s="621"/>
      <c r="U249" s="621"/>
      <c r="V249" s="621"/>
      <c r="W249" s="621"/>
      <c r="X249" s="621"/>
      <c r="Y249" s="580">
        <f t="shared" si="7"/>
        <v>0</v>
      </c>
      <c r="Z249" s="581"/>
      <c r="AA249" s="581"/>
      <c r="AB249" s="619"/>
      <c r="AC249" s="619"/>
    </row>
    <row r="250" spans="1:29" s="388" customFormat="1" ht="19.5" customHeight="1" hidden="1">
      <c r="A250" s="627" t="s">
        <v>389</v>
      </c>
      <c r="B250" s="621"/>
      <c r="C250" s="621"/>
      <c r="D250" s="621"/>
      <c r="E250" s="621"/>
      <c r="F250" s="621"/>
      <c r="G250" s="621"/>
      <c r="H250" s="621"/>
      <c r="I250" s="621"/>
      <c r="J250" s="621"/>
      <c r="K250" s="621"/>
      <c r="L250" s="621"/>
      <c r="M250" s="621"/>
      <c r="N250" s="621"/>
      <c r="O250" s="621"/>
      <c r="P250" s="621"/>
      <c r="Q250" s="621"/>
      <c r="R250" s="621"/>
      <c r="S250" s="621"/>
      <c r="T250" s="621"/>
      <c r="U250" s="621"/>
      <c r="V250" s="621"/>
      <c r="W250" s="621"/>
      <c r="X250" s="621"/>
      <c r="Y250" s="580">
        <f t="shared" si="7"/>
        <v>0</v>
      </c>
      <c r="Z250" s="581"/>
      <c r="AA250" s="581"/>
      <c r="AB250" s="619"/>
      <c r="AC250" s="619"/>
    </row>
    <row r="251" spans="1:29" s="388" customFormat="1" ht="19.5" customHeight="1" hidden="1">
      <c r="A251" s="627" t="s">
        <v>0</v>
      </c>
      <c r="B251" s="621"/>
      <c r="C251" s="621"/>
      <c r="D251" s="621"/>
      <c r="E251" s="621"/>
      <c r="F251" s="621"/>
      <c r="G251" s="621"/>
      <c r="H251" s="621"/>
      <c r="I251" s="621"/>
      <c r="J251" s="621"/>
      <c r="K251" s="621"/>
      <c r="L251" s="621"/>
      <c r="M251" s="621"/>
      <c r="N251" s="621"/>
      <c r="O251" s="621"/>
      <c r="P251" s="621"/>
      <c r="Q251" s="621"/>
      <c r="R251" s="621"/>
      <c r="S251" s="621"/>
      <c r="T251" s="621"/>
      <c r="U251" s="621"/>
      <c r="V251" s="621"/>
      <c r="W251" s="621"/>
      <c r="X251" s="621"/>
      <c r="Y251" s="580">
        <f t="shared" si="7"/>
        <v>0</v>
      </c>
      <c r="Z251" s="581"/>
      <c r="AA251" s="581"/>
      <c r="AB251" s="619"/>
      <c r="AC251" s="619"/>
    </row>
    <row r="252" spans="1:29" s="388" customFormat="1" ht="19.5" customHeight="1" hidden="1">
      <c r="A252" s="627" t="s">
        <v>390</v>
      </c>
      <c r="B252" s="621"/>
      <c r="C252" s="621"/>
      <c r="D252" s="621"/>
      <c r="E252" s="621"/>
      <c r="F252" s="621"/>
      <c r="G252" s="621"/>
      <c r="H252" s="621"/>
      <c r="I252" s="621"/>
      <c r="J252" s="621"/>
      <c r="K252" s="621"/>
      <c r="L252" s="621"/>
      <c r="M252" s="621"/>
      <c r="N252" s="621"/>
      <c r="O252" s="621"/>
      <c r="P252" s="621"/>
      <c r="Q252" s="621"/>
      <c r="R252" s="621"/>
      <c r="S252" s="621"/>
      <c r="T252" s="621"/>
      <c r="U252" s="621"/>
      <c r="V252" s="621"/>
      <c r="W252" s="621"/>
      <c r="X252" s="621"/>
      <c r="Y252" s="580">
        <f t="shared" si="7"/>
        <v>0</v>
      </c>
      <c r="Z252" s="581"/>
      <c r="AA252" s="581"/>
      <c r="AB252" s="619"/>
      <c r="AC252" s="619"/>
    </row>
    <row r="253" spans="1:29" s="388" customFormat="1" ht="19.5" customHeight="1" thickBot="1">
      <c r="A253" s="627" t="s">
        <v>391</v>
      </c>
      <c r="B253" s="621"/>
      <c r="C253" s="621"/>
      <c r="D253" s="621"/>
      <c r="E253" s="621"/>
      <c r="F253" s="621"/>
      <c r="G253" s="621"/>
      <c r="H253" s="621"/>
      <c r="I253" s="621"/>
      <c r="J253" s="621"/>
      <c r="K253" s="621"/>
      <c r="L253" s="621">
        <v>3000</v>
      </c>
      <c r="M253" s="621"/>
      <c r="N253" s="621"/>
      <c r="O253" s="621"/>
      <c r="P253" s="621"/>
      <c r="Q253" s="621"/>
      <c r="R253" s="621">
        <v>2000</v>
      </c>
      <c r="S253" s="621"/>
      <c r="T253" s="621">
        <v>1000</v>
      </c>
      <c r="U253" s="621"/>
      <c r="V253" s="621"/>
      <c r="W253" s="621"/>
      <c r="X253" s="621"/>
      <c r="Y253" s="580">
        <f t="shared" si="7"/>
        <v>6000</v>
      </c>
      <c r="Z253" s="581"/>
      <c r="AA253" s="581"/>
      <c r="AB253" s="619"/>
      <c r="AC253" s="619"/>
    </row>
    <row r="254" spans="1:29" s="388" customFormat="1" ht="19.5" customHeight="1" hidden="1">
      <c r="A254" s="627" t="s">
        <v>427</v>
      </c>
      <c r="B254" s="621"/>
      <c r="C254" s="621"/>
      <c r="D254" s="621"/>
      <c r="E254" s="621"/>
      <c r="F254" s="621"/>
      <c r="G254" s="621"/>
      <c r="H254" s="621"/>
      <c r="I254" s="621"/>
      <c r="J254" s="621"/>
      <c r="K254" s="621"/>
      <c r="L254" s="621"/>
      <c r="M254" s="621"/>
      <c r="N254" s="621"/>
      <c r="O254" s="621"/>
      <c r="P254" s="621"/>
      <c r="Q254" s="621"/>
      <c r="R254" s="621"/>
      <c r="S254" s="621"/>
      <c r="T254" s="621"/>
      <c r="U254" s="621"/>
      <c r="V254" s="621"/>
      <c r="W254" s="621"/>
      <c r="X254" s="621"/>
      <c r="Y254" s="580">
        <f t="shared" si="7"/>
        <v>0</v>
      </c>
      <c r="Z254" s="581"/>
      <c r="AA254" s="581"/>
      <c r="AB254" s="619"/>
      <c r="AC254" s="619"/>
    </row>
    <row r="255" spans="1:29" s="388" customFormat="1" ht="19.5" customHeight="1" hidden="1">
      <c r="A255" s="627" t="s">
        <v>392</v>
      </c>
      <c r="B255" s="621"/>
      <c r="C255" s="621"/>
      <c r="D255" s="621"/>
      <c r="E255" s="621"/>
      <c r="F255" s="621"/>
      <c r="G255" s="621"/>
      <c r="H255" s="621"/>
      <c r="I255" s="621"/>
      <c r="J255" s="621"/>
      <c r="K255" s="621"/>
      <c r="L255" s="621"/>
      <c r="M255" s="621"/>
      <c r="N255" s="621"/>
      <c r="O255" s="621"/>
      <c r="P255" s="621"/>
      <c r="Q255" s="621"/>
      <c r="R255" s="621"/>
      <c r="S255" s="621"/>
      <c r="T255" s="621"/>
      <c r="U255" s="621"/>
      <c r="V255" s="621"/>
      <c r="W255" s="621"/>
      <c r="X255" s="621"/>
      <c r="Y255" s="580">
        <f t="shared" si="7"/>
        <v>0</v>
      </c>
      <c r="Z255" s="581"/>
      <c r="AA255" s="581"/>
      <c r="AB255" s="619"/>
      <c r="AC255" s="619"/>
    </row>
    <row r="256" spans="1:29" s="388" customFormat="1" ht="19.5" customHeight="1" hidden="1">
      <c r="A256" s="627" t="s">
        <v>423</v>
      </c>
      <c r="B256" s="621"/>
      <c r="C256" s="621"/>
      <c r="D256" s="621"/>
      <c r="E256" s="621"/>
      <c r="F256" s="621"/>
      <c r="G256" s="621"/>
      <c r="H256" s="621"/>
      <c r="I256" s="621"/>
      <c r="J256" s="621"/>
      <c r="K256" s="621"/>
      <c r="L256" s="621"/>
      <c r="M256" s="621"/>
      <c r="N256" s="621"/>
      <c r="O256" s="621"/>
      <c r="P256" s="621"/>
      <c r="Q256" s="621"/>
      <c r="R256" s="621"/>
      <c r="S256" s="621"/>
      <c r="T256" s="621"/>
      <c r="U256" s="621"/>
      <c r="V256" s="621"/>
      <c r="W256" s="621"/>
      <c r="X256" s="621"/>
      <c r="Y256" s="580">
        <f t="shared" si="7"/>
        <v>0</v>
      </c>
      <c r="Z256" s="581"/>
      <c r="AA256" s="581"/>
      <c r="AB256" s="619"/>
      <c r="AC256" s="619"/>
    </row>
    <row r="257" spans="1:29" s="388" customFormat="1" ht="19.5" customHeight="1" hidden="1">
      <c r="A257" s="627" t="s">
        <v>35</v>
      </c>
      <c r="B257" s="621"/>
      <c r="C257" s="621"/>
      <c r="D257" s="621"/>
      <c r="E257" s="621"/>
      <c r="F257" s="621"/>
      <c r="G257" s="621"/>
      <c r="H257" s="621"/>
      <c r="I257" s="621"/>
      <c r="J257" s="621"/>
      <c r="K257" s="621"/>
      <c r="L257" s="621"/>
      <c r="M257" s="621"/>
      <c r="N257" s="621"/>
      <c r="O257" s="621"/>
      <c r="P257" s="621"/>
      <c r="Q257" s="621"/>
      <c r="R257" s="621"/>
      <c r="S257" s="621"/>
      <c r="T257" s="621"/>
      <c r="U257" s="621"/>
      <c r="V257" s="621"/>
      <c r="W257" s="621"/>
      <c r="X257" s="621"/>
      <c r="Y257" s="580">
        <f t="shared" si="7"/>
        <v>0</v>
      </c>
      <c r="Z257" s="581"/>
      <c r="AA257" s="581"/>
      <c r="AB257" s="619"/>
      <c r="AC257" s="619"/>
    </row>
    <row r="258" spans="1:29" s="388" customFormat="1" ht="19.5" customHeight="1" hidden="1">
      <c r="A258" s="627" t="s">
        <v>393</v>
      </c>
      <c r="B258" s="621"/>
      <c r="C258" s="621"/>
      <c r="D258" s="621"/>
      <c r="E258" s="621"/>
      <c r="F258" s="621"/>
      <c r="G258" s="621"/>
      <c r="H258" s="621"/>
      <c r="I258" s="621"/>
      <c r="J258" s="621"/>
      <c r="K258" s="621"/>
      <c r="L258" s="621"/>
      <c r="M258" s="621"/>
      <c r="N258" s="621"/>
      <c r="O258" s="621"/>
      <c r="P258" s="621"/>
      <c r="Q258" s="621"/>
      <c r="R258" s="621"/>
      <c r="S258" s="621"/>
      <c r="T258" s="621"/>
      <c r="U258" s="621"/>
      <c r="V258" s="621"/>
      <c r="W258" s="621"/>
      <c r="X258" s="621"/>
      <c r="Y258" s="580">
        <f t="shared" si="7"/>
        <v>0</v>
      </c>
      <c r="Z258" s="581"/>
      <c r="AA258" s="581"/>
      <c r="AB258" s="619"/>
      <c r="AC258" s="619"/>
    </row>
    <row r="259" spans="1:29" s="388" customFormat="1" ht="19.5" customHeight="1" hidden="1">
      <c r="A259" s="627" t="s">
        <v>394</v>
      </c>
      <c r="B259" s="621"/>
      <c r="C259" s="621"/>
      <c r="D259" s="621"/>
      <c r="E259" s="621"/>
      <c r="F259" s="621"/>
      <c r="G259" s="621"/>
      <c r="H259" s="621"/>
      <c r="I259" s="621"/>
      <c r="J259" s="621"/>
      <c r="K259" s="621"/>
      <c r="L259" s="621"/>
      <c r="M259" s="621"/>
      <c r="N259" s="621"/>
      <c r="O259" s="621"/>
      <c r="P259" s="621"/>
      <c r="Q259" s="621"/>
      <c r="R259" s="621"/>
      <c r="S259" s="621"/>
      <c r="T259" s="621"/>
      <c r="U259" s="621"/>
      <c r="V259" s="621"/>
      <c r="W259" s="621"/>
      <c r="X259" s="621"/>
      <c r="Y259" s="580">
        <f t="shared" si="7"/>
        <v>0</v>
      </c>
      <c r="Z259" s="581"/>
      <c r="AA259" s="581"/>
      <c r="AB259" s="619"/>
      <c r="AC259" s="619"/>
    </row>
    <row r="260" spans="1:29" s="388" customFormat="1" ht="19.5" customHeight="1" hidden="1" thickBot="1">
      <c r="A260" s="627" t="s">
        <v>395</v>
      </c>
      <c r="B260" s="621"/>
      <c r="C260" s="621"/>
      <c r="D260" s="621"/>
      <c r="E260" s="621"/>
      <c r="F260" s="621"/>
      <c r="G260" s="621"/>
      <c r="H260" s="621"/>
      <c r="I260" s="621"/>
      <c r="J260" s="621"/>
      <c r="K260" s="621"/>
      <c r="L260" s="621"/>
      <c r="M260" s="621"/>
      <c r="N260" s="621"/>
      <c r="O260" s="621"/>
      <c r="P260" s="621"/>
      <c r="Q260" s="621"/>
      <c r="R260" s="621"/>
      <c r="S260" s="621"/>
      <c r="T260" s="621"/>
      <c r="U260" s="621"/>
      <c r="V260" s="621"/>
      <c r="W260" s="621"/>
      <c r="X260" s="621"/>
      <c r="Y260" s="580">
        <f t="shared" si="7"/>
        <v>0</v>
      </c>
      <c r="Z260" s="581"/>
      <c r="AA260" s="581"/>
      <c r="AB260" s="619"/>
      <c r="AC260" s="619"/>
    </row>
    <row r="261" spans="1:29" s="388" customFormat="1" ht="19.5" customHeight="1" hidden="1" thickBot="1">
      <c r="A261" s="586" t="s">
        <v>396</v>
      </c>
      <c r="B261" s="628"/>
      <c r="C261" s="628"/>
      <c r="D261" s="628"/>
      <c r="E261" s="628"/>
      <c r="F261" s="628"/>
      <c r="G261" s="628"/>
      <c r="H261" s="628"/>
      <c r="I261" s="628"/>
      <c r="J261" s="628"/>
      <c r="K261" s="628"/>
      <c r="L261" s="628"/>
      <c r="M261" s="628"/>
      <c r="N261" s="628"/>
      <c r="O261" s="628"/>
      <c r="P261" s="628"/>
      <c r="Q261" s="628"/>
      <c r="R261" s="628"/>
      <c r="S261" s="628"/>
      <c r="T261" s="628"/>
      <c r="U261" s="628"/>
      <c r="V261" s="628"/>
      <c r="W261" s="628"/>
      <c r="X261" s="628"/>
      <c r="Y261" s="580">
        <f t="shared" si="7"/>
        <v>0</v>
      </c>
      <c r="Z261" s="581"/>
      <c r="AA261" s="581"/>
      <c r="AB261" s="619"/>
      <c r="AC261" s="619"/>
    </row>
    <row r="262" spans="1:29" s="388" customFormat="1" ht="18" customHeight="1" hidden="1">
      <c r="A262" s="387" t="s">
        <v>36</v>
      </c>
      <c r="B262" s="623"/>
      <c r="C262" s="623"/>
      <c r="D262" s="623"/>
      <c r="E262" s="623"/>
      <c r="F262" s="623"/>
      <c r="G262" s="623"/>
      <c r="H262" s="623"/>
      <c r="I262" s="623"/>
      <c r="J262" s="623"/>
      <c r="K262" s="623"/>
      <c r="L262" s="623"/>
      <c r="M262" s="623"/>
      <c r="N262" s="623"/>
      <c r="O262" s="623"/>
      <c r="P262" s="623"/>
      <c r="Q262" s="623"/>
      <c r="R262" s="623"/>
      <c r="S262" s="623"/>
      <c r="T262" s="623"/>
      <c r="U262" s="623"/>
      <c r="V262" s="623"/>
      <c r="W262" s="623"/>
      <c r="X262" s="623"/>
      <c r="Y262" s="580">
        <f t="shared" si="7"/>
        <v>0</v>
      </c>
      <c r="Z262" s="581"/>
      <c r="AA262" s="581"/>
      <c r="AB262" s="619"/>
      <c r="AC262" s="619"/>
    </row>
    <row r="263" spans="1:29" s="388" customFormat="1" ht="26.25" hidden="1" thickBot="1">
      <c r="A263" s="627" t="s">
        <v>37</v>
      </c>
      <c r="B263" s="621"/>
      <c r="C263" s="621"/>
      <c r="D263" s="621"/>
      <c r="E263" s="621"/>
      <c r="F263" s="621"/>
      <c r="G263" s="621"/>
      <c r="H263" s="621"/>
      <c r="I263" s="621"/>
      <c r="J263" s="621"/>
      <c r="K263" s="621"/>
      <c r="L263" s="621"/>
      <c r="M263" s="621"/>
      <c r="N263" s="621"/>
      <c r="O263" s="621"/>
      <c r="P263" s="621"/>
      <c r="Q263" s="621"/>
      <c r="R263" s="621"/>
      <c r="S263" s="621"/>
      <c r="T263" s="621"/>
      <c r="U263" s="621"/>
      <c r="V263" s="621"/>
      <c r="W263" s="621"/>
      <c r="X263" s="621"/>
      <c r="Y263" s="605">
        <f t="shared" si="7"/>
        <v>0</v>
      </c>
      <c r="Z263" s="581"/>
      <c r="AA263" s="581"/>
      <c r="AB263" s="619"/>
      <c r="AC263" s="619"/>
    </row>
    <row r="264" spans="1:29" s="388" customFormat="1" ht="19.5" customHeight="1" thickBot="1">
      <c r="A264" s="586" t="s">
        <v>38</v>
      </c>
      <c r="B264" s="390"/>
      <c r="C264" s="390"/>
      <c r="D264" s="390"/>
      <c r="E264" s="390">
        <f>SUM(E270:E276)</f>
        <v>30000</v>
      </c>
      <c r="F264" s="390"/>
      <c r="G264" s="390"/>
      <c r="H264" s="390"/>
      <c r="I264" s="390"/>
      <c r="J264" s="390"/>
      <c r="K264" s="390"/>
      <c r="L264" s="390">
        <f>SUM(L270:L276)</f>
        <v>6000</v>
      </c>
      <c r="M264" s="390"/>
      <c r="N264" s="390"/>
      <c r="O264" s="390">
        <f>SUM(O270:O276)</f>
        <v>8000</v>
      </c>
      <c r="P264" s="390"/>
      <c r="Q264" s="390"/>
      <c r="R264" s="390">
        <f>SUM(R270:R276)</f>
        <v>9000</v>
      </c>
      <c r="S264" s="390"/>
      <c r="T264" s="390"/>
      <c r="U264" s="390"/>
      <c r="V264" s="390"/>
      <c r="W264" s="390"/>
      <c r="X264" s="390"/>
      <c r="Y264" s="628">
        <f t="shared" si="7"/>
        <v>53000</v>
      </c>
      <c r="Z264" s="581"/>
      <c r="AA264" s="581"/>
      <c r="AB264" s="619"/>
      <c r="AC264" s="619"/>
    </row>
    <row r="265" spans="1:29" s="388" customFormat="1" ht="19.5" customHeight="1" hidden="1">
      <c r="A265" s="596" t="s">
        <v>427</v>
      </c>
      <c r="B265" s="629"/>
      <c r="C265" s="629"/>
      <c r="D265" s="629"/>
      <c r="E265" s="629"/>
      <c r="F265" s="629"/>
      <c r="G265" s="629"/>
      <c r="H265" s="629"/>
      <c r="I265" s="629"/>
      <c r="J265" s="629"/>
      <c r="K265" s="629"/>
      <c r="L265" s="629"/>
      <c r="M265" s="629"/>
      <c r="N265" s="629"/>
      <c r="O265" s="629"/>
      <c r="P265" s="629"/>
      <c r="Q265" s="629"/>
      <c r="R265" s="629"/>
      <c r="S265" s="629"/>
      <c r="T265" s="629"/>
      <c r="U265" s="629"/>
      <c r="V265" s="629"/>
      <c r="W265" s="629"/>
      <c r="X265" s="629"/>
      <c r="Y265" s="676">
        <f t="shared" si="7"/>
        <v>0</v>
      </c>
      <c r="Z265" s="581"/>
      <c r="AA265" s="581"/>
      <c r="AB265" s="619"/>
      <c r="AC265" s="619"/>
    </row>
    <row r="266" spans="1:29" s="557" customFormat="1" ht="19.5" customHeight="1" hidden="1">
      <c r="A266" s="620" t="s">
        <v>36</v>
      </c>
      <c r="B266" s="590"/>
      <c r="C266" s="590"/>
      <c r="D266" s="590"/>
      <c r="E266" s="590"/>
      <c r="F266" s="590"/>
      <c r="G266" s="590"/>
      <c r="H266" s="590"/>
      <c r="I266" s="590"/>
      <c r="J266" s="590"/>
      <c r="K266" s="590"/>
      <c r="L266" s="590"/>
      <c r="M266" s="590"/>
      <c r="N266" s="590"/>
      <c r="O266" s="590"/>
      <c r="P266" s="590"/>
      <c r="Q266" s="590"/>
      <c r="R266" s="590"/>
      <c r="S266" s="590"/>
      <c r="T266" s="590"/>
      <c r="U266" s="590"/>
      <c r="V266" s="590"/>
      <c r="W266" s="590"/>
      <c r="X266" s="590"/>
      <c r="Y266" s="580">
        <f t="shared" si="7"/>
        <v>0</v>
      </c>
      <c r="Z266" s="581"/>
      <c r="AA266" s="581"/>
      <c r="AB266" s="584"/>
      <c r="AC266" s="591"/>
    </row>
    <row r="267" spans="1:29" s="557" customFormat="1" ht="19.5" customHeight="1" hidden="1">
      <c r="A267" s="589" t="s">
        <v>392</v>
      </c>
      <c r="B267" s="590"/>
      <c r="C267" s="590"/>
      <c r="D267" s="590"/>
      <c r="E267" s="590"/>
      <c r="F267" s="590"/>
      <c r="G267" s="590"/>
      <c r="H267" s="590"/>
      <c r="I267" s="590"/>
      <c r="J267" s="590"/>
      <c r="K267" s="590"/>
      <c r="L267" s="590"/>
      <c r="M267" s="590"/>
      <c r="N267" s="590"/>
      <c r="O267" s="590"/>
      <c r="P267" s="590"/>
      <c r="Q267" s="590"/>
      <c r="R267" s="590"/>
      <c r="S267" s="590"/>
      <c r="T267" s="590"/>
      <c r="U267" s="590"/>
      <c r="V267" s="590"/>
      <c r="W267" s="590"/>
      <c r="X267" s="590"/>
      <c r="Y267" s="580">
        <f t="shared" si="7"/>
        <v>0</v>
      </c>
      <c r="Z267" s="581"/>
      <c r="AA267" s="581"/>
      <c r="AB267" s="584"/>
      <c r="AC267" s="591"/>
    </row>
    <row r="268" spans="1:29" s="388" customFormat="1" ht="19.5" customHeight="1" hidden="1">
      <c r="A268" s="596" t="s">
        <v>384</v>
      </c>
      <c r="B268" s="618"/>
      <c r="C268" s="618"/>
      <c r="D268" s="618"/>
      <c r="E268" s="618"/>
      <c r="F268" s="618"/>
      <c r="G268" s="618"/>
      <c r="H268" s="618"/>
      <c r="I268" s="618"/>
      <c r="J268" s="618"/>
      <c r="K268" s="618"/>
      <c r="L268" s="618"/>
      <c r="M268" s="618"/>
      <c r="N268" s="618"/>
      <c r="O268" s="618"/>
      <c r="P268" s="618"/>
      <c r="Q268" s="618"/>
      <c r="R268" s="618"/>
      <c r="S268" s="618"/>
      <c r="T268" s="618"/>
      <c r="U268" s="618"/>
      <c r="V268" s="618"/>
      <c r="W268" s="618"/>
      <c r="X268" s="618"/>
      <c r="Y268" s="580">
        <f t="shared" si="7"/>
        <v>0</v>
      </c>
      <c r="Z268" s="581"/>
      <c r="AA268" s="581"/>
      <c r="AB268" s="619"/>
      <c r="AC268" s="619"/>
    </row>
    <row r="269" spans="1:29" s="388" customFormat="1" ht="19.5" customHeight="1" hidden="1">
      <c r="A269" s="596" t="s">
        <v>397</v>
      </c>
      <c r="B269" s="618"/>
      <c r="C269" s="618"/>
      <c r="D269" s="618"/>
      <c r="E269" s="618"/>
      <c r="F269" s="618"/>
      <c r="G269" s="618"/>
      <c r="H269" s="618"/>
      <c r="I269" s="618"/>
      <c r="J269" s="618"/>
      <c r="K269" s="618"/>
      <c r="L269" s="618"/>
      <c r="M269" s="618"/>
      <c r="N269" s="618"/>
      <c r="O269" s="618"/>
      <c r="P269" s="618"/>
      <c r="Q269" s="618"/>
      <c r="R269" s="618"/>
      <c r="S269" s="618"/>
      <c r="T269" s="618"/>
      <c r="U269" s="618"/>
      <c r="V269" s="618"/>
      <c r="W269" s="618"/>
      <c r="X269" s="618"/>
      <c r="Y269" s="580">
        <f t="shared" si="7"/>
        <v>0</v>
      </c>
      <c r="Z269" s="581"/>
      <c r="AA269" s="581"/>
      <c r="AB269" s="619"/>
      <c r="AC269" s="619"/>
    </row>
    <row r="270" spans="1:29" s="388" customFormat="1" ht="19.5" customHeight="1">
      <c r="A270" s="596" t="s">
        <v>423</v>
      </c>
      <c r="B270" s="618"/>
      <c r="C270" s="618"/>
      <c r="D270" s="618"/>
      <c r="E270" s="618">
        <v>30000</v>
      </c>
      <c r="F270" s="618"/>
      <c r="G270" s="618"/>
      <c r="H270" s="618"/>
      <c r="I270" s="618"/>
      <c r="J270" s="618"/>
      <c r="K270" s="618"/>
      <c r="L270" s="618"/>
      <c r="M270" s="618"/>
      <c r="N270" s="618"/>
      <c r="O270" s="618"/>
      <c r="P270" s="618"/>
      <c r="Q270" s="618"/>
      <c r="R270" s="618"/>
      <c r="S270" s="618"/>
      <c r="T270" s="618"/>
      <c r="U270" s="618"/>
      <c r="V270" s="618"/>
      <c r="W270" s="618"/>
      <c r="X270" s="618"/>
      <c r="Y270" s="580">
        <f t="shared" si="7"/>
        <v>30000</v>
      </c>
      <c r="Z270" s="581"/>
      <c r="AA270" s="581"/>
      <c r="AB270" s="619"/>
      <c r="AC270" s="619"/>
    </row>
    <row r="271" spans="1:29" s="557" customFormat="1" ht="19.5" customHeight="1" hidden="1">
      <c r="A271" s="589" t="s">
        <v>398</v>
      </c>
      <c r="B271" s="590"/>
      <c r="C271" s="590"/>
      <c r="D271" s="590"/>
      <c r="E271" s="590"/>
      <c r="F271" s="590"/>
      <c r="G271" s="590"/>
      <c r="H271" s="590"/>
      <c r="I271" s="590"/>
      <c r="J271" s="590"/>
      <c r="K271" s="590"/>
      <c r="L271" s="590"/>
      <c r="M271" s="590"/>
      <c r="N271" s="590"/>
      <c r="O271" s="590"/>
      <c r="P271" s="590"/>
      <c r="Q271" s="590"/>
      <c r="R271" s="590"/>
      <c r="S271" s="590"/>
      <c r="T271" s="590"/>
      <c r="U271" s="590"/>
      <c r="V271" s="590"/>
      <c r="W271" s="590"/>
      <c r="X271" s="590"/>
      <c r="Y271" s="580">
        <f t="shared" si="7"/>
        <v>0</v>
      </c>
      <c r="Z271" s="581"/>
      <c r="AA271" s="581"/>
      <c r="AB271" s="584"/>
      <c r="AC271" s="591"/>
    </row>
    <row r="272" spans="1:29" s="388" customFormat="1" ht="19.5" customHeight="1" hidden="1">
      <c r="A272" s="596" t="s">
        <v>393</v>
      </c>
      <c r="B272" s="618"/>
      <c r="C272" s="618"/>
      <c r="D272" s="618"/>
      <c r="E272" s="618"/>
      <c r="F272" s="618"/>
      <c r="G272" s="618"/>
      <c r="H272" s="618"/>
      <c r="I272" s="618"/>
      <c r="J272" s="618"/>
      <c r="K272" s="618"/>
      <c r="L272" s="618"/>
      <c r="M272" s="618"/>
      <c r="N272" s="618"/>
      <c r="O272" s="618"/>
      <c r="P272" s="618"/>
      <c r="Q272" s="618"/>
      <c r="R272" s="618"/>
      <c r="S272" s="618"/>
      <c r="T272" s="618"/>
      <c r="U272" s="618"/>
      <c r="V272" s="618"/>
      <c r="W272" s="618"/>
      <c r="X272" s="618"/>
      <c r="Y272" s="580">
        <f t="shared" si="7"/>
        <v>0</v>
      </c>
      <c r="Z272" s="581"/>
      <c r="AA272" s="581"/>
      <c r="AB272" s="619"/>
      <c r="AC272" s="619"/>
    </row>
    <row r="273" spans="1:29" s="388" customFormat="1" ht="19.5" customHeight="1" hidden="1">
      <c r="A273" s="596" t="s">
        <v>399</v>
      </c>
      <c r="B273" s="618"/>
      <c r="C273" s="618"/>
      <c r="D273" s="618"/>
      <c r="E273" s="618"/>
      <c r="F273" s="618"/>
      <c r="G273" s="618"/>
      <c r="H273" s="618"/>
      <c r="I273" s="618"/>
      <c r="J273" s="618"/>
      <c r="K273" s="618"/>
      <c r="L273" s="618"/>
      <c r="M273" s="618"/>
      <c r="N273" s="618"/>
      <c r="O273" s="618"/>
      <c r="P273" s="618"/>
      <c r="Q273" s="618"/>
      <c r="R273" s="618"/>
      <c r="S273" s="618"/>
      <c r="T273" s="618"/>
      <c r="U273" s="618"/>
      <c r="V273" s="618"/>
      <c r="W273" s="618"/>
      <c r="X273" s="618"/>
      <c r="Y273" s="580">
        <f t="shared" si="7"/>
        <v>0</v>
      </c>
      <c r="Z273" s="581"/>
      <c r="AA273" s="581"/>
      <c r="AB273" s="619"/>
      <c r="AC273" s="619"/>
    </row>
    <row r="274" spans="1:29" s="388" customFormat="1" ht="19.5" customHeight="1" hidden="1">
      <c r="A274" s="596" t="s">
        <v>757</v>
      </c>
      <c r="B274" s="618"/>
      <c r="C274" s="618"/>
      <c r="D274" s="618"/>
      <c r="E274" s="618"/>
      <c r="F274" s="618"/>
      <c r="G274" s="618"/>
      <c r="H274" s="618"/>
      <c r="I274" s="618"/>
      <c r="J274" s="618"/>
      <c r="K274" s="618"/>
      <c r="L274" s="618"/>
      <c r="M274" s="618"/>
      <c r="N274" s="618"/>
      <c r="O274" s="618"/>
      <c r="P274" s="618"/>
      <c r="Q274" s="618"/>
      <c r="R274" s="618"/>
      <c r="S274" s="618"/>
      <c r="T274" s="618"/>
      <c r="U274" s="618"/>
      <c r="V274" s="618"/>
      <c r="W274" s="618"/>
      <c r="X274" s="618"/>
      <c r="Y274" s="580">
        <f t="shared" si="7"/>
        <v>0</v>
      </c>
      <c r="Z274" s="581"/>
      <c r="AA274" s="581"/>
      <c r="AB274" s="619"/>
      <c r="AC274" s="619"/>
    </row>
    <row r="275" spans="1:29" s="388" customFormat="1" ht="19.5" customHeight="1">
      <c r="A275" s="630" t="s">
        <v>400</v>
      </c>
      <c r="B275" s="618"/>
      <c r="C275" s="618"/>
      <c r="D275" s="618"/>
      <c r="E275" s="618"/>
      <c r="F275" s="618"/>
      <c r="G275" s="618"/>
      <c r="H275" s="618"/>
      <c r="I275" s="618"/>
      <c r="J275" s="618"/>
      <c r="K275" s="618"/>
      <c r="L275" s="618">
        <v>3000</v>
      </c>
      <c r="M275" s="618"/>
      <c r="N275" s="618"/>
      <c r="O275" s="618">
        <v>8000</v>
      </c>
      <c r="P275" s="618"/>
      <c r="Q275" s="618"/>
      <c r="R275" s="618">
        <v>4000</v>
      </c>
      <c r="S275" s="618"/>
      <c r="T275" s="618"/>
      <c r="U275" s="618"/>
      <c r="V275" s="618"/>
      <c r="W275" s="618"/>
      <c r="X275" s="618"/>
      <c r="Y275" s="580">
        <f t="shared" si="7"/>
        <v>15000</v>
      </c>
      <c r="Z275" s="581"/>
      <c r="AA275" s="581"/>
      <c r="AB275" s="619"/>
      <c r="AC275" s="619"/>
    </row>
    <row r="276" spans="1:29" s="388" customFormat="1" ht="19.5" customHeight="1" thickBot="1">
      <c r="A276" s="630" t="s">
        <v>401</v>
      </c>
      <c r="B276" s="618"/>
      <c r="C276" s="618"/>
      <c r="D276" s="618"/>
      <c r="E276" s="618"/>
      <c r="F276" s="618"/>
      <c r="G276" s="618"/>
      <c r="H276" s="618"/>
      <c r="I276" s="618"/>
      <c r="J276" s="618"/>
      <c r="K276" s="618"/>
      <c r="L276" s="618">
        <v>3000</v>
      </c>
      <c r="M276" s="618"/>
      <c r="N276" s="618"/>
      <c r="O276" s="618"/>
      <c r="P276" s="618"/>
      <c r="Q276" s="618"/>
      <c r="R276" s="618">
        <v>5000</v>
      </c>
      <c r="S276" s="618"/>
      <c r="T276" s="618"/>
      <c r="U276" s="618"/>
      <c r="V276" s="618"/>
      <c r="W276" s="618"/>
      <c r="X276" s="618"/>
      <c r="Y276" s="580">
        <f t="shared" si="7"/>
        <v>8000</v>
      </c>
      <c r="Z276" s="581"/>
      <c r="AA276" s="581"/>
      <c r="AB276" s="619"/>
      <c r="AC276" s="619"/>
    </row>
    <row r="277" spans="1:29" s="388" customFormat="1" ht="19.5" customHeight="1" hidden="1">
      <c r="A277" s="596" t="s">
        <v>402</v>
      </c>
      <c r="B277" s="618"/>
      <c r="C277" s="618"/>
      <c r="D277" s="618"/>
      <c r="E277" s="618"/>
      <c r="F277" s="618"/>
      <c r="G277" s="618"/>
      <c r="H277" s="618"/>
      <c r="I277" s="618"/>
      <c r="J277" s="618"/>
      <c r="K277" s="618"/>
      <c r="L277" s="618"/>
      <c r="M277" s="618"/>
      <c r="N277" s="618"/>
      <c r="O277" s="618"/>
      <c r="P277" s="618"/>
      <c r="Q277" s="618"/>
      <c r="R277" s="618"/>
      <c r="S277" s="618"/>
      <c r="T277" s="618"/>
      <c r="U277" s="618"/>
      <c r="V277" s="618"/>
      <c r="W277" s="618"/>
      <c r="X277" s="618"/>
      <c r="Y277" s="580">
        <f t="shared" si="7"/>
        <v>0</v>
      </c>
      <c r="Z277" s="581"/>
      <c r="AA277" s="581"/>
      <c r="AB277" s="619"/>
      <c r="AC277" s="619"/>
    </row>
    <row r="278" spans="1:29" s="557" customFormat="1" ht="19.5" customHeight="1" hidden="1">
      <c r="A278" s="589" t="s">
        <v>403</v>
      </c>
      <c r="B278" s="590"/>
      <c r="C278" s="590"/>
      <c r="D278" s="590"/>
      <c r="E278" s="590"/>
      <c r="F278" s="590"/>
      <c r="G278" s="590"/>
      <c r="H278" s="590"/>
      <c r="I278" s="590"/>
      <c r="J278" s="590"/>
      <c r="K278" s="590"/>
      <c r="L278" s="590"/>
      <c r="M278" s="590"/>
      <c r="N278" s="590"/>
      <c r="O278" s="590"/>
      <c r="P278" s="590"/>
      <c r="Q278" s="590"/>
      <c r="R278" s="590"/>
      <c r="S278" s="590"/>
      <c r="T278" s="590"/>
      <c r="U278" s="590"/>
      <c r="V278" s="590"/>
      <c r="W278" s="590"/>
      <c r="X278" s="590"/>
      <c r="Y278" s="580">
        <f t="shared" si="7"/>
        <v>0</v>
      </c>
      <c r="Z278" s="581"/>
      <c r="AA278" s="581"/>
      <c r="AB278" s="584"/>
      <c r="AC278" s="591"/>
    </row>
    <row r="279" spans="1:29" s="388" customFormat="1" ht="19.5" customHeight="1" hidden="1">
      <c r="A279" s="630" t="s">
        <v>404</v>
      </c>
      <c r="B279" s="618"/>
      <c r="C279" s="618"/>
      <c r="D279" s="618"/>
      <c r="E279" s="618"/>
      <c r="F279" s="618"/>
      <c r="G279" s="618"/>
      <c r="H279" s="618"/>
      <c r="I279" s="618"/>
      <c r="J279" s="618"/>
      <c r="K279" s="618"/>
      <c r="L279" s="618"/>
      <c r="M279" s="618"/>
      <c r="N279" s="618"/>
      <c r="O279" s="618"/>
      <c r="P279" s="618"/>
      <c r="Q279" s="618"/>
      <c r="R279" s="618"/>
      <c r="S279" s="618"/>
      <c r="T279" s="618"/>
      <c r="U279" s="618"/>
      <c r="V279" s="618"/>
      <c r="W279" s="618"/>
      <c r="X279" s="618"/>
      <c r="Y279" s="580">
        <f t="shared" si="7"/>
        <v>0</v>
      </c>
      <c r="Z279" s="581"/>
      <c r="AA279" s="581"/>
      <c r="AB279" s="619"/>
      <c r="AC279" s="619"/>
    </row>
    <row r="280" spans="1:29" s="557" customFormat="1" ht="19.5" customHeight="1" hidden="1">
      <c r="A280" s="589" t="s">
        <v>405</v>
      </c>
      <c r="B280" s="590"/>
      <c r="C280" s="590"/>
      <c r="D280" s="590"/>
      <c r="E280" s="590"/>
      <c r="F280" s="590"/>
      <c r="G280" s="590"/>
      <c r="H280" s="590"/>
      <c r="I280" s="590"/>
      <c r="J280" s="590"/>
      <c r="K280" s="590"/>
      <c r="L280" s="590"/>
      <c r="M280" s="590"/>
      <c r="N280" s="590"/>
      <c r="O280" s="590"/>
      <c r="P280" s="590"/>
      <c r="Q280" s="590"/>
      <c r="R280" s="590"/>
      <c r="S280" s="590"/>
      <c r="T280" s="590"/>
      <c r="U280" s="590"/>
      <c r="V280" s="590"/>
      <c r="W280" s="590"/>
      <c r="X280" s="590"/>
      <c r="Y280" s="580">
        <f t="shared" si="7"/>
        <v>0</v>
      </c>
      <c r="Z280" s="581"/>
      <c r="AA280" s="581"/>
      <c r="AB280" s="584"/>
      <c r="AC280" s="591"/>
    </row>
    <row r="281" spans="1:29" s="557" customFormat="1" ht="19.5" customHeight="1" hidden="1" thickBot="1">
      <c r="A281" s="620" t="s">
        <v>426</v>
      </c>
      <c r="B281" s="590"/>
      <c r="C281" s="590"/>
      <c r="D281" s="590"/>
      <c r="E281" s="590"/>
      <c r="F281" s="590"/>
      <c r="G281" s="590"/>
      <c r="H281" s="590"/>
      <c r="I281" s="590"/>
      <c r="J281" s="590"/>
      <c r="K281" s="590"/>
      <c r="L281" s="590"/>
      <c r="M281" s="590"/>
      <c r="N281" s="590"/>
      <c r="O281" s="590"/>
      <c r="P281" s="590"/>
      <c r="Q281" s="590"/>
      <c r="R281" s="590"/>
      <c r="S281" s="590"/>
      <c r="T281" s="590"/>
      <c r="U281" s="590"/>
      <c r="V281" s="590"/>
      <c r="W281" s="590"/>
      <c r="X281" s="590"/>
      <c r="Y281" s="580">
        <f t="shared" si="7"/>
        <v>0</v>
      </c>
      <c r="Z281" s="581"/>
      <c r="AA281" s="581"/>
      <c r="AB281" s="584"/>
      <c r="AC281" s="591"/>
    </row>
    <row r="282" spans="1:29" s="388" customFormat="1" ht="18" customHeight="1" hidden="1">
      <c r="A282" s="631" t="s">
        <v>406</v>
      </c>
      <c r="B282" s="632"/>
      <c r="C282" s="632"/>
      <c r="D282" s="632"/>
      <c r="E282" s="632"/>
      <c r="F282" s="632"/>
      <c r="G282" s="632"/>
      <c r="H282" s="632"/>
      <c r="I282" s="632"/>
      <c r="J282" s="632"/>
      <c r="K282" s="632"/>
      <c r="L282" s="632"/>
      <c r="M282" s="632"/>
      <c r="N282" s="632"/>
      <c r="O282" s="632"/>
      <c r="P282" s="632"/>
      <c r="Q282" s="632"/>
      <c r="R282" s="632"/>
      <c r="S282" s="632"/>
      <c r="T282" s="632"/>
      <c r="U282" s="632"/>
      <c r="V282" s="632"/>
      <c r="W282" s="632"/>
      <c r="X282" s="632"/>
      <c r="Y282" s="580">
        <f t="shared" si="7"/>
        <v>0</v>
      </c>
      <c r="Z282" s="581"/>
      <c r="AA282" s="581"/>
      <c r="AB282" s="619"/>
      <c r="AC282" s="619"/>
    </row>
    <row r="283" spans="1:29" s="388" customFormat="1" ht="26.25" hidden="1" thickBot="1">
      <c r="A283" s="630" t="s">
        <v>407</v>
      </c>
      <c r="B283" s="389"/>
      <c r="C283" s="389"/>
      <c r="D283" s="389"/>
      <c r="E283" s="389"/>
      <c r="F283" s="389"/>
      <c r="G283" s="389"/>
      <c r="H283" s="389"/>
      <c r="I283" s="389"/>
      <c r="J283" s="389"/>
      <c r="K283" s="389"/>
      <c r="L283" s="389"/>
      <c r="M283" s="389"/>
      <c r="N283" s="389"/>
      <c r="O283" s="389"/>
      <c r="P283" s="389"/>
      <c r="Q283" s="389"/>
      <c r="R283" s="389"/>
      <c r="S283" s="389"/>
      <c r="T283" s="389"/>
      <c r="U283" s="389"/>
      <c r="V283" s="389"/>
      <c r="W283" s="389"/>
      <c r="X283" s="633"/>
      <c r="Y283" s="605">
        <f t="shared" si="7"/>
        <v>0</v>
      </c>
      <c r="Z283" s="581"/>
      <c r="AA283" s="581"/>
      <c r="AB283" s="619"/>
      <c r="AC283" s="619"/>
    </row>
    <row r="284" spans="1:29" s="388" customFormat="1" ht="19.5" customHeight="1" thickBot="1">
      <c r="A284" s="586" t="s">
        <v>39</v>
      </c>
      <c r="B284" s="390"/>
      <c r="C284" s="390"/>
      <c r="D284" s="390"/>
      <c r="E284" s="390">
        <f>SUM(E290:E299)</f>
        <v>-30000</v>
      </c>
      <c r="F284" s="390"/>
      <c r="G284" s="390"/>
      <c r="H284" s="390"/>
      <c r="I284" s="390"/>
      <c r="J284" s="390"/>
      <c r="K284" s="390"/>
      <c r="L284" s="390"/>
      <c r="M284" s="390"/>
      <c r="N284" s="390"/>
      <c r="O284" s="390"/>
      <c r="P284" s="390"/>
      <c r="Q284" s="390"/>
      <c r="R284" s="390">
        <f>SUM(R290:R299)</f>
        <v>18000</v>
      </c>
      <c r="S284" s="390"/>
      <c r="T284" s="390"/>
      <c r="U284" s="390"/>
      <c r="V284" s="390"/>
      <c r="W284" s="390"/>
      <c r="X284" s="390"/>
      <c r="Y284" s="628">
        <f t="shared" si="7"/>
        <v>-12000</v>
      </c>
      <c r="Z284" s="581"/>
      <c r="AA284" s="581"/>
      <c r="AB284" s="619"/>
      <c r="AC284" s="619"/>
    </row>
    <row r="285" spans="1:29" s="635" customFormat="1" ht="18" customHeight="1" hidden="1">
      <c r="A285" s="615" t="s">
        <v>55</v>
      </c>
      <c r="B285" s="623"/>
      <c r="C285" s="623"/>
      <c r="D285" s="623"/>
      <c r="E285" s="623"/>
      <c r="F285" s="623"/>
      <c r="G285" s="623"/>
      <c r="H285" s="623"/>
      <c r="I285" s="623"/>
      <c r="J285" s="623"/>
      <c r="K285" s="623"/>
      <c r="L285" s="623"/>
      <c r="M285" s="623"/>
      <c r="N285" s="623"/>
      <c r="O285" s="623"/>
      <c r="P285" s="623"/>
      <c r="Q285" s="623"/>
      <c r="R285" s="623"/>
      <c r="S285" s="623"/>
      <c r="T285" s="623"/>
      <c r="U285" s="623"/>
      <c r="V285" s="623"/>
      <c r="W285" s="623"/>
      <c r="X285" s="623"/>
      <c r="Y285" s="676">
        <f t="shared" si="7"/>
        <v>0</v>
      </c>
      <c r="Z285" s="581"/>
      <c r="AA285" s="581"/>
      <c r="AB285" s="634"/>
      <c r="AC285" s="634"/>
    </row>
    <row r="286" spans="1:29" s="388" customFormat="1" ht="18" customHeight="1" hidden="1">
      <c r="A286" s="615" t="s">
        <v>330</v>
      </c>
      <c r="B286" s="623"/>
      <c r="C286" s="623"/>
      <c r="D286" s="623"/>
      <c r="E286" s="623"/>
      <c r="F286" s="623"/>
      <c r="G286" s="623"/>
      <c r="H286" s="623"/>
      <c r="I286" s="623"/>
      <c r="J286" s="623"/>
      <c r="K286" s="623"/>
      <c r="L286" s="623"/>
      <c r="M286" s="623"/>
      <c r="N286" s="623"/>
      <c r="O286" s="623"/>
      <c r="P286" s="623"/>
      <c r="Q286" s="623"/>
      <c r="R286" s="623"/>
      <c r="S286" s="623"/>
      <c r="T286" s="623"/>
      <c r="U286" s="623"/>
      <c r="V286" s="623"/>
      <c r="W286" s="623"/>
      <c r="X286" s="623"/>
      <c r="Y286" s="580">
        <f t="shared" si="7"/>
        <v>0</v>
      </c>
      <c r="Z286" s="581"/>
      <c r="AA286" s="581"/>
      <c r="AB286" s="619"/>
      <c r="AC286" s="619"/>
    </row>
    <row r="287" spans="1:29" s="635" customFormat="1" ht="18" customHeight="1" hidden="1">
      <c r="A287" s="615" t="s">
        <v>57</v>
      </c>
      <c r="B287" s="623"/>
      <c r="C287" s="623"/>
      <c r="D287" s="623"/>
      <c r="E287" s="623"/>
      <c r="F287" s="623"/>
      <c r="G287" s="623"/>
      <c r="H287" s="623"/>
      <c r="I287" s="623"/>
      <c r="J287" s="623"/>
      <c r="K287" s="623"/>
      <c r="L287" s="623"/>
      <c r="M287" s="623"/>
      <c r="N287" s="623"/>
      <c r="O287" s="623"/>
      <c r="P287" s="623"/>
      <c r="Q287" s="623"/>
      <c r="R287" s="623"/>
      <c r="S287" s="623"/>
      <c r="T287" s="623"/>
      <c r="U287" s="623"/>
      <c r="V287" s="623"/>
      <c r="W287" s="623"/>
      <c r="X287" s="623"/>
      <c r="Y287" s="580">
        <f t="shared" si="7"/>
        <v>0</v>
      </c>
      <c r="Z287" s="581"/>
      <c r="AA287" s="581"/>
      <c r="AB287" s="634"/>
      <c r="AC287" s="634"/>
    </row>
    <row r="288" spans="1:29" s="635" customFormat="1" ht="18" customHeight="1" hidden="1">
      <c r="A288" s="615" t="s">
        <v>414</v>
      </c>
      <c r="B288" s="623"/>
      <c r="C288" s="623"/>
      <c r="D288" s="623"/>
      <c r="E288" s="623"/>
      <c r="F288" s="623"/>
      <c r="G288" s="623"/>
      <c r="H288" s="623"/>
      <c r="I288" s="623"/>
      <c r="J288" s="623"/>
      <c r="K288" s="623"/>
      <c r="L288" s="623"/>
      <c r="M288" s="623"/>
      <c r="N288" s="623"/>
      <c r="O288" s="623"/>
      <c r="P288" s="623"/>
      <c r="Q288" s="623"/>
      <c r="R288" s="623"/>
      <c r="S288" s="623"/>
      <c r="T288" s="623"/>
      <c r="U288" s="623"/>
      <c r="V288" s="623"/>
      <c r="W288" s="623"/>
      <c r="X288" s="623"/>
      <c r="Y288" s="580">
        <f t="shared" si="7"/>
        <v>0</v>
      </c>
      <c r="Z288" s="581"/>
      <c r="AA288" s="581"/>
      <c r="AB288" s="634"/>
      <c r="AC288" s="634"/>
    </row>
    <row r="289" spans="1:29" s="388" customFormat="1" ht="18" customHeight="1" hidden="1">
      <c r="A289" s="615" t="s">
        <v>42</v>
      </c>
      <c r="B289" s="623"/>
      <c r="C289" s="623"/>
      <c r="D289" s="623"/>
      <c r="E289" s="623"/>
      <c r="F289" s="623"/>
      <c r="G289" s="623"/>
      <c r="H289" s="623"/>
      <c r="I289" s="623"/>
      <c r="J289" s="623"/>
      <c r="K289" s="623"/>
      <c r="L289" s="623"/>
      <c r="M289" s="623"/>
      <c r="N289" s="623"/>
      <c r="O289" s="623"/>
      <c r="P289" s="623"/>
      <c r="Q289" s="623"/>
      <c r="R289" s="623"/>
      <c r="S289" s="623"/>
      <c r="T289" s="623"/>
      <c r="U289" s="623"/>
      <c r="V289" s="623"/>
      <c r="W289" s="623"/>
      <c r="X289" s="623"/>
      <c r="Y289" s="580">
        <f t="shared" si="7"/>
        <v>0</v>
      </c>
      <c r="Z289" s="581"/>
      <c r="AA289" s="581"/>
      <c r="AB289" s="619"/>
      <c r="AC289" s="619"/>
    </row>
    <row r="290" spans="1:29" s="388" customFormat="1" ht="18" customHeight="1">
      <c r="A290" s="615" t="s">
        <v>43</v>
      </c>
      <c r="B290" s="623"/>
      <c r="C290" s="623"/>
      <c r="D290" s="623"/>
      <c r="E290" s="623">
        <v>-30000</v>
      </c>
      <c r="F290" s="623"/>
      <c r="G290" s="623"/>
      <c r="H290" s="623"/>
      <c r="I290" s="623"/>
      <c r="J290" s="623"/>
      <c r="K290" s="623"/>
      <c r="L290" s="623"/>
      <c r="M290" s="623"/>
      <c r="N290" s="623"/>
      <c r="O290" s="623"/>
      <c r="P290" s="623"/>
      <c r="Q290" s="623"/>
      <c r="R290" s="623"/>
      <c r="S290" s="623"/>
      <c r="T290" s="623"/>
      <c r="U290" s="623"/>
      <c r="V290" s="623"/>
      <c r="W290" s="623"/>
      <c r="X290" s="623"/>
      <c r="Y290" s="580">
        <f t="shared" si="7"/>
        <v>-30000</v>
      </c>
      <c r="Z290" s="581"/>
      <c r="AA290" s="581"/>
      <c r="AB290" s="619"/>
      <c r="AC290" s="619"/>
    </row>
    <row r="291" spans="1:29" s="388" customFormat="1" ht="18" customHeight="1" hidden="1">
      <c r="A291" s="615" t="s">
        <v>44</v>
      </c>
      <c r="B291" s="623"/>
      <c r="C291" s="623"/>
      <c r="D291" s="623"/>
      <c r="E291" s="623"/>
      <c r="F291" s="623"/>
      <c r="G291" s="623"/>
      <c r="H291" s="623"/>
      <c r="I291" s="623"/>
      <c r="J291" s="623"/>
      <c r="K291" s="623"/>
      <c r="L291" s="623"/>
      <c r="M291" s="623"/>
      <c r="N291" s="623"/>
      <c r="O291" s="623"/>
      <c r="P291" s="623"/>
      <c r="Q291" s="623"/>
      <c r="R291" s="623"/>
      <c r="S291" s="623"/>
      <c r="T291" s="623"/>
      <c r="U291" s="623"/>
      <c r="V291" s="623"/>
      <c r="W291" s="623"/>
      <c r="X291" s="623"/>
      <c r="Y291" s="580">
        <f t="shared" si="7"/>
        <v>0</v>
      </c>
      <c r="Z291" s="581"/>
      <c r="AA291" s="581"/>
      <c r="AB291" s="619"/>
      <c r="AC291" s="619"/>
    </row>
    <row r="292" spans="1:29" s="388" customFormat="1" ht="18" customHeight="1" hidden="1">
      <c r="A292" s="615" t="s">
        <v>45</v>
      </c>
      <c r="B292" s="623"/>
      <c r="C292" s="623"/>
      <c r="D292" s="623"/>
      <c r="E292" s="623"/>
      <c r="F292" s="623"/>
      <c r="G292" s="623"/>
      <c r="H292" s="623"/>
      <c r="I292" s="623"/>
      <c r="J292" s="623"/>
      <c r="K292" s="623"/>
      <c r="L292" s="623"/>
      <c r="M292" s="623"/>
      <c r="N292" s="623"/>
      <c r="O292" s="623"/>
      <c r="P292" s="623"/>
      <c r="Q292" s="623"/>
      <c r="R292" s="623"/>
      <c r="S292" s="623"/>
      <c r="T292" s="623"/>
      <c r="U292" s="623"/>
      <c r="V292" s="623"/>
      <c r="W292" s="623"/>
      <c r="X292" s="623"/>
      <c r="Y292" s="580">
        <f t="shared" si="7"/>
        <v>0</v>
      </c>
      <c r="Z292" s="581"/>
      <c r="AA292" s="581"/>
      <c r="AB292" s="619"/>
      <c r="AC292" s="619"/>
    </row>
    <row r="293" spans="1:29" s="388" customFormat="1" ht="18" customHeight="1" hidden="1">
      <c r="A293" s="615" t="s">
        <v>46</v>
      </c>
      <c r="B293" s="623"/>
      <c r="C293" s="623"/>
      <c r="D293" s="623"/>
      <c r="E293" s="623"/>
      <c r="F293" s="623"/>
      <c r="G293" s="623"/>
      <c r="H293" s="623"/>
      <c r="I293" s="623"/>
      <c r="J293" s="623"/>
      <c r="K293" s="623"/>
      <c r="L293" s="623"/>
      <c r="M293" s="623"/>
      <c r="N293" s="623"/>
      <c r="O293" s="623"/>
      <c r="P293" s="623"/>
      <c r="Q293" s="623"/>
      <c r="R293" s="623"/>
      <c r="S293" s="623"/>
      <c r="T293" s="623"/>
      <c r="U293" s="623"/>
      <c r="V293" s="623"/>
      <c r="W293" s="623"/>
      <c r="X293" s="623"/>
      <c r="Y293" s="580">
        <f aca="true" t="shared" si="8" ref="Y293:Y375">SUM(B293:X293)</f>
        <v>0</v>
      </c>
      <c r="Z293" s="581"/>
      <c r="AA293" s="581"/>
      <c r="AB293" s="619"/>
      <c r="AC293" s="619"/>
    </row>
    <row r="294" spans="1:29" s="478" customFormat="1" ht="18" customHeight="1" hidden="1">
      <c r="A294" s="615" t="s">
        <v>50</v>
      </c>
      <c r="B294" s="623"/>
      <c r="C294" s="623"/>
      <c r="D294" s="623"/>
      <c r="E294" s="623"/>
      <c r="F294" s="623"/>
      <c r="G294" s="623"/>
      <c r="H294" s="623"/>
      <c r="I294" s="623"/>
      <c r="J294" s="623"/>
      <c r="K294" s="623"/>
      <c r="L294" s="623"/>
      <c r="M294" s="623"/>
      <c r="N294" s="623"/>
      <c r="O294" s="623"/>
      <c r="P294" s="623"/>
      <c r="Q294" s="623"/>
      <c r="R294" s="623"/>
      <c r="S294" s="623"/>
      <c r="T294" s="623"/>
      <c r="U294" s="623"/>
      <c r="V294" s="623"/>
      <c r="W294" s="623"/>
      <c r="X294" s="623"/>
      <c r="Y294" s="580">
        <f t="shared" si="8"/>
        <v>0</v>
      </c>
      <c r="Z294" s="581"/>
      <c r="AA294" s="581"/>
      <c r="AB294" s="584"/>
      <c r="AC294" s="584"/>
    </row>
    <row r="295" spans="1:29" s="478" customFormat="1" ht="18" customHeight="1" hidden="1">
      <c r="A295" s="615" t="s">
        <v>49</v>
      </c>
      <c r="B295" s="623"/>
      <c r="C295" s="623"/>
      <c r="D295" s="623"/>
      <c r="E295" s="623"/>
      <c r="F295" s="623"/>
      <c r="G295" s="623"/>
      <c r="H295" s="623"/>
      <c r="I295" s="623"/>
      <c r="J295" s="623"/>
      <c r="K295" s="623"/>
      <c r="L295" s="623"/>
      <c r="M295" s="623"/>
      <c r="N295" s="623"/>
      <c r="O295" s="623"/>
      <c r="P295" s="623"/>
      <c r="Q295" s="623"/>
      <c r="R295" s="623"/>
      <c r="S295" s="623"/>
      <c r="T295" s="623"/>
      <c r="U295" s="623"/>
      <c r="V295" s="623"/>
      <c r="W295" s="623"/>
      <c r="X295" s="623"/>
      <c r="Y295" s="580">
        <f t="shared" si="8"/>
        <v>0</v>
      </c>
      <c r="Z295" s="581"/>
      <c r="AA295" s="581"/>
      <c r="AB295" s="584"/>
      <c r="AC295" s="584"/>
    </row>
    <row r="296" spans="1:29" s="478" customFormat="1" ht="18" customHeight="1" hidden="1">
      <c r="A296" s="615" t="s">
        <v>51</v>
      </c>
      <c r="B296" s="623"/>
      <c r="C296" s="623"/>
      <c r="D296" s="623"/>
      <c r="E296" s="623"/>
      <c r="F296" s="623"/>
      <c r="G296" s="623"/>
      <c r="H296" s="623"/>
      <c r="I296" s="623"/>
      <c r="J296" s="623"/>
      <c r="K296" s="623"/>
      <c r="L296" s="623"/>
      <c r="M296" s="623"/>
      <c r="N296" s="623"/>
      <c r="O296" s="623"/>
      <c r="P296" s="623"/>
      <c r="Q296" s="623"/>
      <c r="R296" s="623"/>
      <c r="S296" s="623"/>
      <c r="T296" s="623"/>
      <c r="U296" s="623"/>
      <c r="V296" s="623"/>
      <c r="W296" s="623"/>
      <c r="X296" s="623"/>
      <c r="Y296" s="580">
        <f t="shared" si="8"/>
        <v>0</v>
      </c>
      <c r="Z296" s="581"/>
      <c r="AA296" s="581"/>
      <c r="AB296" s="584"/>
      <c r="AC296" s="584"/>
    </row>
    <row r="297" spans="1:29" s="478" customFormat="1" ht="18" customHeight="1">
      <c r="A297" s="615" t="s">
        <v>52</v>
      </c>
      <c r="B297" s="623"/>
      <c r="C297" s="623"/>
      <c r="D297" s="623"/>
      <c r="E297" s="623"/>
      <c r="F297" s="623"/>
      <c r="G297" s="623"/>
      <c r="H297" s="623"/>
      <c r="I297" s="623"/>
      <c r="J297" s="623"/>
      <c r="K297" s="623"/>
      <c r="L297" s="623"/>
      <c r="M297" s="623"/>
      <c r="N297" s="623"/>
      <c r="O297" s="623"/>
      <c r="P297" s="623"/>
      <c r="Q297" s="623"/>
      <c r="R297" s="623">
        <v>10000</v>
      </c>
      <c r="S297" s="623"/>
      <c r="T297" s="623"/>
      <c r="U297" s="623"/>
      <c r="V297" s="623"/>
      <c r="W297" s="623"/>
      <c r="X297" s="623"/>
      <c r="Y297" s="580">
        <f t="shared" si="8"/>
        <v>10000</v>
      </c>
      <c r="Z297" s="581"/>
      <c r="AA297" s="581"/>
      <c r="AB297" s="584"/>
      <c r="AC297" s="584"/>
    </row>
    <row r="298" spans="1:29" s="635" customFormat="1" ht="18" customHeight="1" hidden="1">
      <c r="A298" s="615" t="s">
        <v>53</v>
      </c>
      <c r="B298" s="623"/>
      <c r="C298" s="623"/>
      <c r="D298" s="623"/>
      <c r="E298" s="623"/>
      <c r="F298" s="623"/>
      <c r="G298" s="623"/>
      <c r="H298" s="623"/>
      <c r="I298" s="623"/>
      <c r="J298" s="623"/>
      <c r="K298" s="623"/>
      <c r="L298" s="623"/>
      <c r="M298" s="623"/>
      <c r="N298" s="623"/>
      <c r="O298" s="623"/>
      <c r="P298" s="623"/>
      <c r="Q298" s="623"/>
      <c r="R298" s="623"/>
      <c r="S298" s="623"/>
      <c r="T298" s="623"/>
      <c r="U298" s="623"/>
      <c r="V298" s="623"/>
      <c r="W298" s="623"/>
      <c r="X298" s="623"/>
      <c r="Y298" s="580">
        <f t="shared" si="8"/>
        <v>0</v>
      </c>
      <c r="Z298" s="581"/>
      <c r="AA298" s="581"/>
      <c r="AB298" s="634"/>
      <c r="AC298" s="634"/>
    </row>
    <row r="299" spans="1:29" s="636" customFormat="1" ht="18" customHeight="1" thickBot="1">
      <c r="A299" s="615" t="s">
        <v>404</v>
      </c>
      <c r="B299" s="623"/>
      <c r="C299" s="623"/>
      <c r="D299" s="623"/>
      <c r="E299" s="623"/>
      <c r="F299" s="623"/>
      <c r="G299" s="623"/>
      <c r="H299" s="623"/>
      <c r="I299" s="623"/>
      <c r="J299" s="623"/>
      <c r="K299" s="623"/>
      <c r="L299" s="623"/>
      <c r="M299" s="623"/>
      <c r="N299" s="623"/>
      <c r="O299" s="623"/>
      <c r="P299" s="623"/>
      <c r="Q299" s="623"/>
      <c r="R299" s="623">
        <v>8000</v>
      </c>
      <c r="S299" s="623"/>
      <c r="T299" s="623"/>
      <c r="U299" s="623"/>
      <c r="V299" s="623"/>
      <c r="W299" s="623"/>
      <c r="X299" s="623"/>
      <c r="Y299" s="580">
        <f t="shared" si="8"/>
        <v>8000</v>
      </c>
      <c r="Z299" s="581"/>
      <c r="AA299" s="581"/>
      <c r="AB299" s="588"/>
      <c r="AC299" s="588"/>
    </row>
    <row r="300" spans="1:29" s="635" customFormat="1" ht="18" customHeight="1" hidden="1">
      <c r="A300" s="615" t="s">
        <v>54</v>
      </c>
      <c r="B300" s="623"/>
      <c r="C300" s="623"/>
      <c r="D300" s="623"/>
      <c r="E300" s="623"/>
      <c r="F300" s="623"/>
      <c r="G300" s="623"/>
      <c r="H300" s="623"/>
      <c r="I300" s="623"/>
      <c r="J300" s="623"/>
      <c r="K300" s="623"/>
      <c r="L300" s="623"/>
      <c r="M300" s="623"/>
      <c r="N300" s="623"/>
      <c r="O300" s="623"/>
      <c r="P300" s="623"/>
      <c r="Q300" s="623"/>
      <c r="R300" s="623"/>
      <c r="S300" s="623"/>
      <c r="T300" s="623"/>
      <c r="U300" s="623"/>
      <c r="V300" s="623"/>
      <c r="W300" s="623"/>
      <c r="X300" s="623"/>
      <c r="Y300" s="580">
        <f t="shared" si="8"/>
        <v>0</v>
      </c>
      <c r="Z300" s="581"/>
      <c r="AA300" s="581"/>
      <c r="AB300" s="634"/>
      <c r="AC300" s="634"/>
    </row>
    <row r="301" spans="1:29" s="388" customFormat="1" ht="18" customHeight="1" hidden="1" thickBot="1">
      <c r="A301" s="615" t="s">
        <v>41</v>
      </c>
      <c r="B301" s="623"/>
      <c r="C301" s="623"/>
      <c r="D301" s="623"/>
      <c r="E301" s="623"/>
      <c r="F301" s="623"/>
      <c r="G301" s="623"/>
      <c r="H301" s="623"/>
      <c r="I301" s="623"/>
      <c r="J301" s="623"/>
      <c r="K301" s="623"/>
      <c r="L301" s="623"/>
      <c r="M301" s="623"/>
      <c r="N301" s="623"/>
      <c r="O301" s="623"/>
      <c r="P301" s="623"/>
      <c r="Q301" s="623"/>
      <c r="R301" s="623"/>
      <c r="S301" s="623"/>
      <c r="T301" s="623"/>
      <c r="U301" s="623"/>
      <c r="V301" s="623"/>
      <c r="W301" s="623"/>
      <c r="X301" s="623"/>
      <c r="Y301" s="580">
        <f t="shared" si="8"/>
        <v>0</v>
      </c>
      <c r="Z301" s="581"/>
      <c r="AA301" s="581"/>
      <c r="AB301" s="619"/>
      <c r="AC301" s="619"/>
    </row>
    <row r="302" spans="1:29" s="388" customFormat="1" ht="29.25" customHeight="1" hidden="1" thickBot="1">
      <c r="A302" s="593" t="s">
        <v>62</v>
      </c>
      <c r="B302" s="390"/>
      <c r="C302" s="390"/>
      <c r="D302" s="390"/>
      <c r="E302" s="390"/>
      <c r="F302" s="390"/>
      <c r="G302" s="390"/>
      <c r="H302" s="390"/>
      <c r="I302" s="390"/>
      <c r="J302" s="390"/>
      <c r="K302" s="390"/>
      <c r="L302" s="390"/>
      <c r="M302" s="390"/>
      <c r="N302" s="390"/>
      <c r="O302" s="390"/>
      <c r="P302" s="390"/>
      <c r="Q302" s="390"/>
      <c r="R302" s="390"/>
      <c r="S302" s="390"/>
      <c r="T302" s="390"/>
      <c r="U302" s="390"/>
      <c r="V302" s="390"/>
      <c r="W302" s="390"/>
      <c r="X302" s="390"/>
      <c r="Y302" s="580">
        <f t="shared" si="8"/>
        <v>0</v>
      </c>
      <c r="Z302" s="581"/>
      <c r="AA302" s="581"/>
      <c r="AB302" s="619"/>
      <c r="AC302" s="619"/>
    </row>
    <row r="303" spans="1:30" s="388" customFormat="1" ht="19.5" customHeight="1" hidden="1">
      <c r="A303" s="615" t="s">
        <v>408</v>
      </c>
      <c r="B303" s="623"/>
      <c r="C303" s="623"/>
      <c r="D303" s="623"/>
      <c r="E303" s="623"/>
      <c r="F303" s="623"/>
      <c r="G303" s="623"/>
      <c r="H303" s="623"/>
      <c r="I303" s="623"/>
      <c r="J303" s="623"/>
      <c r="K303" s="623"/>
      <c r="L303" s="623"/>
      <c r="M303" s="623"/>
      <c r="N303" s="623"/>
      <c r="O303" s="623"/>
      <c r="P303" s="623"/>
      <c r="Q303" s="623"/>
      <c r="R303" s="623"/>
      <c r="S303" s="623"/>
      <c r="T303" s="623"/>
      <c r="U303" s="623"/>
      <c r="V303" s="623"/>
      <c r="W303" s="623"/>
      <c r="X303" s="623"/>
      <c r="Y303" s="580">
        <f t="shared" si="8"/>
        <v>0</v>
      </c>
      <c r="Z303" s="581"/>
      <c r="AA303" s="581"/>
      <c r="AB303" s="619"/>
      <c r="AC303" s="619"/>
      <c r="AD303" s="610">
        <f>AB303+AC303</f>
        <v>0</v>
      </c>
    </row>
    <row r="304" spans="1:29" ht="28.5" customHeight="1" hidden="1" thickBot="1">
      <c r="A304" s="597" t="s">
        <v>63</v>
      </c>
      <c r="B304" s="598"/>
      <c r="C304" s="598"/>
      <c r="D304" s="598"/>
      <c r="E304" s="598"/>
      <c r="F304" s="598"/>
      <c r="G304" s="598"/>
      <c r="H304" s="598"/>
      <c r="I304" s="598"/>
      <c r="J304" s="598"/>
      <c r="K304" s="598"/>
      <c r="L304" s="598"/>
      <c r="M304" s="598"/>
      <c r="N304" s="598"/>
      <c r="O304" s="598"/>
      <c r="P304" s="598"/>
      <c r="Q304" s="598"/>
      <c r="R304" s="598"/>
      <c r="S304" s="598"/>
      <c r="T304" s="598"/>
      <c r="U304" s="598"/>
      <c r="V304" s="598"/>
      <c r="W304" s="598"/>
      <c r="X304" s="598"/>
      <c r="Y304" s="580">
        <f t="shared" si="8"/>
        <v>0</v>
      </c>
      <c r="Z304" s="581"/>
      <c r="AA304" s="581"/>
      <c r="AB304" s="592"/>
      <c r="AC304" s="592"/>
    </row>
    <row r="305" spans="1:29" ht="19.5" customHeight="1" hidden="1">
      <c r="A305" s="637" t="s">
        <v>64</v>
      </c>
      <c r="B305" s="477"/>
      <c r="C305" s="477"/>
      <c r="D305" s="477"/>
      <c r="E305" s="477"/>
      <c r="F305" s="477"/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77"/>
      <c r="R305" s="477"/>
      <c r="S305" s="477"/>
      <c r="T305" s="477"/>
      <c r="U305" s="477"/>
      <c r="V305" s="477"/>
      <c r="W305" s="477"/>
      <c r="X305" s="477"/>
      <c r="Y305" s="580">
        <f t="shared" si="8"/>
        <v>0</v>
      </c>
      <c r="Z305" s="581"/>
      <c r="AA305" s="581"/>
      <c r="AB305" s="592"/>
      <c r="AC305" s="592"/>
    </row>
    <row r="306" spans="1:29" s="388" customFormat="1" ht="19.5" customHeight="1" hidden="1" thickBot="1">
      <c r="A306" s="638" t="s">
        <v>56</v>
      </c>
      <c r="B306" s="621"/>
      <c r="C306" s="621"/>
      <c r="D306" s="621"/>
      <c r="E306" s="621"/>
      <c r="F306" s="621"/>
      <c r="G306" s="621"/>
      <c r="H306" s="621"/>
      <c r="I306" s="621"/>
      <c r="J306" s="621"/>
      <c r="K306" s="621"/>
      <c r="L306" s="621"/>
      <c r="M306" s="621"/>
      <c r="N306" s="621"/>
      <c r="O306" s="621"/>
      <c r="P306" s="621"/>
      <c r="Q306" s="621"/>
      <c r="R306" s="621"/>
      <c r="S306" s="621"/>
      <c r="T306" s="621"/>
      <c r="U306" s="621"/>
      <c r="V306" s="621"/>
      <c r="W306" s="621"/>
      <c r="X306" s="621"/>
      <c r="Y306" s="605">
        <f t="shared" si="8"/>
        <v>0</v>
      </c>
      <c r="Z306" s="581"/>
      <c r="AA306" s="581"/>
      <c r="AB306" s="619"/>
      <c r="AC306" s="619"/>
    </row>
    <row r="307" spans="1:29" ht="44.25" customHeight="1" thickBot="1">
      <c r="A307" s="593" t="s">
        <v>65</v>
      </c>
      <c r="B307" s="617"/>
      <c r="C307" s="617"/>
      <c r="D307" s="617"/>
      <c r="E307" s="617"/>
      <c r="F307" s="617"/>
      <c r="G307" s="617">
        <f>G308</f>
        <v>1900</v>
      </c>
      <c r="H307" s="617"/>
      <c r="I307" s="617"/>
      <c r="J307" s="617"/>
      <c r="K307" s="617"/>
      <c r="L307" s="617"/>
      <c r="M307" s="617"/>
      <c r="N307" s="617"/>
      <c r="O307" s="617"/>
      <c r="P307" s="617"/>
      <c r="Q307" s="617"/>
      <c r="R307" s="617"/>
      <c r="S307" s="617"/>
      <c r="T307" s="617"/>
      <c r="U307" s="617"/>
      <c r="V307" s="617"/>
      <c r="W307" s="617"/>
      <c r="X307" s="617"/>
      <c r="Y307" s="628">
        <f t="shared" si="8"/>
        <v>1900</v>
      </c>
      <c r="Z307" s="581"/>
      <c r="AA307" s="581"/>
      <c r="AB307" s="592"/>
      <c r="AC307" s="592"/>
    </row>
    <row r="308" spans="1:29" ht="19.5" customHeight="1" thickBot="1">
      <c r="A308" s="886" t="s">
        <v>66</v>
      </c>
      <c r="B308" s="477"/>
      <c r="C308" s="477"/>
      <c r="D308" s="477"/>
      <c r="E308" s="477"/>
      <c r="F308" s="477"/>
      <c r="G308" s="477">
        <v>1900</v>
      </c>
      <c r="H308" s="477"/>
      <c r="I308" s="477"/>
      <c r="J308" s="477"/>
      <c r="K308" s="477"/>
      <c r="L308" s="477"/>
      <c r="M308" s="477"/>
      <c r="N308" s="477"/>
      <c r="O308" s="477"/>
      <c r="P308" s="477"/>
      <c r="Q308" s="477"/>
      <c r="R308" s="477"/>
      <c r="S308" s="477"/>
      <c r="T308" s="477"/>
      <c r="U308" s="477"/>
      <c r="V308" s="477"/>
      <c r="W308" s="477"/>
      <c r="X308" s="477"/>
      <c r="Y308" s="676">
        <f t="shared" si="8"/>
        <v>1900</v>
      </c>
      <c r="Z308" s="581"/>
      <c r="AA308" s="581"/>
      <c r="AB308" s="592"/>
      <c r="AC308" s="592"/>
    </row>
    <row r="309" spans="1:29" ht="19.5" customHeight="1" hidden="1">
      <c r="A309" s="885" t="s">
        <v>76</v>
      </c>
      <c r="B309" s="596"/>
      <c r="C309" s="596"/>
      <c r="D309" s="596"/>
      <c r="E309" s="596"/>
      <c r="F309" s="596"/>
      <c r="G309" s="596"/>
      <c r="H309" s="596"/>
      <c r="I309" s="596"/>
      <c r="J309" s="596"/>
      <c r="K309" s="596"/>
      <c r="L309" s="596"/>
      <c r="M309" s="596"/>
      <c r="N309" s="596"/>
      <c r="O309" s="596"/>
      <c r="P309" s="596"/>
      <c r="Q309" s="596"/>
      <c r="R309" s="596"/>
      <c r="S309" s="596"/>
      <c r="T309" s="596"/>
      <c r="U309" s="596"/>
      <c r="V309" s="596"/>
      <c r="W309" s="596"/>
      <c r="X309" s="596"/>
      <c r="Y309" s="580">
        <f t="shared" si="8"/>
        <v>0</v>
      </c>
      <c r="Z309" s="581"/>
      <c r="AA309" s="581"/>
      <c r="AB309" s="592"/>
      <c r="AC309" s="592"/>
    </row>
    <row r="310" spans="1:29" ht="19.5" customHeight="1" hidden="1">
      <c r="A310" s="639" t="s">
        <v>77</v>
      </c>
      <c r="B310" s="350"/>
      <c r="C310" s="350"/>
      <c r="D310" s="350"/>
      <c r="E310" s="350"/>
      <c r="F310" s="350"/>
      <c r="G310" s="350"/>
      <c r="H310" s="350"/>
      <c r="I310" s="350"/>
      <c r="J310" s="350"/>
      <c r="K310" s="350"/>
      <c r="L310" s="350"/>
      <c r="M310" s="350"/>
      <c r="N310" s="350"/>
      <c r="O310" s="350"/>
      <c r="P310" s="350"/>
      <c r="Q310" s="350"/>
      <c r="R310" s="350"/>
      <c r="S310" s="350"/>
      <c r="T310" s="350"/>
      <c r="U310" s="350"/>
      <c r="V310" s="350"/>
      <c r="W310" s="350"/>
      <c r="X310" s="350"/>
      <c r="Y310" s="580">
        <f t="shared" si="8"/>
        <v>0</v>
      </c>
      <c r="Z310" s="581"/>
      <c r="AA310" s="581"/>
      <c r="AB310" s="592"/>
      <c r="AC310" s="592"/>
    </row>
    <row r="311" spans="1:29" ht="19.5" customHeight="1" hidden="1" thickBot="1">
      <c r="A311" s="640" t="s">
        <v>51</v>
      </c>
      <c r="B311" s="596"/>
      <c r="C311" s="596"/>
      <c r="D311" s="596"/>
      <c r="E311" s="596"/>
      <c r="F311" s="596"/>
      <c r="G311" s="596"/>
      <c r="H311" s="596"/>
      <c r="I311" s="596"/>
      <c r="J311" s="596"/>
      <c r="K311" s="596"/>
      <c r="L311" s="596"/>
      <c r="M311" s="596"/>
      <c r="N311" s="596"/>
      <c r="O311" s="596"/>
      <c r="P311" s="596"/>
      <c r="Q311" s="596"/>
      <c r="R311" s="596"/>
      <c r="S311" s="596"/>
      <c r="T311" s="596"/>
      <c r="U311" s="596"/>
      <c r="V311" s="596"/>
      <c r="W311" s="596"/>
      <c r="X311" s="596"/>
      <c r="Y311" s="605">
        <f t="shared" si="8"/>
        <v>0</v>
      </c>
      <c r="Z311" s="581"/>
      <c r="AA311" s="581"/>
      <c r="AB311" s="592"/>
      <c r="AC311" s="592"/>
    </row>
    <row r="312" spans="1:29" s="478" customFormat="1" ht="24.75" customHeight="1" thickBot="1" thickTop="1">
      <c r="A312" s="665" t="s">
        <v>424</v>
      </c>
      <c r="B312" s="641"/>
      <c r="C312" s="641"/>
      <c r="D312" s="641">
        <f>D313+D317</f>
        <v>39157</v>
      </c>
      <c r="E312" s="641">
        <f>E313+E317</f>
        <v>-167</v>
      </c>
      <c r="F312" s="641">
        <f>F313+F317</f>
        <v>-22</v>
      </c>
      <c r="G312" s="641"/>
      <c r="H312" s="641"/>
      <c r="I312" s="641"/>
      <c r="J312" s="641"/>
      <c r="K312" s="641"/>
      <c r="L312" s="641">
        <f>L313+L317</f>
        <v>-759</v>
      </c>
      <c r="M312" s="641"/>
      <c r="N312" s="641"/>
      <c r="O312" s="641"/>
      <c r="P312" s="641"/>
      <c r="Q312" s="641"/>
      <c r="R312" s="641">
        <f>R313+R317</f>
        <v>-38209</v>
      </c>
      <c r="S312" s="641"/>
      <c r="T312" s="641"/>
      <c r="U312" s="641"/>
      <c r="V312" s="641"/>
      <c r="W312" s="641"/>
      <c r="X312" s="641"/>
      <c r="Y312" s="891">
        <f t="shared" si="8"/>
        <v>0</v>
      </c>
      <c r="Z312" s="581"/>
      <c r="AA312" s="581"/>
      <c r="AB312" s="584"/>
      <c r="AC312" s="584"/>
    </row>
    <row r="313" spans="1:29" s="478" customFormat="1" ht="19.5" customHeight="1" thickBot="1" thickTop="1">
      <c r="A313" s="642" t="s">
        <v>306</v>
      </c>
      <c r="B313" s="643"/>
      <c r="C313" s="643"/>
      <c r="D313" s="643">
        <f>D314</f>
        <v>2159</v>
      </c>
      <c r="E313" s="643"/>
      <c r="F313" s="643"/>
      <c r="G313" s="643"/>
      <c r="H313" s="643"/>
      <c r="I313" s="643"/>
      <c r="J313" s="643"/>
      <c r="K313" s="643"/>
      <c r="L313" s="643">
        <f>L314</f>
        <v>-759</v>
      </c>
      <c r="M313" s="643"/>
      <c r="N313" s="643"/>
      <c r="O313" s="643"/>
      <c r="P313" s="643"/>
      <c r="Q313" s="643"/>
      <c r="R313" s="643">
        <f>R314</f>
        <v>-1400</v>
      </c>
      <c r="S313" s="643"/>
      <c r="T313" s="643"/>
      <c r="U313" s="643"/>
      <c r="V313" s="643"/>
      <c r="W313" s="643"/>
      <c r="X313" s="643"/>
      <c r="Y313" s="894">
        <f t="shared" si="8"/>
        <v>0</v>
      </c>
      <c r="Z313" s="588"/>
      <c r="AA313" s="588"/>
      <c r="AB313" s="588"/>
      <c r="AC313" s="588"/>
    </row>
    <row r="314" spans="1:29" ht="31.5" customHeight="1">
      <c r="A314" s="819" t="s">
        <v>97</v>
      </c>
      <c r="B314" s="820"/>
      <c r="C314" s="820"/>
      <c r="D314" s="820">
        <f>D315</f>
        <v>2159</v>
      </c>
      <c r="E314" s="820"/>
      <c r="F314" s="820"/>
      <c r="G314" s="820"/>
      <c r="H314" s="820"/>
      <c r="I314" s="820"/>
      <c r="J314" s="820"/>
      <c r="K314" s="820"/>
      <c r="L314" s="820">
        <f>L315</f>
        <v>-759</v>
      </c>
      <c r="M314" s="820"/>
      <c r="N314" s="820"/>
      <c r="O314" s="820"/>
      <c r="P314" s="820"/>
      <c r="Q314" s="820"/>
      <c r="R314" s="820">
        <f>R315</f>
        <v>-1400</v>
      </c>
      <c r="S314" s="820"/>
      <c r="T314" s="820"/>
      <c r="U314" s="820"/>
      <c r="V314" s="820"/>
      <c r="W314" s="820"/>
      <c r="X314" s="811"/>
      <c r="Y314" s="893">
        <f t="shared" si="8"/>
        <v>0</v>
      </c>
      <c r="Z314" s="581"/>
      <c r="AA314" s="581"/>
      <c r="AB314" s="592"/>
      <c r="AC314" s="592"/>
    </row>
    <row r="315" spans="1:29" s="372" customFormat="1" ht="32.25" customHeight="1">
      <c r="A315" s="817" t="s">
        <v>425</v>
      </c>
      <c r="B315" s="818"/>
      <c r="C315" s="818"/>
      <c r="D315" s="818">
        <f>D316</f>
        <v>2159</v>
      </c>
      <c r="E315" s="818"/>
      <c r="F315" s="818"/>
      <c r="G315" s="818"/>
      <c r="H315" s="818"/>
      <c r="I315" s="818"/>
      <c r="J315" s="818"/>
      <c r="K315" s="818"/>
      <c r="L315" s="818">
        <f>L316</f>
        <v>-759</v>
      </c>
      <c r="M315" s="818"/>
      <c r="N315" s="818"/>
      <c r="O315" s="818"/>
      <c r="P315" s="818"/>
      <c r="Q315" s="818"/>
      <c r="R315" s="818">
        <f>R316</f>
        <v>-1400</v>
      </c>
      <c r="S315" s="818"/>
      <c r="T315" s="818"/>
      <c r="U315" s="818"/>
      <c r="V315" s="818"/>
      <c r="W315" s="818"/>
      <c r="X315" s="814"/>
      <c r="Y315" s="892">
        <f t="shared" si="8"/>
        <v>0</v>
      </c>
      <c r="Z315" s="815"/>
      <c r="AA315" s="815"/>
      <c r="AB315" s="816"/>
      <c r="AC315" s="816"/>
    </row>
    <row r="316" spans="1:29" ht="19.5" customHeight="1" thickBot="1">
      <c r="A316" s="895" t="s">
        <v>7</v>
      </c>
      <c r="B316" s="896"/>
      <c r="C316" s="896"/>
      <c r="D316" s="896">
        <v>2159</v>
      </c>
      <c r="E316" s="896"/>
      <c r="F316" s="896"/>
      <c r="G316" s="896"/>
      <c r="H316" s="896"/>
      <c r="I316" s="896"/>
      <c r="J316" s="896"/>
      <c r="K316" s="896"/>
      <c r="L316" s="896">
        <v>-759</v>
      </c>
      <c r="M316" s="896"/>
      <c r="N316" s="896"/>
      <c r="O316" s="896"/>
      <c r="P316" s="896"/>
      <c r="Q316" s="896"/>
      <c r="R316" s="896">
        <v>-1400</v>
      </c>
      <c r="S316" s="896"/>
      <c r="T316" s="896"/>
      <c r="U316" s="896"/>
      <c r="V316" s="896"/>
      <c r="W316" s="896"/>
      <c r="X316" s="897"/>
      <c r="Y316" s="606">
        <f t="shared" si="8"/>
        <v>0</v>
      </c>
      <c r="Z316" s="581"/>
      <c r="AA316" s="581"/>
      <c r="AB316" s="592"/>
      <c r="AC316" s="592"/>
    </row>
    <row r="317" spans="1:29" s="478" customFormat="1" ht="19.5" customHeight="1" thickBot="1">
      <c r="A317" s="597" t="s">
        <v>93</v>
      </c>
      <c r="B317" s="888"/>
      <c r="C317" s="888"/>
      <c r="D317" s="888">
        <f aca="true" t="shared" si="9" ref="D317:F318">D318</f>
        <v>36998</v>
      </c>
      <c r="E317" s="888">
        <f t="shared" si="9"/>
        <v>-167</v>
      </c>
      <c r="F317" s="888">
        <f t="shared" si="9"/>
        <v>-22</v>
      </c>
      <c r="G317" s="888"/>
      <c r="H317" s="888"/>
      <c r="I317" s="888"/>
      <c r="J317" s="888"/>
      <c r="K317" s="888"/>
      <c r="L317" s="888"/>
      <c r="M317" s="888"/>
      <c r="N317" s="888"/>
      <c r="O317" s="888"/>
      <c r="P317" s="888"/>
      <c r="Q317" s="888"/>
      <c r="R317" s="888">
        <f>R318</f>
        <v>-36809</v>
      </c>
      <c r="S317" s="888"/>
      <c r="T317" s="888"/>
      <c r="U317" s="888"/>
      <c r="V317" s="888"/>
      <c r="W317" s="888"/>
      <c r="X317" s="888"/>
      <c r="Y317" s="628">
        <f t="shared" si="8"/>
        <v>0</v>
      </c>
      <c r="Z317" s="588"/>
      <c r="AA317" s="588"/>
      <c r="AB317" s="588"/>
      <c r="AC317" s="588"/>
    </row>
    <row r="318" spans="1:29" ht="39.75" customHeight="1">
      <c r="A318" s="819" t="s">
        <v>155</v>
      </c>
      <c r="B318" s="820"/>
      <c r="C318" s="820"/>
      <c r="D318" s="820">
        <f t="shared" si="9"/>
        <v>36998</v>
      </c>
      <c r="E318" s="820">
        <f t="shared" si="9"/>
        <v>-167</v>
      </c>
      <c r="F318" s="820">
        <f t="shared" si="9"/>
        <v>-22</v>
      </c>
      <c r="G318" s="820"/>
      <c r="H318" s="820"/>
      <c r="I318" s="820"/>
      <c r="J318" s="820"/>
      <c r="K318" s="820"/>
      <c r="L318" s="820"/>
      <c r="M318" s="820"/>
      <c r="N318" s="820"/>
      <c r="O318" s="820"/>
      <c r="P318" s="820"/>
      <c r="Q318" s="820"/>
      <c r="R318" s="820">
        <f>R319</f>
        <v>-36809</v>
      </c>
      <c r="S318" s="820"/>
      <c r="T318" s="820"/>
      <c r="U318" s="820"/>
      <c r="V318" s="820"/>
      <c r="W318" s="820"/>
      <c r="X318" s="811"/>
      <c r="Y318" s="676">
        <f t="shared" si="8"/>
        <v>0</v>
      </c>
      <c r="Z318" s="581"/>
      <c r="AA318" s="581"/>
      <c r="AB318" s="592"/>
      <c r="AC318" s="592"/>
    </row>
    <row r="319" spans="1:29" s="372" customFormat="1" ht="121.5" customHeight="1">
      <c r="A319" s="821" t="s">
        <v>422</v>
      </c>
      <c r="B319" s="813"/>
      <c r="C319" s="813"/>
      <c r="D319" s="813">
        <f>SUM(D320:D330)</f>
        <v>36998</v>
      </c>
      <c r="E319" s="813">
        <f>SUM(E320:E330)</f>
        <v>-167</v>
      </c>
      <c r="F319" s="813">
        <f>SUM(F320:F330)</f>
        <v>-22</v>
      </c>
      <c r="G319" s="813"/>
      <c r="H319" s="813"/>
      <c r="I319" s="813"/>
      <c r="J319" s="813"/>
      <c r="K319" s="813"/>
      <c r="L319" s="813"/>
      <c r="M319" s="813"/>
      <c r="N319" s="813"/>
      <c r="O319" s="813"/>
      <c r="P319" s="813"/>
      <c r="Q319" s="813"/>
      <c r="R319" s="813">
        <f>SUM(R320:R330)</f>
        <v>-36809</v>
      </c>
      <c r="S319" s="813"/>
      <c r="T319" s="813"/>
      <c r="U319" s="813"/>
      <c r="V319" s="813"/>
      <c r="W319" s="813"/>
      <c r="X319" s="814"/>
      <c r="Y319" s="670">
        <f t="shared" si="8"/>
        <v>0</v>
      </c>
      <c r="Z319" s="815"/>
      <c r="AA319" s="815"/>
      <c r="AB319" s="816"/>
      <c r="AC319" s="816"/>
    </row>
    <row r="320" spans="1:29" ht="19.5" customHeight="1">
      <c r="A320" s="640" t="s">
        <v>719</v>
      </c>
      <c r="B320" s="812"/>
      <c r="C320" s="812"/>
      <c r="D320" s="812">
        <v>2000</v>
      </c>
      <c r="E320" s="812"/>
      <c r="F320" s="812"/>
      <c r="G320" s="812"/>
      <c r="H320" s="812"/>
      <c r="I320" s="812"/>
      <c r="J320" s="812"/>
      <c r="K320" s="812"/>
      <c r="L320" s="812"/>
      <c r="M320" s="812"/>
      <c r="N320" s="812"/>
      <c r="O320" s="812"/>
      <c r="P320" s="812"/>
      <c r="Q320" s="812"/>
      <c r="R320" s="812">
        <v>-2000</v>
      </c>
      <c r="S320" s="812"/>
      <c r="T320" s="812"/>
      <c r="U320" s="812"/>
      <c r="V320" s="812"/>
      <c r="W320" s="812"/>
      <c r="X320" s="811"/>
      <c r="Y320" s="580">
        <f t="shared" si="8"/>
        <v>0</v>
      </c>
      <c r="Z320" s="581"/>
      <c r="AA320" s="581"/>
      <c r="AB320" s="592"/>
      <c r="AC320" s="592"/>
    </row>
    <row r="321" spans="1:29" ht="19.5" customHeight="1">
      <c r="A321" s="640" t="s">
        <v>735</v>
      </c>
      <c r="B321" s="812"/>
      <c r="C321" s="812"/>
      <c r="D321" s="812">
        <v>8155</v>
      </c>
      <c r="E321" s="812"/>
      <c r="F321" s="812"/>
      <c r="G321" s="812"/>
      <c r="H321" s="812"/>
      <c r="I321" s="812"/>
      <c r="J321" s="812"/>
      <c r="K321" s="812"/>
      <c r="L321" s="812"/>
      <c r="M321" s="812"/>
      <c r="N321" s="812"/>
      <c r="O321" s="812"/>
      <c r="P321" s="812"/>
      <c r="Q321" s="812"/>
      <c r="R321" s="812">
        <v>-8155</v>
      </c>
      <c r="S321" s="812"/>
      <c r="T321" s="812"/>
      <c r="U321" s="812"/>
      <c r="V321" s="812"/>
      <c r="W321" s="812"/>
      <c r="X321" s="890"/>
      <c r="Y321" s="580">
        <f t="shared" si="8"/>
        <v>0</v>
      </c>
      <c r="Z321" s="581"/>
      <c r="AA321" s="581"/>
      <c r="AB321" s="592"/>
      <c r="AC321" s="592"/>
    </row>
    <row r="322" spans="1:29" ht="19.5" customHeight="1">
      <c r="A322" s="889" t="s">
        <v>741</v>
      </c>
      <c r="B322" s="890"/>
      <c r="C322" s="890"/>
      <c r="D322" s="890">
        <v>4981</v>
      </c>
      <c r="E322" s="890"/>
      <c r="F322" s="890"/>
      <c r="G322" s="890"/>
      <c r="H322" s="890"/>
      <c r="I322" s="890"/>
      <c r="J322" s="890"/>
      <c r="K322" s="890"/>
      <c r="L322" s="890"/>
      <c r="M322" s="890"/>
      <c r="N322" s="890"/>
      <c r="O322" s="890"/>
      <c r="P322" s="890"/>
      <c r="Q322" s="890"/>
      <c r="R322" s="890">
        <v>-4981</v>
      </c>
      <c r="S322" s="890"/>
      <c r="T322" s="890"/>
      <c r="U322" s="890"/>
      <c r="V322" s="890"/>
      <c r="W322" s="890"/>
      <c r="X322" s="811"/>
      <c r="Y322" s="676">
        <f t="shared" si="8"/>
        <v>0</v>
      </c>
      <c r="Z322" s="581"/>
      <c r="AA322" s="581"/>
      <c r="AB322" s="592"/>
      <c r="AC322" s="592"/>
    </row>
    <row r="323" spans="1:29" ht="19.5" customHeight="1">
      <c r="A323" s="640" t="s">
        <v>749</v>
      </c>
      <c r="B323" s="812"/>
      <c r="C323" s="812"/>
      <c r="D323" s="812">
        <v>2988</v>
      </c>
      <c r="E323" s="812"/>
      <c r="F323" s="812"/>
      <c r="G323" s="812"/>
      <c r="H323" s="812"/>
      <c r="I323" s="812"/>
      <c r="J323" s="812"/>
      <c r="K323" s="812"/>
      <c r="L323" s="812"/>
      <c r="M323" s="812"/>
      <c r="N323" s="812"/>
      <c r="O323" s="812"/>
      <c r="P323" s="812"/>
      <c r="Q323" s="812"/>
      <c r="R323" s="812">
        <v>-2988</v>
      </c>
      <c r="S323" s="812"/>
      <c r="T323" s="812"/>
      <c r="U323" s="812"/>
      <c r="V323" s="812"/>
      <c r="W323" s="812"/>
      <c r="X323" s="811"/>
      <c r="Y323" s="580">
        <f t="shared" si="8"/>
        <v>0</v>
      </c>
      <c r="Z323" s="581"/>
      <c r="AA323" s="581"/>
      <c r="AB323" s="592"/>
      <c r="AC323" s="592"/>
    </row>
    <row r="324" spans="1:29" ht="19.5" customHeight="1">
      <c r="A324" s="640" t="s">
        <v>750</v>
      </c>
      <c r="B324" s="812"/>
      <c r="C324" s="812"/>
      <c r="D324" s="812">
        <v>995</v>
      </c>
      <c r="E324" s="812"/>
      <c r="F324" s="812"/>
      <c r="G324" s="812"/>
      <c r="H324" s="812"/>
      <c r="I324" s="812"/>
      <c r="J324" s="812"/>
      <c r="K324" s="812"/>
      <c r="L324" s="812"/>
      <c r="M324" s="812"/>
      <c r="N324" s="812"/>
      <c r="O324" s="812"/>
      <c r="P324" s="812"/>
      <c r="Q324" s="812"/>
      <c r="R324" s="812">
        <v>-995</v>
      </c>
      <c r="S324" s="812"/>
      <c r="T324" s="812"/>
      <c r="U324" s="812"/>
      <c r="V324" s="812"/>
      <c r="W324" s="812"/>
      <c r="X324" s="890"/>
      <c r="Y324" s="580">
        <f t="shared" si="8"/>
        <v>0</v>
      </c>
      <c r="Z324" s="581"/>
      <c r="AA324" s="581"/>
      <c r="AB324" s="592"/>
      <c r="AC324" s="592"/>
    </row>
    <row r="325" spans="1:29" ht="19.5" customHeight="1">
      <c r="A325" s="889" t="s">
        <v>7</v>
      </c>
      <c r="B325" s="890"/>
      <c r="C325" s="890"/>
      <c r="D325" s="890">
        <v>4467</v>
      </c>
      <c r="E325" s="890"/>
      <c r="F325" s="890"/>
      <c r="G325" s="890"/>
      <c r="H325" s="890"/>
      <c r="I325" s="890"/>
      <c r="J325" s="890"/>
      <c r="K325" s="890"/>
      <c r="L325" s="890"/>
      <c r="M325" s="890"/>
      <c r="N325" s="890"/>
      <c r="O325" s="890"/>
      <c r="P325" s="890"/>
      <c r="Q325" s="890"/>
      <c r="R325" s="890">
        <v>-4467</v>
      </c>
      <c r="S325" s="890"/>
      <c r="T325" s="890"/>
      <c r="U325" s="890"/>
      <c r="V325" s="890"/>
      <c r="W325" s="890"/>
      <c r="X325" s="811"/>
      <c r="Y325" s="676">
        <f t="shared" si="8"/>
        <v>0</v>
      </c>
      <c r="Z325" s="581"/>
      <c r="AA325" s="581"/>
      <c r="AB325" s="592"/>
      <c r="AC325" s="592"/>
    </row>
    <row r="326" spans="1:29" ht="19.5" customHeight="1">
      <c r="A326" s="640" t="s">
        <v>13</v>
      </c>
      <c r="B326" s="812"/>
      <c r="C326" s="812"/>
      <c r="D326" s="812">
        <v>4980</v>
      </c>
      <c r="E326" s="812"/>
      <c r="F326" s="812"/>
      <c r="G326" s="812"/>
      <c r="H326" s="812"/>
      <c r="I326" s="812"/>
      <c r="J326" s="812"/>
      <c r="K326" s="812"/>
      <c r="L326" s="812"/>
      <c r="M326" s="812"/>
      <c r="N326" s="812"/>
      <c r="O326" s="812"/>
      <c r="P326" s="812"/>
      <c r="Q326" s="812"/>
      <c r="R326" s="812">
        <v>-4980</v>
      </c>
      <c r="S326" s="812"/>
      <c r="T326" s="812"/>
      <c r="U326" s="812"/>
      <c r="V326" s="812"/>
      <c r="W326" s="812"/>
      <c r="X326" s="811"/>
      <c r="Y326" s="580">
        <f t="shared" si="8"/>
        <v>0</v>
      </c>
      <c r="Z326" s="581"/>
      <c r="AA326" s="581"/>
      <c r="AB326" s="592"/>
      <c r="AC326" s="592"/>
    </row>
    <row r="327" spans="1:29" ht="19.5" customHeight="1">
      <c r="A327" s="640" t="s">
        <v>14</v>
      </c>
      <c r="B327" s="812"/>
      <c r="C327" s="812"/>
      <c r="D327" s="812">
        <v>189</v>
      </c>
      <c r="E327" s="812">
        <v>-167</v>
      </c>
      <c r="F327" s="812">
        <v>-22</v>
      </c>
      <c r="G327" s="812"/>
      <c r="H327" s="812"/>
      <c r="I327" s="812"/>
      <c r="J327" s="812"/>
      <c r="K327" s="812"/>
      <c r="L327" s="812"/>
      <c r="M327" s="812"/>
      <c r="N327" s="812"/>
      <c r="O327" s="812"/>
      <c r="P327" s="812"/>
      <c r="Q327" s="812"/>
      <c r="R327" s="812"/>
      <c r="S327" s="812"/>
      <c r="T327" s="812"/>
      <c r="U327" s="812"/>
      <c r="V327" s="812"/>
      <c r="W327" s="812"/>
      <c r="X327" s="811"/>
      <c r="Y327" s="580">
        <f t="shared" si="8"/>
        <v>0</v>
      </c>
      <c r="Z327" s="581"/>
      <c r="AA327" s="581"/>
      <c r="AB327" s="592"/>
      <c r="AC327" s="592"/>
    </row>
    <row r="328" spans="1:29" ht="19.5" customHeight="1">
      <c r="A328" s="640" t="s">
        <v>18</v>
      </c>
      <c r="B328" s="812"/>
      <c r="C328" s="812"/>
      <c r="D328" s="812">
        <v>3885</v>
      </c>
      <c r="E328" s="812"/>
      <c r="F328" s="812"/>
      <c r="G328" s="812"/>
      <c r="H328" s="812"/>
      <c r="I328" s="812"/>
      <c r="J328" s="812"/>
      <c r="K328" s="812"/>
      <c r="L328" s="812"/>
      <c r="M328" s="812"/>
      <c r="N328" s="812"/>
      <c r="O328" s="812"/>
      <c r="P328" s="812"/>
      <c r="Q328" s="812"/>
      <c r="R328" s="812">
        <v>-3885</v>
      </c>
      <c r="S328" s="812"/>
      <c r="T328" s="812"/>
      <c r="U328" s="812"/>
      <c r="V328" s="812"/>
      <c r="W328" s="812"/>
      <c r="X328" s="811"/>
      <c r="Y328" s="580">
        <f t="shared" si="8"/>
        <v>0</v>
      </c>
      <c r="Z328" s="581"/>
      <c r="AA328" s="581"/>
      <c r="AB328" s="592"/>
      <c r="AC328" s="592"/>
    </row>
    <row r="329" spans="1:29" ht="19.5" customHeight="1">
      <c r="A329" s="640" t="s">
        <v>44</v>
      </c>
      <c r="B329" s="812"/>
      <c r="C329" s="812"/>
      <c r="D329" s="812">
        <v>4118</v>
      </c>
      <c r="E329" s="812"/>
      <c r="F329" s="812"/>
      <c r="G329" s="812"/>
      <c r="H329" s="812"/>
      <c r="I329" s="812"/>
      <c r="J329" s="812"/>
      <c r="K329" s="812"/>
      <c r="L329" s="812"/>
      <c r="M329" s="812"/>
      <c r="N329" s="812"/>
      <c r="O329" s="812"/>
      <c r="P329" s="812"/>
      <c r="Q329" s="812"/>
      <c r="R329" s="812">
        <v>-4118</v>
      </c>
      <c r="S329" s="812"/>
      <c r="T329" s="812"/>
      <c r="U329" s="812"/>
      <c r="V329" s="812"/>
      <c r="W329" s="812"/>
      <c r="X329" s="811"/>
      <c r="Y329" s="580">
        <f t="shared" si="8"/>
        <v>0</v>
      </c>
      <c r="Z329" s="581"/>
      <c r="AA329" s="581"/>
      <c r="AB329" s="592"/>
      <c r="AC329" s="592"/>
    </row>
    <row r="330" spans="1:29" ht="19.5" customHeight="1" thickBot="1">
      <c r="A330" s="810" t="s">
        <v>330</v>
      </c>
      <c r="B330" s="811"/>
      <c r="C330" s="811"/>
      <c r="D330" s="811">
        <v>240</v>
      </c>
      <c r="E330" s="811"/>
      <c r="F330" s="811"/>
      <c r="G330" s="811"/>
      <c r="H330" s="811"/>
      <c r="I330" s="811"/>
      <c r="J330" s="811"/>
      <c r="K330" s="811"/>
      <c r="L330" s="811"/>
      <c r="M330" s="811"/>
      <c r="N330" s="811"/>
      <c r="O330" s="811"/>
      <c r="P330" s="811"/>
      <c r="Q330" s="811"/>
      <c r="R330" s="811">
        <v>-240</v>
      </c>
      <c r="S330" s="811"/>
      <c r="T330" s="811"/>
      <c r="U330" s="811"/>
      <c r="V330" s="811"/>
      <c r="W330" s="811"/>
      <c r="X330" s="811"/>
      <c r="Y330" s="605">
        <f t="shared" si="8"/>
        <v>0</v>
      </c>
      <c r="Z330" s="581"/>
      <c r="AA330" s="581"/>
      <c r="AB330" s="592"/>
      <c r="AC330" s="592"/>
    </row>
    <row r="331" spans="1:29" s="478" customFormat="1" ht="32.25" customHeight="1" thickBot="1" thickTop="1">
      <c r="A331" s="665" t="s">
        <v>312</v>
      </c>
      <c r="B331" s="641"/>
      <c r="C331" s="641"/>
      <c r="D331" s="641"/>
      <c r="E331" s="641"/>
      <c r="F331" s="641"/>
      <c r="G331" s="641">
        <f>G332+G395+G519</f>
        <v>1000</v>
      </c>
      <c r="H331" s="641">
        <f>H332+H395+H519</f>
        <v>13502</v>
      </c>
      <c r="I331" s="641"/>
      <c r="J331" s="641"/>
      <c r="K331" s="641"/>
      <c r="L331" s="641">
        <f>L332+L395+L519</f>
        <v>8000</v>
      </c>
      <c r="M331" s="641"/>
      <c r="N331" s="641"/>
      <c r="O331" s="641"/>
      <c r="P331" s="641"/>
      <c r="Q331" s="641"/>
      <c r="R331" s="641">
        <f>R332+R395+R519</f>
        <v>2000</v>
      </c>
      <c r="S331" s="641"/>
      <c r="T331" s="641"/>
      <c r="U331" s="641"/>
      <c r="V331" s="641"/>
      <c r="W331" s="641"/>
      <c r="X331" s="641"/>
      <c r="Y331" s="891">
        <f t="shared" si="8"/>
        <v>24502</v>
      </c>
      <c r="Z331" s="581"/>
      <c r="AA331" s="581"/>
      <c r="AB331" s="584"/>
      <c r="AC331" s="584"/>
    </row>
    <row r="332" spans="1:29" s="478" customFormat="1" ht="19.5" customHeight="1" thickBot="1" thickTop="1">
      <c r="A332" s="642" t="s">
        <v>409</v>
      </c>
      <c r="B332" s="643"/>
      <c r="C332" s="643"/>
      <c r="D332" s="643"/>
      <c r="E332" s="643"/>
      <c r="F332" s="643"/>
      <c r="G332" s="643">
        <f>G350</f>
        <v>1000</v>
      </c>
      <c r="H332" s="643"/>
      <c r="I332" s="643"/>
      <c r="J332" s="643"/>
      <c r="K332" s="643"/>
      <c r="L332" s="643"/>
      <c r="M332" s="643"/>
      <c r="N332" s="643"/>
      <c r="O332" s="643"/>
      <c r="P332" s="643"/>
      <c r="Q332" s="643"/>
      <c r="R332" s="643"/>
      <c r="S332" s="643"/>
      <c r="T332" s="643"/>
      <c r="U332" s="643"/>
      <c r="V332" s="643"/>
      <c r="W332" s="643"/>
      <c r="X332" s="643"/>
      <c r="Y332" s="676">
        <f t="shared" si="8"/>
        <v>1000</v>
      </c>
      <c r="Z332" s="588"/>
      <c r="AA332" s="588"/>
      <c r="AB332" s="588"/>
      <c r="AC332" s="588"/>
    </row>
    <row r="333" spans="1:29" s="478" customFormat="1" ht="19.5" customHeight="1" hidden="1">
      <c r="A333" s="644" t="s">
        <v>719</v>
      </c>
      <c r="B333" s="623"/>
      <c r="C333" s="623"/>
      <c r="D333" s="623"/>
      <c r="E333" s="623"/>
      <c r="F333" s="623"/>
      <c r="G333" s="623"/>
      <c r="H333" s="623"/>
      <c r="I333" s="623"/>
      <c r="J333" s="623"/>
      <c r="K333" s="623"/>
      <c r="L333" s="623"/>
      <c r="M333" s="623"/>
      <c r="N333" s="623"/>
      <c r="O333" s="623"/>
      <c r="P333" s="623"/>
      <c r="Q333" s="623"/>
      <c r="R333" s="623"/>
      <c r="S333" s="623"/>
      <c r="T333" s="623"/>
      <c r="U333" s="623"/>
      <c r="V333" s="623"/>
      <c r="W333" s="623"/>
      <c r="X333" s="623"/>
      <c r="Y333" s="580">
        <f t="shared" si="8"/>
        <v>0</v>
      </c>
      <c r="Z333" s="581"/>
      <c r="AA333" s="581"/>
      <c r="AB333" s="584"/>
      <c r="AC333" s="584"/>
    </row>
    <row r="334" spans="1:29" s="388" customFormat="1" ht="19.5" customHeight="1" hidden="1">
      <c r="A334" s="644" t="s">
        <v>720</v>
      </c>
      <c r="B334" s="621"/>
      <c r="C334" s="621"/>
      <c r="D334" s="621"/>
      <c r="E334" s="621"/>
      <c r="F334" s="621"/>
      <c r="G334" s="621"/>
      <c r="H334" s="621"/>
      <c r="I334" s="621"/>
      <c r="J334" s="621"/>
      <c r="K334" s="621"/>
      <c r="L334" s="621"/>
      <c r="M334" s="621"/>
      <c r="N334" s="621"/>
      <c r="O334" s="621"/>
      <c r="P334" s="621"/>
      <c r="Q334" s="621"/>
      <c r="R334" s="621"/>
      <c r="S334" s="621"/>
      <c r="T334" s="621"/>
      <c r="U334" s="621"/>
      <c r="V334" s="621"/>
      <c r="W334" s="621"/>
      <c r="X334" s="621"/>
      <c r="Y334" s="580">
        <f t="shared" si="8"/>
        <v>0</v>
      </c>
      <c r="Z334" s="581"/>
      <c r="AA334" s="581"/>
      <c r="AB334" s="584"/>
      <c r="AC334" s="619"/>
    </row>
    <row r="335" spans="1:29" s="478" customFormat="1" ht="19.5" customHeight="1" hidden="1">
      <c r="A335" s="644" t="s">
        <v>721</v>
      </c>
      <c r="B335" s="621"/>
      <c r="C335" s="621"/>
      <c r="D335" s="621"/>
      <c r="E335" s="621"/>
      <c r="F335" s="621"/>
      <c r="G335" s="621"/>
      <c r="H335" s="621"/>
      <c r="I335" s="621"/>
      <c r="J335" s="621"/>
      <c r="K335" s="621"/>
      <c r="L335" s="621"/>
      <c r="M335" s="621"/>
      <c r="N335" s="621"/>
      <c r="O335" s="621"/>
      <c r="P335" s="621"/>
      <c r="Q335" s="621"/>
      <c r="R335" s="621"/>
      <c r="S335" s="621"/>
      <c r="T335" s="621"/>
      <c r="U335" s="621"/>
      <c r="V335" s="621"/>
      <c r="W335" s="621"/>
      <c r="X335" s="621"/>
      <c r="Y335" s="580">
        <f t="shared" si="8"/>
        <v>0</v>
      </c>
      <c r="Z335" s="581"/>
      <c r="AA335" s="581"/>
      <c r="AB335" s="584"/>
      <c r="AC335" s="584"/>
    </row>
    <row r="336" spans="1:29" s="478" customFormat="1" ht="19.5" customHeight="1" hidden="1">
      <c r="A336" s="644" t="s">
        <v>722</v>
      </c>
      <c r="B336" s="621"/>
      <c r="C336" s="621"/>
      <c r="D336" s="621"/>
      <c r="E336" s="621"/>
      <c r="F336" s="621"/>
      <c r="G336" s="621"/>
      <c r="H336" s="621"/>
      <c r="I336" s="621"/>
      <c r="J336" s="621"/>
      <c r="K336" s="621"/>
      <c r="L336" s="621"/>
      <c r="M336" s="621"/>
      <c r="N336" s="621"/>
      <c r="O336" s="621"/>
      <c r="P336" s="621"/>
      <c r="Q336" s="621"/>
      <c r="R336" s="621"/>
      <c r="S336" s="621"/>
      <c r="T336" s="621"/>
      <c r="U336" s="621"/>
      <c r="V336" s="621"/>
      <c r="W336" s="621"/>
      <c r="X336" s="621"/>
      <c r="Y336" s="580">
        <f t="shared" si="8"/>
        <v>0</v>
      </c>
      <c r="Z336" s="581"/>
      <c r="AA336" s="581"/>
      <c r="AB336" s="584"/>
      <c r="AC336" s="584"/>
    </row>
    <row r="337" spans="1:29" s="478" customFormat="1" ht="19.5" customHeight="1" hidden="1">
      <c r="A337" s="644" t="s">
        <v>723</v>
      </c>
      <c r="B337" s="621"/>
      <c r="C337" s="621"/>
      <c r="D337" s="621"/>
      <c r="E337" s="621"/>
      <c r="F337" s="621"/>
      <c r="G337" s="621"/>
      <c r="H337" s="621"/>
      <c r="I337" s="621"/>
      <c r="J337" s="621"/>
      <c r="K337" s="621"/>
      <c r="L337" s="621"/>
      <c r="M337" s="621"/>
      <c r="N337" s="621"/>
      <c r="O337" s="621"/>
      <c r="P337" s="621"/>
      <c r="Q337" s="621"/>
      <c r="R337" s="621"/>
      <c r="S337" s="621"/>
      <c r="T337" s="621"/>
      <c r="U337" s="621"/>
      <c r="V337" s="621"/>
      <c r="W337" s="621"/>
      <c r="X337" s="621"/>
      <c r="Y337" s="580">
        <f t="shared" si="8"/>
        <v>0</v>
      </c>
      <c r="Z337" s="581"/>
      <c r="AA337" s="581"/>
      <c r="AB337" s="584"/>
      <c r="AC337" s="584"/>
    </row>
    <row r="338" spans="1:29" s="478" customFormat="1" ht="19.5" customHeight="1" hidden="1">
      <c r="A338" s="644" t="s">
        <v>724</v>
      </c>
      <c r="B338" s="621"/>
      <c r="C338" s="621"/>
      <c r="D338" s="621"/>
      <c r="E338" s="621"/>
      <c r="F338" s="621"/>
      <c r="G338" s="621"/>
      <c r="H338" s="621"/>
      <c r="I338" s="621"/>
      <c r="J338" s="621"/>
      <c r="K338" s="621"/>
      <c r="L338" s="621"/>
      <c r="M338" s="621"/>
      <c r="N338" s="621"/>
      <c r="O338" s="621"/>
      <c r="P338" s="621"/>
      <c r="Q338" s="621"/>
      <c r="R338" s="621"/>
      <c r="S338" s="621"/>
      <c r="T338" s="621"/>
      <c r="U338" s="621"/>
      <c r="V338" s="621"/>
      <c r="W338" s="621"/>
      <c r="X338" s="621"/>
      <c r="Y338" s="580">
        <f t="shared" si="8"/>
        <v>0</v>
      </c>
      <c r="Z338" s="581"/>
      <c r="AA338" s="581"/>
      <c r="AB338" s="584"/>
      <c r="AC338" s="584"/>
    </row>
    <row r="339" spans="1:29" s="478" customFormat="1" ht="19.5" customHeight="1" hidden="1">
      <c r="A339" s="644" t="s">
        <v>725</v>
      </c>
      <c r="B339" s="621"/>
      <c r="C339" s="621"/>
      <c r="D339" s="621"/>
      <c r="E339" s="621"/>
      <c r="F339" s="621"/>
      <c r="G339" s="621"/>
      <c r="H339" s="621"/>
      <c r="I339" s="621"/>
      <c r="J339" s="621"/>
      <c r="K339" s="621"/>
      <c r="L339" s="621"/>
      <c r="M339" s="621"/>
      <c r="N339" s="621"/>
      <c r="O339" s="621"/>
      <c r="P339" s="621"/>
      <c r="Q339" s="621"/>
      <c r="R339" s="621"/>
      <c r="S339" s="621"/>
      <c r="T339" s="621"/>
      <c r="U339" s="621"/>
      <c r="V339" s="621"/>
      <c r="W339" s="621"/>
      <c r="X339" s="621"/>
      <c r="Y339" s="580">
        <f t="shared" si="8"/>
        <v>0</v>
      </c>
      <c r="Z339" s="581"/>
      <c r="AA339" s="581"/>
      <c r="AB339" s="584"/>
      <c r="AC339" s="584"/>
    </row>
    <row r="340" spans="1:29" s="388" customFormat="1" ht="19.5" customHeight="1" hidden="1">
      <c r="A340" s="644" t="s">
        <v>726</v>
      </c>
      <c r="B340" s="621"/>
      <c r="C340" s="621"/>
      <c r="D340" s="621"/>
      <c r="E340" s="621"/>
      <c r="F340" s="621"/>
      <c r="G340" s="621"/>
      <c r="H340" s="621"/>
      <c r="I340" s="621"/>
      <c r="J340" s="621"/>
      <c r="K340" s="621"/>
      <c r="L340" s="621"/>
      <c r="M340" s="621"/>
      <c r="N340" s="621"/>
      <c r="O340" s="621"/>
      <c r="P340" s="621"/>
      <c r="Q340" s="621"/>
      <c r="R340" s="621"/>
      <c r="S340" s="621"/>
      <c r="T340" s="621"/>
      <c r="U340" s="621"/>
      <c r="V340" s="621"/>
      <c r="W340" s="621"/>
      <c r="X340" s="621"/>
      <c r="Y340" s="580">
        <f t="shared" si="8"/>
        <v>0</v>
      </c>
      <c r="Z340" s="581"/>
      <c r="AA340" s="581"/>
      <c r="AB340" s="584"/>
      <c r="AC340" s="619"/>
    </row>
    <row r="341" spans="1:29" ht="19.5" customHeight="1" hidden="1">
      <c r="A341" s="644" t="s">
        <v>727</v>
      </c>
      <c r="B341" s="621"/>
      <c r="C341" s="621"/>
      <c r="D341" s="621"/>
      <c r="E341" s="621"/>
      <c r="F341" s="621"/>
      <c r="G341" s="621"/>
      <c r="H341" s="621"/>
      <c r="I341" s="621"/>
      <c r="J341" s="621"/>
      <c r="K341" s="621"/>
      <c r="L341" s="621"/>
      <c r="M341" s="621"/>
      <c r="N341" s="621"/>
      <c r="O341" s="621"/>
      <c r="P341" s="621"/>
      <c r="Q341" s="621"/>
      <c r="R341" s="621"/>
      <c r="S341" s="621"/>
      <c r="T341" s="621"/>
      <c r="U341" s="621"/>
      <c r="V341" s="621"/>
      <c r="W341" s="621"/>
      <c r="X341" s="621"/>
      <c r="Y341" s="580">
        <f t="shared" si="8"/>
        <v>0</v>
      </c>
      <c r="Z341" s="581"/>
      <c r="AA341" s="581"/>
      <c r="AB341" s="592"/>
      <c r="AC341" s="592"/>
    </row>
    <row r="342" spans="1:29" ht="18" customHeight="1" hidden="1">
      <c r="A342" s="644" t="s">
        <v>728</v>
      </c>
      <c r="B342" s="621"/>
      <c r="C342" s="621"/>
      <c r="D342" s="621"/>
      <c r="E342" s="621"/>
      <c r="F342" s="621"/>
      <c r="G342" s="621"/>
      <c r="H342" s="621"/>
      <c r="I342" s="621"/>
      <c r="J342" s="621"/>
      <c r="K342" s="621"/>
      <c r="L342" s="621"/>
      <c r="M342" s="621"/>
      <c r="N342" s="621"/>
      <c r="O342" s="621"/>
      <c r="P342" s="621"/>
      <c r="Q342" s="621"/>
      <c r="R342" s="621"/>
      <c r="S342" s="621"/>
      <c r="T342" s="621"/>
      <c r="U342" s="621"/>
      <c r="V342" s="621"/>
      <c r="W342" s="621"/>
      <c r="X342" s="621"/>
      <c r="Y342" s="580">
        <f t="shared" si="8"/>
        <v>0</v>
      </c>
      <c r="Z342" s="581"/>
      <c r="AA342" s="581"/>
      <c r="AB342" s="592"/>
      <c r="AC342" s="592"/>
    </row>
    <row r="343" spans="1:29" ht="18" customHeight="1" hidden="1">
      <c r="A343" s="644" t="s">
        <v>729</v>
      </c>
      <c r="B343" s="621"/>
      <c r="C343" s="621"/>
      <c r="D343" s="621"/>
      <c r="E343" s="621"/>
      <c r="F343" s="621"/>
      <c r="G343" s="621"/>
      <c r="H343" s="621"/>
      <c r="I343" s="621"/>
      <c r="J343" s="621"/>
      <c r="K343" s="621"/>
      <c r="L343" s="621"/>
      <c r="M343" s="621"/>
      <c r="N343" s="621"/>
      <c r="O343" s="621"/>
      <c r="P343" s="621"/>
      <c r="Q343" s="621"/>
      <c r="R343" s="621"/>
      <c r="S343" s="621"/>
      <c r="T343" s="621"/>
      <c r="U343" s="621"/>
      <c r="V343" s="621"/>
      <c r="W343" s="621"/>
      <c r="X343" s="621"/>
      <c r="Y343" s="580">
        <f t="shared" si="8"/>
        <v>0</v>
      </c>
      <c r="Z343" s="581"/>
      <c r="AA343" s="581"/>
      <c r="AB343" s="592"/>
      <c r="AC343" s="592"/>
    </row>
    <row r="344" spans="1:29" ht="18" customHeight="1" hidden="1">
      <c r="A344" s="644" t="s">
        <v>730</v>
      </c>
      <c r="B344" s="621"/>
      <c r="C344" s="621"/>
      <c r="D344" s="621"/>
      <c r="E344" s="621"/>
      <c r="F344" s="621"/>
      <c r="G344" s="621"/>
      <c r="H344" s="621"/>
      <c r="I344" s="621"/>
      <c r="J344" s="621"/>
      <c r="K344" s="621"/>
      <c r="L344" s="621"/>
      <c r="M344" s="621"/>
      <c r="N344" s="621"/>
      <c r="O344" s="621"/>
      <c r="P344" s="621"/>
      <c r="Q344" s="621"/>
      <c r="R344" s="621"/>
      <c r="S344" s="621"/>
      <c r="T344" s="621"/>
      <c r="U344" s="621"/>
      <c r="V344" s="621"/>
      <c r="W344" s="621"/>
      <c r="X344" s="621"/>
      <c r="Y344" s="580">
        <f t="shared" si="8"/>
        <v>0</v>
      </c>
      <c r="Z344" s="581"/>
      <c r="AA344" s="581"/>
      <c r="AB344" s="592"/>
      <c r="AC344" s="592"/>
    </row>
    <row r="345" spans="1:29" ht="18" customHeight="1" hidden="1">
      <c r="A345" s="644" t="s">
        <v>731</v>
      </c>
      <c r="B345" s="621"/>
      <c r="C345" s="621"/>
      <c r="D345" s="621"/>
      <c r="E345" s="621"/>
      <c r="F345" s="621"/>
      <c r="G345" s="621"/>
      <c r="H345" s="621"/>
      <c r="I345" s="621"/>
      <c r="J345" s="621"/>
      <c r="K345" s="621"/>
      <c r="L345" s="621"/>
      <c r="M345" s="621"/>
      <c r="N345" s="621"/>
      <c r="O345" s="621"/>
      <c r="P345" s="621"/>
      <c r="Q345" s="621"/>
      <c r="R345" s="621"/>
      <c r="S345" s="621"/>
      <c r="T345" s="621"/>
      <c r="U345" s="621"/>
      <c r="V345" s="621"/>
      <c r="W345" s="621"/>
      <c r="X345" s="621"/>
      <c r="Y345" s="580">
        <f t="shared" si="8"/>
        <v>0</v>
      </c>
      <c r="Z345" s="581"/>
      <c r="AA345" s="581"/>
      <c r="AB345" s="592"/>
      <c r="AC345" s="592"/>
    </row>
    <row r="346" spans="1:29" ht="18" customHeight="1" hidden="1">
      <c r="A346" s="644" t="s">
        <v>732</v>
      </c>
      <c r="B346" s="621"/>
      <c r="C346" s="621"/>
      <c r="D346" s="621"/>
      <c r="E346" s="621"/>
      <c r="F346" s="621"/>
      <c r="G346" s="621"/>
      <c r="H346" s="621"/>
      <c r="I346" s="621"/>
      <c r="J346" s="621"/>
      <c r="K346" s="621"/>
      <c r="L346" s="621"/>
      <c r="M346" s="621"/>
      <c r="N346" s="621"/>
      <c r="O346" s="621"/>
      <c r="P346" s="621"/>
      <c r="Q346" s="621"/>
      <c r="R346" s="621"/>
      <c r="S346" s="621"/>
      <c r="T346" s="621"/>
      <c r="U346" s="621"/>
      <c r="V346" s="621"/>
      <c r="W346" s="621"/>
      <c r="X346" s="621"/>
      <c r="Y346" s="580">
        <f t="shared" si="8"/>
        <v>0</v>
      </c>
      <c r="Z346" s="581"/>
      <c r="AA346" s="581"/>
      <c r="AB346" s="592"/>
      <c r="AC346" s="592"/>
    </row>
    <row r="347" spans="1:29" ht="18" customHeight="1" hidden="1">
      <c r="A347" s="644" t="s">
        <v>733</v>
      </c>
      <c r="B347" s="621"/>
      <c r="C347" s="621"/>
      <c r="D347" s="621"/>
      <c r="E347" s="621"/>
      <c r="F347" s="621"/>
      <c r="G347" s="621"/>
      <c r="H347" s="621"/>
      <c r="I347" s="621"/>
      <c r="J347" s="621"/>
      <c r="K347" s="621"/>
      <c r="L347" s="621"/>
      <c r="M347" s="621"/>
      <c r="N347" s="621"/>
      <c r="O347" s="621"/>
      <c r="P347" s="621"/>
      <c r="Q347" s="621"/>
      <c r="R347" s="621"/>
      <c r="S347" s="621"/>
      <c r="T347" s="621"/>
      <c r="U347" s="621"/>
      <c r="V347" s="621"/>
      <c r="W347" s="621"/>
      <c r="X347" s="621"/>
      <c r="Y347" s="580">
        <f t="shared" si="8"/>
        <v>0</v>
      </c>
      <c r="Z347" s="581"/>
      <c r="AA347" s="581"/>
      <c r="AB347" s="592"/>
      <c r="AC347" s="592"/>
    </row>
    <row r="348" spans="1:29" ht="18" customHeight="1" hidden="1">
      <c r="A348" s="644" t="s">
        <v>734</v>
      </c>
      <c r="B348" s="621"/>
      <c r="C348" s="621"/>
      <c r="D348" s="621"/>
      <c r="E348" s="621"/>
      <c r="F348" s="621"/>
      <c r="G348" s="621"/>
      <c r="H348" s="621"/>
      <c r="I348" s="621"/>
      <c r="J348" s="621"/>
      <c r="K348" s="621"/>
      <c r="L348" s="621"/>
      <c r="M348" s="621"/>
      <c r="N348" s="621"/>
      <c r="O348" s="621"/>
      <c r="P348" s="621"/>
      <c r="Q348" s="621"/>
      <c r="R348" s="621"/>
      <c r="S348" s="621"/>
      <c r="T348" s="621"/>
      <c r="U348" s="621"/>
      <c r="V348" s="621"/>
      <c r="W348" s="621"/>
      <c r="X348" s="621"/>
      <c r="Y348" s="580">
        <f t="shared" si="8"/>
        <v>0</v>
      </c>
      <c r="Z348" s="581"/>
      <c r="AA348" s="581"/>
      <c r="AB348" s="592"/>
      <c r="AC348" s="592"/>
    </row>
    <row r="349" spans="1:29" ht="18" customHeight="1" hidden="1">
      <c r="A349" s="644" t="s">
        <v>735</v>
      </c>
      <c r="B349" s="621"/>
      <c r="C349" s="621"/>
      <c r="D349" s="621"/>
      <c r="E349" s="621"/>
      <c r="F349" s="621"/>
      <c r="G349" s="621"/>
      <c r="H349" s="621"/>
      <c r="I349" s="621"/>
      <c r="J349" s="621"/>
      <c r="K349" s="621"/>
      <c r="L349" s="621"/>
      <c r="M349" s="621"/>
      <c r="N349" s="621"/>
      <c r="O349" s="621"/>
      <c r="P349" s="621"/>
      <c r="Q349" s="621"/>
      <c r="R349" s="621"/>
      <c r="S349" s="621"/>
      <c r="T349" s="621"/>
      <c r="U349" s="621"/>
      <c r="V349" s="621"/>
      <c r="W349" s="621"/>
      <c r="X349" s="621"/>
      <c r="Y349" s="605">
        <f t="shared" si="8"/>
        <v>0</v>
      </c>
      <c r="Z349" s="581"/>
      <c r="AA349" s="581"/>
      <c r="AB349" s="592"/>
      <c r="AC349" s="592"/>
    </row>
    <row r="350" spans="1:29" ht="18" customHeight="1" thickBot="1">
      <c r="A350" s="644" t="s">
        <v>736</v>
      </c>
      <c r="B350" s="621"/>
      <c r="C350" s="621"/>
      <c r="D350" s="621"/>
      <c r="E350" s="621"/>
      <c r="F350" s="621"/>
      <c r="G350" s="621">
        <v>1000</v>
      </c>
      <c r="H350" s="621"/>
      <c r="I350" s="621"/>
      <c r="J350" s="621"/>
      <c r="K350" s="621"/>
      <c r="L350" s="621"/>
      <c r="M350" s="621"/>
      <c r="N350" s="621"/>
      <c r="O350" s="621"/>
      <c r="P350" s="621"/>
      <c r="Q350" s="621"/>
      <c r="R350" s="621"/>
      <c r="S350" s="621"/>
      <c r="T350" s="621"/>
      <c r="U350" s="621"/>
      <c r="V350" s="621"/>
      <c r="W350" s="621"/>
      <c r="X350" s="621"/>
      <c r="Y350" s="628">
        <f t="shared" si="8"/>
        <v>1000</v>
      </c>
      <c r="Z350" s="581"/>
      <c r="AA350" s="581"/>
      <c r="AB350" s="592"/>
      <c r="AC350" s="592"/>
    </row>
    <row r="351" spans="1:29" ht="18" customHeight="1" hidden="1">
      <c r="A351" s="644" t="s">
        <v>737</v>
      </c>
      <c r="B351" s="621"/>
      <c r="C351" s="621"/>
      <c r="D351" s="621"/>
      <c r="E351" s="621"/>
      <c r="F351" s="621"/>
      <c r="G351" s="621"/>
      <c r="H351" s="621"/>
      <c r="I351" s="621"/>
      <c r="J351" s="621"/>
      <c r="K351" s="621"/>
      <c r="L351" s="621"/>
      <c r="M351" s="621"/>
      <c r="N351" s="621"/>
      <c r="O351" s="621"/>
      <c r="P351" s="621"/>
      <c r="Q351" s="621"/>
      <c r="R351" s="621"/>
      <c r="S351" s="621"/>
      <c r="T351" s="621"/>
      <c r="U351" s="621"/>
      <c r="V351" s="621"/>
      <c r="W351" s="621"/>
      <c r="X351" s="621"/>
      <c r="Y351" s="628">
        <f t="shared" si="8"/>
        <v>0</v>
      </c>
      <c r="Z351" s="581"/>
      <c r="AA351" s="581"/>
      <c r="AB351" s="592"/>
      <c r="AC351" s="592"/>
    </row>
    <row r="352" spans="1:29" s="539" customFormat="1" ht="18" customHeight="1" hidden="1">
      <c r="A352" s="644" t="s">
        <v>738</v>
      </c>
      <c r="B352" s="621"/>
      <c r="C352" s="621"/>
      <c r="D352" s="621"/>
      <c r="E352" s="621"/>
      <c r="F352" s="621"/>
      <c r="G352" s="621"/>
      <c r="H352" s="621"/>
      <c r="I352" s="621"/>
      <c r="J352" s="621"/>
      <c r="K352" s="621"/>
      <c r="L352" s="621"/>
      <c r="M352" s="621"/>
      <c r="N352" s="621"/>
      <c r="O352" s="621"/>
      <c r="P352" s="621"/>
      <c r="Q352" s="621"/>
      <c r="R352" s="621"/>
      <c r="S352" s="621"/>
      <c r="T352" s="621"/>
      <c r="U352" s="621"/>
      <c r="V352" s="621"/>
      <c r="W352" s="621"/>
      <c r="X352" s="621"/>
      <c r="Y352" s="628">
        <f t="shared" si="8"/>
        <v>0</v>
      </c>
      <c r="Z352" s="581"/>
      <c r="AA352" s="581"/>
      <c r="AB352" s="592"/>
      <c r="AC352" s="645"/>
    </row>
    <row r="353" spans="1:29" s="539" customFormat="1" ht="18" customHeight="1" hidden="1">
      <c r="A353" s="644" t="s">
        <v>739</v>
      </c>
      <c r="B353" s="621"/>
      <c r="C353" s="621"/>
      <c r="D353" s="621"/>
      <c r="E353" s="621"/>
      <c r="F353" s="621"/>
      <c r="G353" s="621"/>
      <c r="H353" s="621"/>
      <c r="I353" s="621"/>
      <c r="J353" s="621"/>
      <c r="K353" s="621"/>
      <c r="L353" s="621"/>
      <c r="M353" s="621"/>
      <c r="N353" s="621"/>
      <c r="O353" s="621"/>
      <c r="P353" s="621"/>
      <c r="Q353" s="621"/>
      <c r="R353" s="621"/>
      <c r="S353" s="621"/>
      <c r="T353" s="621"/>
      <c r="U353" s="621"/>
      <c r="V353" s="621"/>
      <c r="W353" s="621"/>
      <c r="X353" s="621"/>
      <c r="Y353" s="628">
        <f t="shared" si="8"/>
        <v>0</v>
      </c>
      <c r="Z353" s="581"/>
      <c r="AA353" s="581"/>
      <c r="AB353" s="592"/>
      <c r="AC353" s="645"/>
    </row>
    <row r="354" spans="1:29" s="539" customFormat="1" ht="18" customHeight="1" hidden="1">
      <c r="A354" s="644" t="s">
        <v>740</v>
      </c>
      <c r="B354" s="621"/>
      <c r="C354" s="621"/>
      <c r="D354" s="621"/>
      <c r="E354" s="621"/>
      <c r="F354" s="621"/>
      <c r="G354" s="621"/>
      <c r="H354" s="621"/>
      <c r="I354" s="621"/>
      <c r="J354" s="621"/>
      <c r="K354" s="621"/>
      <c r="L354" s="621"/>
      <c r="M354" s="621"/>
      <c r="N354" s="621"/>
      <c r="O354" s="621"/>
      <c r="P354" s="621"/>
      <c r="Q354" s="621"/>
      <c r="R354" s="621"/>
      <c r="S354" s="621"/>
      <c r="T354" s="621"/>
      <c r="U354" s="621"/>
      <c r="V354" s="621"/>
      <c r="W354" s="621"/>
      <c r="X354" s="621"/>
      <c r="Y354" s="628">
        <f t="shared" si="8"/>
        <v>0</v>
      </c>
      <c r="Z354" s="581"/>
      <c r="AA354" s="581"/>
      <c r="AB354" s="592"/>
      <c r="AC354" s="645"/>
    </row>
    <row r="355" spans="1:29" s="539" customFormat="1" ht="18" customHeight="1" hidden="1">
      <c r="A355" s="644" t="s">
        <v>741</v>
      </c>
      <c r="B355" s="621"/>
      <c r="C355" s="621"/>
      <c r="D355" s="621"/>
      <c r="E355" s="621"/>
      <c r="F355" s="621"/>
      <c r="G355" s="621"/>
      <c r="H355" s="621"/>
      <c r="I355" s="621"/>
      <c r="J355" s="621"/>
      <c r="K355" s="621"/>
      <c r="L355" s="621"/>
      <c r="M355" s="621"/>
      <c r="N355" s="621"/>
      <c r="O355" s="621"/>
      <c r="P355" s="621"/>
      <c r="Q355" s="621"/>
      <c r="R355" s="621"/>
      <c r="S355" s="621"/>
      <c r="T355" s="621"/>
      <c r="U355" s="621"/>
      <c r="V355" s="621"/>
      <c r="W355" s="621"/>
      <c r="X355" s="621"/>
      <c r="Y355" s="628">
        <f t="shared" si="8"/>
        <v>0</v>
      </c>
      <c r="Z355" s="581"/>
      <c r="AA355" s="581"/>
      <c r="AB355" s="592"/>
      <c r="AC355" s="645"/>
    </row>
    <row r="356" spans="1:29" s="539" customFormat="1" ht="18" customHeight="1" hidden="1">
      <c r="A356" s="644" t="s">
        <v>742</v>
      </c>
      <c r="B356" s="621"/>
      <c r="C356" s="621"/>
      <c r="D356" s="621"/>
      <c r="E356" s="621"/>
      <c r="F356" s="621"/>
      <c r="G356" s="621"/>
      <c r="H356" s="621"/>
      <c r="I356" s="621"/>
      <c r="J356" s="621"/>
      <c r="K356" s="621"/>
      <c r="L356" s="621"/>
      <c r="M356" s="621"/>
      <c r="N356" s="621"/>
      <c r="O356" s="621"/>
      <c r="P356" s="621"/>
      <c r="Q356" s="621"/>
      <c r="R356" s="621"/>
      <c r="S356" s="621"/>
      <c r="T356" s="621"/>
      <c r="U356" s="621"/>
      <c r="V356" s="621"/>
      <c r="W356" s="621"/>
      <c r="X356" s="621"/>
      <c r="Y356" s="628">
        <f t="shared" si="8"/>
        <v>0</v>
      </c>
      <c r="Z356" s="581"/>
      <c r="AA356" s="581"/>
      <c r="AB356" s="592"/>
      <c r="AC356" s="645"/>
    </row>
    <row r="357" spans="1:29" ht="19.5" customHeight="1" hidden="1">
      <c r="A357" s="644" t="s">
        <v>746</v>
      </c>
      <c r="B357" s="621"/>
      <c r="C357" s="621"/>
      <c r="D357" s="621"/>
      <c r="E357" s="621"/>
      <c r="F357" s="621"/>
      <c r="G357" s="621"/>
      <c r="H357" s="621"/>
      <c r="I357" s="621"/>
      <c r="J357" s="621"/>
      <c r="K357" s="621"/>
      <c r="L357" s="621"/>
      <c r="M357" s="621"/>
      <c r="N357" s="621"/>
      <c r="O357" s="621"/>
      <c r="P357" s="621"/>
      <c r="Q357" s="621"/>
      <c r="R357" s="621"/>
      <c r="S357" s="621"/>
      <c r="T357" s="621"/>
      <c r="U357" s="621"/>
      <c r="V357" s="621"/>
      <c r="W357" s="621"/>
      <c r="X357" s="621"/>
      <c r="Y357" s="628">
        <f t="shared" si="8"/>
        <v>0</v>
      </c>
      <c r="Z357" s="581"/>
      <c r="AA357" s="581"/>
      <c r="AB357" s="592"/>
      <c r="AC357" s="592"/>
    </row>
    <row r="358" spans="1:29" ht="19.5" customHeight="1" hidden="1">
      <c r="A358" s="644" t="s">
        <v>747</v>
      </c>
      <c r="B358" s="621"/>
      <c r="C358" s="621"/>
      <c r="D358" s="621"/>
      <c r="E358" s="621"/>
      <c r="F358" s="621"/>
      <c r="G358" s="621"/>
      <c r="H358" s="621"/>
      <c r="I358" s="621"/>
      <c r="J358" s="621"/>
      <c r="K358" s="621"/>
      <c r="L358" s="621"/>
      <c r="M358" s="621"/>
      <c r="N358" s="621"/>
      <c r="O358" s="621"/>
      <c r="P358" s="621"/>
      <c r="Q358" s="621"/>
      <c r="R358" s="621"/>
      <c r="S358" s="621"/>
      <c r="T358" s="621"/>
      <c r="U358" s="621"/>
      <c r="V358" s="621"/>
      <c r="W358" s="621"/>
      <c r="X358" s="621"/>
      <c r="Y358" s="628">
        <f t="shared" si="8"/>
        <v>0</v>
      </c>
      <c r="Z358" s="581"/>
      <c r="AA358" s="581"/>
      <c r="AB358" s="592"/>
      <c r="AC358" s="592"/>
    </row>
    <row r="359" spans="1:29" ht="19.5" customHeight="1" hidden="1">
      <c r="A359" s="644" t="s">
        <v>749</v>
      </c>
      <c r="B359" s="621"/>
      <c r="C359" s="621"/>
      <c r="D359" s="621"/>
      <c r="E359" s="621"/>
      <c r="F359" s="621"/>
      <c r="G359" s="621"/>
      <c r="H359" s="621"/>
      <c r="I359" s="621"/>
      <c r="J359" s="621"/>
      <c r="K359" s="621"/>
      <c r="L359" s="621"/>
      <c r="M359" s="621"/>
      <c r="N359" s="621"/>
      <c r="O359" s="621"/>
      <c r="P359" s="621"/>
      <c r="Q359" s="621"/>
      <c r="R359" s="621"/>
      <c r="S359" s="621"/>
      <c r="T359" s="621"/>
      <c r="U359" s="621"/>
      <c r="V359" s="621"/>
      <c r="W359" s="621"/>
      <c r="X359" s="621"/>
      <c r="Y359" s="628">
        <f t="shared" si="8"/>
        <v>0</v>
      </c>
      <c r="Z359" s="581"/>
      <c r="AA359" s="581"/>
      <c r="AB359" s="592"/>
      <c r="AC359" s="592"/>
    </row>
    <row r="360" spans="1:29" ht="19.5" customHeight="1" hidden="1">
      <c r="A360" s="644" t="s">
        <v>750</v>
      </c>
      <c r="B360" s="621"/>
      <c r="C360" s="621"/>
      <c r="D360" s="621"/>
      <c r="E360" s="621"/>
      <c r="F360" s="621"/>
      <c r="G360" s="621"/>
      <c r="H360" s="621"/>
      <c r="I360" s="621"/>
      <c r="J360" s="621"/>
      <c r="K360" s="621"/>
      <c r="L360" s="621"/>
      <c r="M360" s="621"/>
      <c r="N360" s="621"/>
      <c r="O360" s="621"/>
      <c r="P360" s="621"/>
      <c r="Q360" s="621"/>
      <c r="R360" s="621"/>
      <c r="S360" s="621"/>
      <c r="T360" s="621"/>
      <c r="U360" s="621"/>
      <c r="V360" s="621"/>
      <c r="W360" s="621"/>
      <c r="X360" s="621"/>
      <c r="Y360" s="628">
        <f t="shared" si="8"/>
        <v>0</v>
      </c>
      <c r="Z360" s="581"/>
      <c r="AA360" s="581"/>
      <c r="AB360" s="592"/>
      <c r="AC360" s="592"/>
    </row>
    <row r="361" spans="1:29" ht="19.5" customHeight="1" hidden="1">
      <c r="A361" s="644" t="s">
        <v>751</v>
      </c>
      <c r="B361" s="621"/>
      <c r="C361" s="621"/>
      <c r="D361" s="621"/>
      <c r="E361" s="621"/>
      <c r="F361" s="621"/>
      <c r="G361" s="621"/>
      <c r="H361" s="621"/>
      <c r="I361" s="621"/>
      <c r="J361" s="621"/>
      <c r="K361" s="621"/>
      <c r="L361" s="621"/>
      <c r="M361" s="621"/>
      <c r="N361" s="621"/>
      <c r="O361" s="621"/>
      <c r="P361" s="621"/>
      <c r="Q361" s="621"/>
      <c r="R361" s="621"/>
      <c r="S361" s="621"/>
      <c r="T361" s="621"/>
      <c r="U361" s="621"/>
      <c r="V361" s="621"/>
      <c r="W361" s="621"/>
      <c r="X361" s="621"/>
      <c r="Y361" s="628">
        <f t="shared" si="8"/>
        <v>0</v>
      </c>
      <c r="Z361" s="581"/>
      <c r="AA361" s="581"/>
      <c r="AB361" s="592"/>
      <c r="AC361" s="592"/>
    </row>
    <row r="362" spans="1:29" ht="19.5" customHeight="1" hidden="1">
      <c r="A362" s="644" t="s">
        <v>7</v>
      </c>
      <c r="B362" s="621"/>
      <c r="C362" s="621"/>
      <c r="D362" s="621"/>
      <c r="E362" s="621"/>
      <c r="F362" s="621"/>
      <c r="G362" s="621"/>
      <c r="H362" s="621"/>
      <c r="I362" s="621"/>
      <c r="J362" s="621"/>
      <c r="K362" s="621"/>
      <c r="L362" s="621"/>
      <c r="M362" s="621"/>
      <c r="N362" s="621"/>
      <c r="O362" s="621"/>
      <c r="P362" s="621"/>
      <c r="Q362" s="621"/>
      <c r="R362" s="621"/>
      <c r="S362" s="621"/>
      <c r="T362" s="621"/>
      <c r="U362" s="621"/>
      <c r="V362" s="621"/>
      <c r="W362" s="621"/>
      <c r="X362" s="621"/>
      <c r="Y362" s="628">
        <f t="shared" si="8"/>
        <v>0</v>
      </c>
      <c r="Z362" s="581"/>
      <c r="AA362" s="581"/>
      <c r="AB362" s="592"/>
      <c r="AC362" s="592"/>
    </row>
    <row r="363" spans="1:29" ht="19.5" customHeight="1" hidden="1">
      <c r="A363" s="644" t="s">
        <v>8</v>
      </c>
      <c r="B363" s="621"/>
      <c r="C363" s="621"/>
      <c r="D363" s="621"/>
      <c r="E363" s="621"/>
      <c r="F363" s="621"/>
      <c r="G363" s="621"/>
      <c r="H363" s="621"/>
      <c r="I363" s="621"/>
      <c r="J363" s="621"/>
      <c r="K363" s="621"/>
      <c r="L363" s="621"/>
      <c r="M363" s="621"/>
      <c r="N363" s="621"/>
      <c r="O363" s="621"/>
      <c r="P363" s="621"/>
      <c r="Q363" s="621"/>
      <c r="R363" s="621"/>
      <c r="S363" s="621"/>
      <c r="T363" s="621"/>
      <c r="U363" s="621"/>
      <c r="V363" s="621"/>
      <c r="W363" s="621"/>
      <c r="X363" s="621"/>
      <c r="Y363" s="628">
        <f t="shared" si="8"/>
        <v>0</v>
      </c>
      <c r="Z363" s="581"/>
      <c r="AA363" s="581"/>
      <c r="AB363" s="592"/>
      <c r="AC363" s="592"/>
    </row>
    <row r="364" spans="1:29" s="539" customFormat="1" ht="19.5" customHeight="1" hidden="1">
      <c r="A364" s="644" t="s">
        <v>78</v>
      </c>
      <c r="B364" s="621"/>
      <c r="C364" s="621"/>
      <c r="D364" s="621"/>
      <c r="E364" s="621"/>
      <c r="F364" s="621"/>
      <c r="G364" s="621"/>
      <c r="H364" s="621"/>
      <c r="I364" s="621"/>
      <c r="J364" s="621"/>
      <c r="K364" s="621"/>
      <c r="L364" s="621"/>
      <c r="M364" s="621"/>
      <c r="N364" s="621"/>
      <c r="O364" s="621"/>
      <c r="P364" s="621"/>
      <c r="Q364" s="621"/>
      <c r="R364" s="621"/>
      <c r="S364" s="621"/>
      <c r="T364" s="621"/>
      <c r="U364" s="621"/>
      <c r="V364" s="621"/>
      <c r="W364" s="621"/>
      <c r="X364" s="621"/>
      <c r="Y364" s="628">
        <f t="shared" si="8"/>
        <v>0</v>
      </c>
      <c r="Z364" s="581"/>
      <c r="AA364" s="581"/>
      <c r="AB364" s="592"/>
      <c r="AC364" s="645"/>
    </row>
    <row r="365" spans="1:29" s="478" customFormat="1" ht="19.5" customHeight="1" hidden="1">
      <c r="A365" s="646" t="s">
        <v>767</v>
      </c>
      <c r="B365" s="621"/>
      <c r="C365" s="621"/>
      <c r="D365" s="621"/>
      <c r="E365" s="621"/>
      <c r="F365" s="621"/>
      <c r="G365" s="621"/>
      <c r="H365" s="621"/>
      <c r="I365" s="621"/>
      <c r="J365" s="621"/>
      <c r="K365" s="621"/>
      <c r="L365" s="621"/>
      <c r="M365" s="621"/>
      <c r="N365" s="621"/>
      <c r="O365" s="621"/>
      <c r="P365" s="621"/>
      <c r="Q365" s="621"/>
      <c r="R365" s="621"/>
      <c r="S365" s="621"/>
      <c r="T365" s="621"/>
      <c r="U365" s="621"/>
      <c r="V365" s="621"/>
      <c r="W365" s="621"/>
      <c r="X365" s="621"/>
      <c r="Y365" s="628">
        <f t="shared" si="8"/>
        <v>0</v>
      </c>
      <c r="Z365" s="581"/>
      <c r="AA365" s="581"/>
      <c r="AB365" s="584"/>
      <c r="AC365" s="584"/>
    </row>
    <row r="366" spans="1:29" s="539" customFormat="1" ht="19.5" customHeight="1" hidden="1">
      <c r="A366" s="644" t="s">
        <v>79</v>
      </c>
      <c r="B366" s="621"/>
      <c r="C366" s="621"/>
      <c r="D366" s="621"/>
      <c r="E366" s="621"/>
      <c r="F366" s="621"/>
      <c r="G366" s="621"/>
      <c r="H366" s="621"/>
      <c r="I366" s="621"/>
      <c r="J366" s="621"/>
      <c r="K366" s="621"/>
      <c r="L366" s="621"/>
      <c r="M366" s="621"/>
      <c r="N366" s="621"/>
      <c r="O366" s="621"/>
      <c r="P366" s="621"/>
      <c r="Q366" s="621"/>
      <c r="R366" s="621"/>
      <c r="S366" s="621"/>
      <c r="T366" s="621"/>
      <c r="U366" s="621"/>
      <c r="V366" s="621"/>
      <c r="W366" s="621"/>
      <c r="X366" s="621"/>
      <c r="Y366" s="628">
        <f t="shared" si="8"/>
        <v>0</v>
      </c>
      <c r="Z366" s="581"/>
      <c r="AA366" s="581"/>
      <c r="AB366" s="592"/>
      <c r="AC366" s="645"/>
    </row>
    <row r="367" spans="1:29" ht="19.5" customHeight="1" hidden="1">
      <c r="A367" s="644" t="s">
        <v>768</v>
      </c>
      <c r="B367" s="621"/>
      <c r="C367" s="621"/>
      <c r="D367" s="621"/>
      <c r="E367" s="621"/>
      <c r="F367" s="621"/>
      <c r="G367" s="621"/>
      <c r="H367" s="621"/>
      <c r="I367" s="621"/>
      <c r="J367" s="621"/>
      <c r="K367" s="621"/>
      <c r="L367" s="621"/>
      <c r="M367" s="621"/>
      <c r="N367" s="621"/>
      <c r="O367" s="621"/>
      <c r="P367" s="621"/>
      <c r="Q367" s="621"/>
      <c r="R367" s="621"/>
      <c r="S367" s="621"/>
      <c r="T367" s="621"/>
      <c r="U367" s="621"/>
      <c r="V367" s="621"/>
      <c r="W367" s="621"/>
      <c r="X367" s="621"/>
      <c r="Y367" s="628">
        <f t="shared" si="8"/>
        <v>0</v>
      </c>
      <c r="Z367" s="581"/>
      <c r="AA367" s="581"/>
      <c r="AB367" s="592"/>
      <c r="AC367" s="592"/>
    </row>
    <row r="368" spans="1:29" s="478" customFormat="1" ht="19.5" customHeight="1" hidden="1">
      <c r="A368" s="646" t="s">
        <v>80</v>
      </c>
      <c r="B368" s="621"/>
      <c r="C368" s="621"/>
      <c r="D368" s="621"/>
      <c r="E368" s="621"/>
      <c r="F368" s="621"/>
      <c r="G368" s="621"/>
      <c r="H368" s="621"/>
      <c r="I368" s="621"/>
      <c r="J368" s="621"/>
      <c r="K368" s="621"/>
      <c r="L368" s="621"/>
      <c r="M368" s="621"/>
      <c r="N368" s="621"/>
      <c r="O368" s="621"/>
      <c r="P368" s="621"/>
      <c r="Q368" s="621"/>
      <c r="R368" s="621"/>
      <c r="S368" s="621"/>
      <c r="T368" s="621"/>
      <c r="U368" s="621"/>
      <c r="V368" s="621"/>
      <c r="W368" s="621"/>
      <c r="X368" s="621"/>
      <c r="Y368" s="628">
        <f t="shared" si="8"/>
        <v>0</v>
      </c>
      <c r="Z368" s="581"/>
      <c r="AA368" s="581"/>
      <c r="AB368" s="584"/>
      <c r="AC368" s="584"/>
    </row>
    <row r="369" spans="1:29" ht="19.5" customHeight="1" hidden="1" thickBot="1">
      <c r="A369" s="646" t="s">
        <v>313</v>
      </c>
      <c r="B369" s="621"/>
      <c r="C369" s="621"/>
      <c r="D369" s="621"/>
      <c r="E369" s="621"/>
      <c r="F369" s="621"/>
      <c r="G369" s="621"/>
      <c r="H369" s="621"/>
      <c r="I369" s="621"/>
      <c r="J369" s="621"/>
      <c r="K369" s="621"/>
      <c r="L369" s="621"/>
      <c r="M369" s="621"/>
      <c r="N369" s="621"/>
      <c r="O369" s="621"/>
      <c r="P369" s="621"/>
      <c r="Q369" s="621"/>
      <c r="R369" s="621"/>
      <c r="S369" s="621"/>
      <c r="T369" s="621"/>
      <c r="U369" s="621"/>
      <c r="V369" s="621"/>
      <c r="W369" s="621"/>
      <c r="X369" s="621"/>
      <c r="Y369" s="628">
        <f t="shared" si="8"/>
        <v>0</v>
      </c>
      <c r="Z369" s="581"/>
      <c r="AA369" s="581"/>
      <c r="AB369" s="592"/>
      <c r="AC369" s="592"/>
    </row>
    <row r="370" spans="1:29" s="635" customFormat="1" ht="26.25" hidden="1" thickBot="1">
      <c r="A370" s="647" t="s">
        <v>314</v>
      </c>
      <c r="B370" s="390"/>
      <c r="C370" s="390"/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0"/>
      <c r="U370" s="390"/>
      <c r="V370" s="390"/>
      <c r="W370" s="390"/>
      <c r="X370" s="390"/>
      <c r="Y370" s="628">
        <f t="shared" si="8"/>
        <v>0</v>
      </c>
      <c r="Z370" s="588"/>
      <c r="AA370" s="588"/>
      <c r="AB370" s="634"/>
      <c r="AC370" s="634"/>
    </row>
    <row r="371" spans="1:29" ht="26.25" hidden="1" thickBot="1">
      <c r="A371" s="622" t="s">
        <v>763</v>
      </c>
      <c r="B371" s="648"/>
      <c r="C371" s="648"/>
      <c r="D371" s="648"/>
      <c r="E371" s="648"/>
      <c r="F371" s="648"/>
      <c r="G371" s="648"/>
      <c r="H371" s="648"/>
      <c r="I371" s="648"/>
      <c r="J371" s="648"/>
      <c r="K371" s="648"/>
      <c r="L371" s="648"/>
      <c r="M371" s="648"/>
      <c r="N371" s="648"/>
      <c r="O371" s="648"/>
      <c r="P371" s="648"/>
      <c r="Q371" s="648"/>
      <c r="R371" s="648"/>
      <c r="S371" s="648"/>
      <c r="T371" s="648"/>
      <c r="U371" s="648"/>
      <c r="V371" s="648"/>
      <c r="W371" s="648"/>
      <c r="X371" s="648"/>
      <c r="Y371" s="628">
        <f t="shared" si="8"/>
        <v>0</v>
      </c>
      <c r="Z371" s="649"/>
      <c r="AA371" s="650"/>
      <c r="AB371" s="592"/>
      <c r="AC371" s="592"/>
    </row>
    <row r="372" spans="1:29" ht="26.25" hidden="1" thickBot="1">
      <c r="A372" s="637" t="s">
        <v>762</v>
      </c>
      <c r="B372" s="621"/>
      <c r="C372" s="621"/>
      <c r="D372" s="621"/>
      <c r="E372" s="621"/>
      <c r="F372" s="621"/>
      <c r="G372" s="621"/>
      <c r="H372" s="621"/>
      <c r="I372" s="621"/>
      <c r="J372" s="621"/>
      <c r="K372" s="621"/>
      <c r="L372" s="621"/>
      <c r="M372" s="621"/>
      <c r="N372" s="621"/>
      <c r="O372" s="621"/>
      <c r="P372" s="621"/>
      <c r="Q372" s="621"/>
      <c r="R372" s="621"/>
      <c r="S372" s="621"/>
      <c r="T372" s="621"/>
      <c r="U372" s="621"/>
      <c r="V372" s="621"/>
      <c r="W372" s="621"/>
      <c r="X372" s="621"/>
      <c r="Y372" s="628">
        <f t="shared" si="8"/>
        <v>0</v>
      </c>
      <c r="Z372" s="581"/>
      <c r="AA372" s="581"/>
      <c r="AB372" s="592"/>
      <c r="AC372" s="592"/>
    </row>
    <row r="373" spans="1:29" ht="19.5" customHeight="1" hidden="1">
      <c r="A373" s="637" t="s">
        <v>64</v>
      </c>
      <c r="B373" s="621"/>
      <c r="C373" s="621"/>
      <c r="D373" s="621"/>
      <c r="E373" s="621"/>
      <c r="F373" s="621"/>
      <c r="G373" s="621"/>
      <c r="H373" s="621"/>
      <c r="I373" s="621"/>
      <c r="J373" s="621"/>
      <c r="K373" s="621"/>
      <c r="L373" s="621"/>
      <c r="M373" s="621"/>
      <c r="N373" s="621"/>
      <c r="O373" s="621"/>
      <c r="P373" s="621"/>
      <c r="Q373" s="621"/>
      <c r="R373" s="621"/>
      <c r="S373" s="621"/>
      <c r="T373" s="621"/>
      <c r="U373" s="621"/>
      <c r="V373" s="621"/>
      <c r="W373" s="621"/>
      <c r="X373" s="621"/>
      <c r="Y373" s="628">
        <f t="shared" si="8"/>
        <v>0</v>
      </c>
      <c r="Z373" s="581"/>
      <c r="AA373" s="581"/>
      <c r="AB373" s="592"/>
      <c r="AC373" s="592"/>
    </row>
    <row r="374" spans="1:29" ht="19.5" customHeight="1" hidden="1" thickBot="1">
      <c r="A374" s="637" t="s">
        <v>21</v>
      </c>
      <c r="B374" s="621"/>
      <c r="C374" s="621"/>
      <c r="D374" s="621"/>
      <c r="E374" s="621"/>
      <c r="F374" s="621"/>
      <c r="G374" s="621"/>
      <c r="H374" s="621"/>
      <c r="I374" s="621"/>
      <c r="J374" s="621"/>
      <c r="K374" s="621"/>
      <c r="L374" s="621"/>
      <c r="M374" s="621"/>
      <c r="N374" s="621"/>
      <c r="O374" s="621"/>
      <c r="P374" s="621"/>
      <c r="Q374" s="621"/>
      <c r="R374" s="621"/>
      <c r="S374" s="621"/>
      <c r="T374" s="621"/>
      <c r="U374" s="621"/>
      <c r="V374" s="621"/>
      <c r="W374" s="621"/>
      <c r="X374" s="621"/>
      <c r="Y374" s="628">
        <f t="shared" si="8"/>
        <v>0</v>
      </c>
      <c r="Z374" s="581"/>
      <c r="AA374" s="581"/>
      <c r="AB374" s="592"/>
      <c r="AC374" s="592"/>
    </row>
    <row r="375" spans="1:29" ht="28.5" customHeight="1" hidden="1" thickBot="1">
      <c r="A375" s="651" t="s">
        <v>410</v>
      </c>
      <c r="B375" s="390"/>
      <c r="C375" s="390"/>
      <c r="D375" s="390"/>
      <c r="E375" s="390"/>
      <c r="F375" s="390"/>
      <c r="G375" s="390"/>
      <c r="H375" s="390"/>
      <c r="I375" s="390"/>
      <c r="J375" s="390"/>
      <c r="K375" s="390"/>
      <c r="L375" s="390"/>
      <c r="M375" s="390"/>
      <c r="N375" s="390"/>
      <c r="O375" s="390"/>
      <c r="P375" s="390"/>
      <c r="Q375" s="390"/>
      <c r="R375" s="390"/>
      <c r="S375" s="390"/>
      <c r="T375" s="390"/>
      <c r="U375" s="390"/>
      <c r="V375" s="390"/>
      <c r="W375" s="390"/>
      <c r="X375" s="390"/>
      <c r="Y375" s="628">
        <f t="shared" si="8"/>
        <v>0</v>
      </c>
      <c r="Z375" s="581"/>
      <c r="AA375" s="581"/>
      <c r="AB375" s="592"/>
      <c r="AC375" s="592"/>
    </row>
    <row r="376" spans="1:29" ht="19.5" customHeight="1" hidden="1">
      <c r="A376" s="615" t="s">
        <v>315</v>
      </c>
      <c r="B376" s="623"/>
      <c r="C376" s="623"/>
      <c r="D376" s="623"/>
      <c r="E376" s="623"/>
      <c r="F376" s="623"/>
      <c r="G376" s="623"/>
      <c r="H376" s="623"/>
      <c r="I376" s="623"/>
      <c r="J376" s="623"/>
      <c r="K376" s="623"/>
      <c r="L376" s="623"/>
      <c r="M376" s="623"/>
      <c r="N376" s="623"/>
      <c r="O376" s="623"/>
      <c r="P376" s="623"/>
      <c r="Q376" s="623"/>
      <c r="R376" s="623"/>
      <c r="S376" s="623"/>
      <c r="T376" s="623"/>
      <c r="U376" s="623"/>
      <c r="V376" s="623"/>
      <c r="W376" s="623"/>
      <c r="X376" s="623"/>
      <c r="Y376" s="628">
        <f aca="true" t="shared" si="10" ref="Y376:Y446">SUM(B376:X376)</f>
        <v>0</v>
      </c>
      <c r="Z376" s="581"/>
      <c r="AA376" s="581"/>
      <c r="AB376" s="592"/>
      <c r="AC376" s="592"/>
    </row>
    <row r="377" spans="1:29" ht="19.5" customHeight="1" hidden="1">
      <c r="A377" s="639" t="s">
        <v>316</v>
      </c>
      <c r="B377" s="621"/>
      <c r="C377" s="621"/>
      <c r="D377" s="621"/>
      <c r="E377" s="621"/>
      <c r="F377" s="621"/>
      <c r="G377" s="621"/>
      <c r="H377" s="621"/>
      <c r="I377" s="621"/>
      <c r="J377" s="621"/>
      <c r="K377" s="621"/>
      <c r="L377" s="621"/>
      <c r="M377" s="621"/>
      <c r="N377" s="621"/>
      <c r="O377" s="621"/>
      <c r="P377" s="621"/>
      <c r="Q377" s="621"/>
      <c r="R377" s="621"/>
      <c r="S377" s="621"/>
      <c r="T377" s="621"/>
      <c r="U377" s="621"/>
      <c r="V377" s="621"/>
      <c r="W377" s="621"/>
      <c r="X377" s="621"/>
      <c r="Y377" s="628">
        <f t="shared" si="10"/>
        <v>0</v>
      </c>
      <c r="Z377" s="581"/>
      <c r="AA377" s="581"/>
      <c r="AB377" s="592"/>
      <c r="AC377" s="592"/>
    </row>
    <row r="378" spans="1:29" ht="19.5" customHeight="1" hidden="1">
      <c r="A378" s="639" t="s">
        <v>317</v>
      </c>
      <c r="B378" s="621"/>
      <c r="C378" s="621"/>
      <c r="D378" s="621"/>
      <c r="E378" s="621"/>
      <c r="F378" s="621"/>
      <c r="G378" s="621"/>
      <c r="H378" s="621"/>
      <c r="I378" s="621"/>
      <c r="J378" s="621"/>
      <c r="K378" s="621"/>
      <c r="L378" s="621"/>
      <c r="M378" s="621"/>
      <c r="N378" s="621"/>
      <c r="O378" s="621"/>
      <c r="P378" s="621"/>
      <c r="Q378" s="621"/>
      <c r="R378" s="621"/>
      <c r="S378" s="621"/>
      <c r="T378" s="621"/>
      <c r="U378" s="621"/>
      <c r="V378" s="621"/>
      <c r="W378" s="621"/>
      <c r="X378" s="621"/>
      <c r="Y378" s="628">
        <f t="shared" si="10"/>
        <v>0</v>
      </c>
      <c r="Z378" s="581"/>
      <c r="AA378" s="581"/>
      <c r="AB378" s="592"/>
      <c r="AC378" s="592"/>
    </row>
    <row r="379" spans="1:29" ht="19.5" customHeight="1" hidden="1">
      <c r="A379" s="639" t="s">
        <v>318</v>
      </c>
      <c r="B379" s="621"/>
      <c r="C379" s="621"/>
      <c r="D379" s="621"/>
      <c r="E379" s="621"/>
      <c r="F379" s="621"/>
      <c r="G379" s="621"/>
      <c r="H379" s="621"/>
      <c r="I379" s="621"/>
      <c r="J379" s="621"/>
      <c r="K379" s="621"/>
      <c r="L379" s="621"/>
      <c r="M379" s="621"/>
      <c r="N379" s="621"/>
      <c r="O379" s="621"/>
      <c r="P379" s="621"/>
      <c r="Q379" s="621"/>
      <c r="R379" s="621"/>
      <c r="S379" s="621"/>
      <c r="T379" s="621"/>
      <c r="U379" s="621"/>
      <c r="V379" s="621"/>
      <c r="W379" s="621"/>
      <c r="X379" s="621"/>
      <c r="Y379" s="628">
        <f t="shared" si="10"/>
        <v>0</v>
      </c>
      <c r="Z379" s="581"/>
      <c r="AA379" s="581"/>
      <c r="AB379" s="592"/>
      <c r="AC379" s="592"/>
    </row>
    <row r="380" spans="1:29" ht="19.5" customHeight="1" hidden="1">
      <c r="A380" s="639" t="s">
        <v>319</v>
      </c>
      <c r="B380" s="621"/>
      <c r="C380" s="621"/>
      <c r="D380" s="621"/>
      <c r="E380" s="621"/>
      <c r="F380" s="621"/>
      <c r="G380" s="621"/>
      <c r="H380" s="621"/>
      <c r="I380" s="621"/>
      <c r="J380" s="621"/>
      <c r="K380" s="621"/>
      <c r="L380" s="621"/>
      <c r="M380" s="621"/>
      <c r="N380" s="621"/>
      <c r="O380" s="621"/>
      <c r="P380" s="621"/>
      <c r="Q380" s="621"/>
      <c r="R380" s="621"/>
      <c r="S380" s="621"/>
      <c r="T380" s="621"/>
      <c r="U380" s="621"/>
      <c r="V380" s="621"/>
      <c r="W380" s="621"/>
      <c r="X380" s="621"/>
      <c r="Y380" s="628">
        <f t="shared" si="10"/>
        <v>0</v>
      </c>
      <c r="Z380" s="581"/>
      <c r="AA380" s="581"/>
      <c r="AB380" s="592"/>
      <c r="AC380" s="592"/>
    </row>
    <row r="381" spans="1:29" ht="19.5" customHeight="1" hidden="1" thickBot="1">
      <c r="A381" s="639" t="s">
        <v>320</v>
      </c>
      <c r="B381" s="621"/>
      <c r="C381" s="621"/>
      <c r="D381" s="621"/>
      <c r="E381" s="621"/>
      <c r="F381" s="621"/>
      <c r="G381" s="621"/>
      <c r="H381" s="621"/>
      <c r="I381" s="621"/>
      <c r="J381" s="621"/>
      <c r="K381" s="621"/>
      <c r="L381" s="621"/>
      <c r="M381" s="621"/>
      <c r="N381" s="621"/>
      <c r="O381" s="621"/>
      <c r="P381" s="621"/>
      <c r="Q381" s="621"/>
      <c r="R381" s="621"/>
      <c r="S381" s="621"/>
      <c r="T381" s="621"/>
      <c r="U381" s="621"/>
      <c r="V381" s="621"/>
      <c r="W381" s="621"/>
      <c r="X381" s="621"/>
      <c r="Y381" s="628">
        <f t="shared" si="10"/>
        <v>0</v>
      </c>
      <c r="Z381" s="581"/>
      <c r="AA381" s="581"/>
      <c r="AB381" s="592"/>
      <c r="AC381" s="592"/>
    </row>
    <row r="382" spans="1:27" s="388" customFormat="1" ht="19.5" customHeight="1" hidden="1" thickBot="1">
      <c r="A382" s="593" t="s">
        <v>321</v>
      </c>
      <c r="B382" s="390"/>
      <c r="C382" s="390"/>
      <c r="D382" s="390"/>
      <c r="E382" s="390"/>
      <c r="F382" s="390"/>
      <c r="G382" s="390"/>
      <c r="H382" s="390"/>
      <c r="I382" s="390"/>
      <c r="J382" s="390"/>
      <c r="K382" s="390"/>
      <c r="L382" s="390"/>
      <c r="M382" s="390"/>
      <c r="N382" s="390"/>
      <c r="O382" s="390"/>
      <c r="P382" s="390"/>
      <c r="Q382" s="390"/>
      <c r="R382" s="390"/>
      <c r="S382" s="390"/>
      <c r="T382" s="390"/>
      <c r="U382" s="390"/>
      <c r="V382" s="390"/>
      <c r="W382" s="390"/>
      <c r="X382" s="390"/>
      <c r="Y382" s="628">
        <f t="shared" si="10"/>
        <v>0</v>
      </c>
      <c r="Z382" s="652"/>
      <c r="AA382" s="581"/>
    </row>
    <row r="383" spans="1:27" s="539" customFormat="1" ht="19.5" customHeight="1" hidden="1">
      <c r="A383" s="615" t="s">
        <v>322</v>
      </c>
      <c r="B383" s="623"/>
      <c r="C383" s="623"/>
      <c r="D383" s="623"/>
      <c r="E383" s="623"/>
      <c r="F383" s="623"/>
      <c r="G383" s="623"/>
      <c r="H383" s="623"/>
      <c r="I383" s="623"/>
      <c r="J383" s="623"/>
      <c r="K383" s="623"/>
      <c r="L383" s="623"/>
      <c r="M383" s="623"/>
      <c r="N383" s="623"/>
      <c r="O383" s="623"/>
      <c r="P383" s="623"/>
      <c r="Q383" s="623"/>
      <c r="R383" s="623"/>
      <c r="S383" s="623"/>
      <c r="T383" s="623"/>
      <c r="U383" s="623"/>
      <c r="V383" s="623"/>
      <c r="W383" s="623"/>
      <c r="X383" s="623"/>
      <c r="Y383" s="628">
        <f t="shared" si="10"/>
        <v>0</v>
      </c>
      <c r="Z383" s="581"/>
      <c r="AA383" s="581"/>
    </row>
    <row r="384" spans="1:30" ht="19.5" customHeight="1" hidden="1" thickBot="1">
      <c r="A384" s="639" t="s">
        <v>323</v>
      </c>
      <c r="B384" s="621"/>
      <c r="C384" s="621"/>
      <c r="D384" s="621"/>
      <c r="E384" s="621"/>
      <c r="F384" s="621"/>
      <c r="G384" s="621"/>
      <c r="H384" s="621"/>
      <c r="I384" s="621"/>
      <c r="J384" s="621"/>
      <c r="K384" s="621"/>
      <c r="L384" s="621"/>
      <c r="M384" s="621"/>
      <c r="N384" s="621"/>
      <c r="O384" s="621"/>
      <c r="P384" s="621"/>
      <c r="Q384" s="621"/>
      <c r="R384" s="621"/>
      <c r="S384" s="621"/>
      <c r="T384" s="621"/>
      <c r="U384" s="621"/>
      <c r="V384" s="621"/>
      <c r="W384" s="621"/>
      <c r="X384" s="621"/>
      <c r="Y384" s="628">
        <f t="shared" si="10"/>
        <v>0</v>
      </c>
      <c r="Z384" s="581"/>
      <c r="AA384" s="581"/>
      <c r="AB384" s="592"/>
      <c r="AC384" s="592"/>
      <c r="AD384" s="592"/>
    </row>
    <row r="385" spans="1:27" ht="18" customHeight="1" hidden="1" thickBot="1">
      <c r="A385" s="613" t="s">
        <v>324</v>
      </c>
      <c r="B385" s="390"/>
      <c r="C385" s="390"/>
      <c r="D385" s="390"/>
      <c r="E385" s="390"/>
      <c r="F385" s="390"/>
      <c r="G385" s="390"/>
      <c r="H385" s="390"/>
      <c r="I385" s="390"/>
      <c r="J385" s="390"/>
      <c r="K385" s="390"/>
      <c r="L385" s="390"/>
      <c r="M385" s="390"/>
      <c r="N385" s="390"/>
      <c r="O385" s="390"/>
      <c r="P385" s="390"/>
      <c r="Q385" s="390"/>
      <c r="R385" s="390"/>
      <c r="S385" s="390"/>
      <c r="T385" s="390"/>
      <c r="U385" s="390"/>
      <c r="V385" s="390"/>
      <c r="W385" s="390"/>
      <c r="X385" s="390"/>
      <c r="Y385" s="628">
        <f t="shared" si="10"/>
        <v>0</v>
      </c>
      <c r="Z385" s="581"/>
      <c r="AA385" s="581"/>
    </row>
    <row r="386" spans="1:30" ht="19.5" customHeight="1" hidden="1">
      <c r="A386" s="615" t="s">
        <v>325</v>
      </c>
      <c r="B386" s="623"/>
      <c r="C386" s="623"/>
      <c r="D386" s="623"/>
      <c r="E386" s="623"/>
      <c r="F386" s="623"/>
      <c r="G386" s="623"/>
      <c r="H386" s="623"/>
      <c r="I386" s="623"/>
      <c r="J386" s="623"/>
      <c r="K386" s="623"/>
      <c r="L386" s="623"/>
      <c r="M386" s="623"/>
      <c r="N386" s="623"/>
      <c r="O386" s="623"/>
      <c r="P386" s="623"/>
      <c r="Q386" s="623"/>
      <c r="R386" s="623"/>
      <c r="S386" s="623"/>
      <c r="T386" s="623"/>
      <c r="U386" s="623"/>
      <c r="V386" s="623"/>
      <c r="W386" s="623"/>
      <c r="X386" s="623"/>
      <c r="Y386" s="628">
        <f t="shared" si="10"/>
        <v>0</v>
      </c>
      <c r="Z386" s="581"/>
      <c r="AA386" s="581"/>
      <c r="AB386" s="592"/>
      <c r="AC386" s="592"/>
      <c r="AD386" s="592"/>
    </row>
    <row r="387" spans="1:30" s="388" customFormat="1" ht="19.5" customHeight="1" hidden="1">
      <c r="A387" s="589" t="s">
        <v>326</v>
      </c>
      <c r="B387" s="621"/>
      <c r="C387" s="621"/>
      <c r="D387" s="621"/>
      <c r="E387" s="621"/>
      <c r="F387" s="621"/>
      <c r="G387" s="621"/>
      <c r="H387" s="621"/>
      <c r="I387" s="621"/>
      <c r="J387" s="621"/>
      <c r="K387" s="621"/>
      <c r="L387" s="621"/>
      <c r="M387" s="621"/>
      <c r="N387" s="621"/>
      <c r="O387" s="621"/>
      <c r="P387" s="621"/>
      <c r="Q387" s="621"/>
      <c r="R387" s="621"/>
      <c r="S387" s="621"/>
      <c r="T387" s="621"/>
      <c r="U387" s="621"/>
      <c r="V387" s="621"/>
      <c r="W387" s="621"/>
      <c r="X387" s="621"/>
      <c r="Y387" s="628">
        <f t="shared" si="10"/>
        <v>0</v>
      </c>
      <c r="Z387" s="581"/>
      <c r="AA387" s="581"/>
      <c r="AB387" s="619"/>
      <c r="AC387" s="619"/>
      <c r="AD387" s="619"/>
    </row>
    <row r="388" spans="1:30" s="388" customFormat="1" ht="19.5" customHeight="1" hidden="1">
      <c r="A388" s="639" t="s">
        <v>327</v>
      </c>
      <c r="B388" s="621"/>
      <c r="C388" s="621"/>
      <c r="D388" s="621"/>
      <c r="E388" s="621"/>
      <c r="F388" s="621"/>
      <c r="G388" s="621"/>
      <c r="H388" s="621"/>
      <c r="I388" s="621"/>
      <c r="J388" s="621"/>
      <c r="K388" s="621"/>
      <c r="L388" s="621"/>
      <c r="M388" s="621"/>
      <c r="N388" s="621"/>
      <c r="O388" s="621"/>
      <c r="P388" s="621"/>
      <c r="Q388" s="621"/>
      <c r="R388" s="621"/>
      <c r="S388" s="621"/>
      <c r="T388" s="621"/>
      <c r="U388" s="621"/>
      <c r="V388" s="621"/>
      <c r="W388" s="621"/>
      <c r="X388" s="621"/>
      <c r="Y388" s="628">
        <f t="shared" si="10"/>
        <v>0</v>
      </c>
      <c r="Z388" s="581"/>
      <c r="AA388" s="581"/>
      <c r="AB388" s="619"/>
      <c r="AC388" s="619"/>
      <c r="AD388" s="619"/>
    </row>
    <row r="389" spans="1:30" s="388" customFormat="1" ht="19.5" customHeight="1" hidden="1">
      <c r="A389" s="589" t="s">
        <v>328</v>
      </c>
      <c r="B389" s="621"/>
      <c r="C389" s="621"/>
      <c r="D389" s="621"/>
      <c r="E389" s="621"/>
      <c r="F389" s="621"/>
      <c r="G389" s="621"/>
      <c r="H389" s="621"/>
      <c r="I389" s="621"/>
      <c r="J389" s="621"/>
      <c r="K389" s="621"/>
      <c r="L389" s="621"/>
      <c r="M389" s="621"/>
      <c r="N389" s="621"/>
      <c r="O389" s="621"/>
      <c r="P389" s="621"/>
      <c r="Q389" s="621"/>
      <c r="R389" s="621"/>
      <c r="S389" s="621"/>
      <c r="T389" s="621"/>
      <c r="U389" s="621"/>
      <c r="V389" s="621"/>
      <c r="W389" s="621"/>
      <c r="X389" s="621"/>
      <c r="Y389" s="628">
        <f t="shared" si="10"/>
        <v>0</v>
      </c>
      <c r="Z389" s="581"/>
      <c r="AA389" s="581"/>
      <c r="AB389" s="619"/>
      <c r="AC389" s="619"/>
      <c r="AD389" s="619"/>
    </row>
    <row r="390" spans="1:30" s="388" customFormat="1" ht="19.5" customHeight="1" hidden="1">
      <c r="A390" s="589" t="s">
        <v>330</v>
      </c>
      <c r="B390" s="621"/>
      <c r="C390" s="621"/>
      <c r="D390" s="621"/>
      <c r="E390" s="621"/>
      <c r="F390" s="621"/>
      <c r="G390" s="621"/>
      <c r="H390" s="621"/>
      <c r="I390" s="621"/>
      <c r="J390" s="621"/>
      <c r="K390" s="621"/>
      <c r="L390" s="621"/>
      <c r="M390" s="621"/>
      <c r="N390" s="621"/>
      <c r="O390" s="621"/>
      <c r="P390" s="621"/>
      <c r="Q390" s="621"/>
      <c r="R390" s="621"/>
      <c r="S390" s="621"/>
      <c r="T390" s="621"/>
      <c r="U390" s="621"/>
      <c r="V390" s="621"/>
      <c r="W390" s="621"/>
      <c r="X390" s="621"/>
      <c r="Y390" s="628">
        <f t="shared" si="10"/>
        <v>0</v>
      </c>
      <c r="Z390" s="581"/>
      <c r="AA390" s="581"/>
      <c r="AB390" s="619"/>
      <c r="AC390" s="619"/>
      <c r="AD390" s="619"/>
    </row>
    <row r="391" spans="1:30" s="388" customFormat="1" ht="19.5" customHeight="1" hidden="1">
      <c r="A391" s="589" t="s">
        <v>42</v>
      </c>
      <c r="B391" s="621"/>
      <c r="C391" s="621"/>
      <c r="D391" s="621"/>
      <c r="E391" s="621"/>
      <c r="F391" s="621"/>
      <c r="G391" s="621"/>
      <c r="H391" s="621"/>
      <c r="I391" s="621"/>
      <c r="J391" s="621"/>
      <c r="K391" s="621"/>
      <c r="L391" s="621"/>
      <c r="M391" s="621"/>
      <c r="N391" s="621"/>
      <c r="O391" s="621"/>
      <c r="P391" s="621"/>
      <c r="Q391" s="621"/>
      <c r="R391" s="621"/>
      <c r="S391" s="621"/>
      <c r="T391" s="621"/>
      <c r="U391" s="621"/>
      <c r="V391" s="621"/>
      <c r="W391" s="621"/>
      <c r="X391" s="621"/>
      <c r="Y391" s="628">
        <f t="shared" si="10"/>
        <v>0</v>
      </c>
      <c r="Z391" s="581"/>
      <c r="AA391" s="581"/>
      <c r="AB391" s="619"/>
      <c r="AC391" s="619"/>
      <c r="AD391" s="619"/>
    </row>
    <row r="392" spans="1:30" s="388" customFormat="1" ht="19.5" customHeight="1" hidden="1">
      <c r="A392" s="589" t="s">
        <v>45</v>
      </c>
      <c r="B392" s="621"/>
      <c r="C392" s="621"/>
      <c r="D392" s="621"/>
      <c r="E392" s="621"/>
      <c r="F392" s="621"/>
      <c r="G392" s="621"/>
      <c r="H392" s="621"/>
      <c r="I392" s="621"/>
      <c r="J392" s="621"/>
      <c r="K392" s="621"/>
      <c r="L392" s="621"/>
      <c r="M392" s="621"/>
      <c r="N392" s="621"/>
      <c r="O392" s="621"/>
      <c r="P392" s="621"/>
      <c r="Q392" s="621"/>
      <c r="R392" s="621"/>
      <c r="S392" s="621"/>
      <c r="T392" s="621"/>
      <c r="U392" s="621"/>
      <c r="V392" s="621"/>
      <c r="W392" s="621"/>
      <c r="X392" s="621"/>
      <c r="Y392" s="628">
        <f t="shared" si="10"/>
        <v>0</v>
      </c>
      <c r="Z392" s="581"/>
      <c r="AA392" s="581"/>
      <c r="AB392" s="619"/>
      <c r="AC392" s="619"/>
      <c r="AD392" s="619"/>
    </row>
    <row r="393" spans="1:30" s="388" customFormat="1" ht="19.5" customHeight="1" hidden="1">
      <c r="A393" s="589" t="s">
        <v>329</v>
      </c>
      <c r="B393" s="621"/>
      <c r="C393" s="621"/>
      <c r="D393" s="621"/>
      <c r="E393" s="621"/>
      <c r="F393" s="621"/>
      <c r="G393" s="621"/>
      <c r="H393" s="621"/>
      <c r="I393" s="621"/>
      <c r="J393" s="621"/>
      <c r="K393" s="621"/>
      <c r="L393" s="621"/>
      <c r="M393" s="621"/>
      <c r="N393" s="621"/>
      <c r="O393" s="621"/>
      <c r="P393" s="621"/>
      <c r="Q393" s="621"/>
      <c r="R393" s="621"/>
      <c r="S393" s="621"/>
      <c r="T393" s="621"/>
      <c r="U393" s="621"/>
      <c r="V393" s="621"/>
      <c r="W393" s="621"/>
      <c r="X393" s="621"/>
      <c r="Y393" s="628">
        <f t="shared" si="10"/>
        <v>0</v>
      </c>
      <c r="Z393" s="581"/>
      <c r="AA393" s="581"/>
      <c r="AB393" s="619"/>
      <c r="AC393" s="619"/>
      <c r="AD393" s="619"/>
    </row>
    <row r="394" spans="1:30" s="388" customFormat="1" ht="19.5" customHeight="1" hidden="1" thickBot="1">
      <c r="A394" s="589" t="s">
        <v>66</v>
      </c>
      <c r="B394" s="621"/>
      <c r="C394" s="621"/>
      <c r="D394" s="621"/>
      <c r="E394" s="621"/>
      <c r="F394" s="621"/>
      <c r="G394" s="621"/>
      <c r="H394" s="621"/>
      <c r="I394" s="621"/>
      <c r="J394" s="621"/>
      <c r="K394" s="621"/>
      <c r="L394" s="621"/>
      <c r="M394" s="621"/>
      <c r="N394" s="621"/>
      <c r="O394" s="621"/>
      <c r="P394" s="621"/>
      <c r="Q394" s="621"/>
      <c r="R394" s="621"/>
      <c r="S394" s="621"/>
      <c r="T394" s="621"/>
      <c r="U394" s="621"/>
      <c r="V394" s="621"/>
      <c r="W394" s="621"/>
      <c r="X394" s="621"/>
      <c r="Y394" s="628">
        <f t="shared" si="10"/>
        <v>0</v>
      </c>
      <c r="Z394" s="581"/>
      <c r="AA394" s="581"/>
      <c r="AB394" s="619"/>
      <c r="AC394" s="619"/>
      <c r="AD394" s="619"/>
    </row>
    <row r="395" spans="1:27" s="388" customFormat="1" ht="18" customHeight="1" thickBot="1">
      <c r="A395" s="653" t="s">
        <v>331</v>
      </c>
      <c r="B395" s="384"/>
      <c r="C395" s="384"/>
      <c r="D395" s="384"/>
      <c r="E395" s="384"/>
      <c r="F395" s="384"/>
      <c r="G395" s="390"/>
      <c r="H395" s="384">
        <f>H396</f>
        <v>13502</v>
      </c>
      <c r="I395" s="384"/>
      <c r="J395" s="384"/>
      <c r="K395" s="384"/>
      <c r="L395" s="384"/>
      <c r="M395" s="384"/>
      <c r="N395" s="384"/>
      <c r="O395" s="384"/>
      <c r="P395" s="384"/>
      <c r="Q395" s="384"/>
      <c r="R395" s="384"/>
      <c r="S395" s="384"/>
      <c r="T395" s="384"/>
      <c r="U395" s="384"/>
      <c r="V395" s="384"/>
      <c r="W395" s="384"/>
      <c r="X395" s="384"/>
      <c r="Y395" s="628">
        <f t="shared" si="10"/>
        <v>13502</v>
      </c>
      <c r="Z395" s="581"/>
      <c r="AA395" s="581"/>
    </row>
    <row r="396" spans="1:27" s="388" customFormat="1" ht="18" customHeight="1">
      <c r="A396" s="654" t="s">
        <v>332</v>
      </c>
      <c r="B396" s="655"/>
      <c r="C396" s="655"/>
      <c r="D396" s="655"/>
      <c r="E396" s="655"/>
      <c r="F396" s="655"/>
      <c r="G396" s="656"/>
      <c r="H396" s="655">
        <f>SUM(H397:H454)</f>
        <v>13502</v>
      </c>
      <c r="I396" s="655"/>
      <c r="J396" s="655"/>
      <c r="K396" s="655"/>
      <c r="L396" s="655"/>
      <c r="M396" s="655"/>
      <c r="N396" s="655"/>
      <c r="O396" s="655"/>
      <c r="P396" s="655"/>
      <c r="Q396" s="655"/>
      <c r="R396" s="655"/>
      <c r="S396" s="655"/>
      <c r="T396" s="655"/>
      <c r="U396" s="655"/>
      <c r="V396" s="655"/>
      <c r="W396" s="655"/>
      <c r="X396" s="655"/>
      <c r="Y396" s="676">
        <f t="shared" si="10"/>
        <v>13502</v>
      </c>
      <c r="Z396" s="581"/>
      <c r="AA396" s="581"/>
    </row>
    <row r="397" spans="1:27" s="388" customFormat="1" ht="18" customHeight="1">
      <c r="A397" s="589" t="s">
        <v>721</v>
      </c>
      <c r="B397" s="657"/>
      <c r="C397" s="657"/>
      <c r="D397" s="657"/>
      <c r="E397" s="657"/>
      <c r="F397" s="657"/>
      <c r="G397" s="657"/>
      <c r="H397" s="596">
        <v>86</v>
      </c>
      <c r="I397" s="596"/>
      <c r="J397" s="657"/>
      <c r="K397" s="657"/>
      <c r="L397" s="657"/>
      <c r="M397" s="657"/>
      <c r="N397" s="657"/>
      <c r="O397" s="657"/>
      <c r="P397" s="657"/>
      <c r="Q397" s="657"/>
      <c r="R397" s="657"/>
      <c r="S397" s="657"/>
      <c r="T397" s="657"/>
      <c r="U397" s="657"/>
      <c r="V397" s="657"/>
      <c r="W397" s="657"/>
      <c r="X397" s="657"/>
      <c r="Y397" s="580">
        <f t="shared" si="10"/>
        <v>86</v>
      </c>
      <c r="Z397" s="581"/>
      <c r="AA397" s="581"/>
    </row>
    <row r="398" spans="1:27" s="388" customFormat="1" ht="18" customHeight="1">
      <c r="A398" s="589" t="s">
        <v>722</v>
      </c>
      <c r="B398" s="658"/>
      <c r="C398" s="658"/>
      <c r="D398" s="658"/>
      <c r="E398" s="658"/>
      <c r="F398" s="658"/>
      <c r="G398" s="658"/>
      <c r="H398" s="590">
        <v>86</v>
      </c>
      <c r="I398" s="590"/>
      <c r="J398" s="658"/>
      <c r="K398" s="658"/>
      <c r="L398" s="658"/>
      <c r="M398" s="658"/>
      <c r="N398" s="658"/>
      <c r="O398" s="658"/>
      <c r="P398" s="658"/>
      <c r="Q398" s="658"/>
      <c r="R398" s="658"/>
      <c r="S398" s="658"/>
      <c r="T398" s="658"/>
      <c r="U398" s="658"/>
      <c r="V398" s="658"/>
      <c r="W398" s="658"/>
      <c r="X398" s="658"/>
      <c r="Y398" s="580">
        <f t="shared" si="10"/>
        <v>86</v>
      </c>
      <c r="Z398" s="581"/>
      <c r="AA398" s="581"/>
    </row>
    <row r="399" spans="1:27" s="388" customFormat="1" ht="18" customHeight="1" hidden="1">
      <c r="A399" s="589" t="s">
        <v>725</v>
      </c>
      <c r="B399" s="658"/>
      <c r="C399" s="658"/>
      <c r="D399" s="658"/>
      <c r="E399" s="658"/>
      <c r="F399" s="658"/>
      <c r="G399" s="658"/>
      <c r="H399" s="590"/>
      <c r="I399" s="590"/>
      <c r="J399" s="658"/>
      <c r="K399" s="658"/>
      <c r="L399" s="658"/>
      <c r="M399" s="658"/>
      <c r="N399" s="658"/>
      <c r="O399" s="658"/>
      <c r="P399" s="658"/>
      <c r="Q399" s="658"/>
      <c r="R399" s="658"/>
      <c r="S399" s="658"/>
      <c r="T399" s="658"/>
      <c r="U399" s="658"/>
      <c r="V399" s="658"/>
      <c r="W399" s="658"/>
      <c r="X399" s="658"/>
      <c r="Y399" s="580">
        <f t="shared" si="10"/>
        <v>0</v>
      </c>
      <c r="Z399" s="581"/>
      <c r="AA399" s="581"/>
    </row>
    <row r="400" spans="1:27" s="388" customFormat="1" ht="18" customHeight="1" hidden="1">
      <c r="A400" s="589" t="s">
        <v>726</v>
      </c>
      <c r="B400" s="658"/>
      <c r="C400" s="658"/>
      <c r="D400" s="658"/>
      <c r="E400" s="658"/>
      <c r="F400" s="658"/>
      <c r="G400" s="658"/>
      <c r="H400" s="590"/>
      <c r="I400" s="590"/>
      <c r="J400" s="658"/>
      <c r="K400" s="658"/>
      <c r="L400" s="658"/>
      <c r="M400" s="658"/>
      <c r="N400" s="658"/>
      <c r="O400" s="658"/>
      <c r="P400" s="658"/>
      <c r="Q400" s="658"/>
      <c r="R400" s="658"/>
      <c r="S400" s="658"/>
      <c r="T400" s="658"/>
      <c r="U400" s="658"/>
      <c r="V400" s="658"/>
      <c r="W400" s="658"/>
      <c r="X400" s="658"/>
      <c r="Y400" s="580">
        <f t="shared" si="10"/>
        <v>0</v>
      </c>
      <c r="Z400" s="581"/>
      <c r="AA400" s="581"/>
    </row>
    <row r="401" spans="1:27" s="388" customFormat="1" ht="18" customHeight="1">
      <c r="A401" s="589" t="s">
        <v>727</v>
      </c>
      <c r="B401" s="590"/>
      <c r="C401" s="590"/>
      <c r="D401" s="590"/>
      <c r="E401" s="590"/>
      <c r="F401" s="590"/>
      <c r="G401" s="590"/>
      <c r="H401" s="590">
        <v>86</v>
      </c>
      <c r="I401" s="590"/>
      <c r="J401" s="590"/>
      <c r="K401" s="590"/>
      <c r="L401" s="590"/>
      <c r="M401" s="590"/>
      <c r="N401" s="590"/>
      <c r="O401" s="590"/>
      <c r="P401" s="590"/>
      <c r="Q401" s="590"/>
      <c r="R401" s="590"/>
      <c r="S401" s="590"/>
      <c r="T401" s="590"/>
      <c r="U401" s="590"/>
      <c r="V401" s="590"/>
      <c r="W401" s="590"/>
      <c r="X401" s="590"/>
      <c r="Y401" s="580">
        <f t="shared" si="10"/>
        <v>86</v>
      </c>
      <c r="Z401" s="581"/>
      <c r="AA401" s="581"/>
    </row>
    <row r="402" spans="1:27" s="388" customFormat="1" ht="18" customHeight="1">
      <c r="A402" s="589" t="s">
        <v>728</v>
      </c>
      <c r="B402" s="590"/>
      <c r="C402" s="590"/>
      <c r="D402" s="590"/>
      <c r="E402" s="590"/>
      <c r="F402" s="590"/>
      <c r="G402" s="590"/>
      <c r="H402" s="590">
        <v>86</v>
      </c>
      <c r="I402" s="590"/>
      <c r="J402" s="590"/>
      <c r="K402" s="590"/>
      <c r="L402" s="590"/>
      <c r="M402" s="590"/>
      <c r="N402" s="590"/>
      <c r="O402" s="590"/>
      <c r="P402" s="590"/>
      <c r="Q402" s="590"/>
      <c r="R402" s="590"/>
      <c r="S402" s="590"/>
      <c r="T402" s="590"/>
      <c r="U402" s="590"/>
      <c r="V402" s="590"/>
      <c r="W402" s="590"/>
      <c r="X402" s="590"/>
      <c r="Y402" s="580">
        <f t="shared" si="10"/>
        <v>86</v>
      </c>
      <c r="Z402" s="581"/>
      <c r="AA402" s="581"/>
    </row>
    <row r="403" spans="1:27" s="388" customFormat="1" ht="18" customHeight="1" hidden="1">
      <c r="A403" s="589" t="s">
        <v>729</v>
      </c>
      <c r="B403" s="658"/>
      <c r="C403" s="658"/>
      <c r="D403" s="658"/>
      <c r="E403" s="658"/>
      <c r="F403" s="658"/>
      <c r="G403" s="658"/>
      <c r="H403" s="590"/>
      <c r="I403" s="590"/>
      <c r="J403" s="658"/>
      <c r="K403" s="658"/>
      <c r="L403" s="658"/>
      <c r="M403" s="658"/>
      <c r="N403" s="658"/>
      <c r="O403" s="658"/>
      <c r="P403" s="658"/>
      <c r="Q403" s="658"/>
      <c r="R403" s="658"/>
      <c r="S403" s="658"/>
      <c r="T403" s="658"/>
      <c r="U403" s="658"/>
      <c r="V403" s="658"/>
      <c r="W403" s="658"/>
      <c r="X403" s="658"/>
      <c r="Y403" s="580">
        <f t="shared" si="10"/>
        <v>0</v>
      </c>
      <c r="Z403" s="581"/>
      <c r="AA403" s="581"/>
    </row>
    <row r="404" spans="1:27" s="388" customFormat="1" ht="18" customHeight="1" hidden="1">
      <c r="A404" s="589" t="s">
        <v>730</v>
      </c>
      <c r="B404" s="590"/>
      <c r="C404" s="590"/>
      <c r="D404" s="590"/>
      <c r="E404" s="590"/>
      <c r="F404" s="590"/>
      <c r="G404" s="590"/>
      <c r="H404" s="590"/>
      <c r="I404" s="590"/>
      <c r="J404" s="590"/>
      <c r="K404" s="590"/>
      <c r="L404" s="590"/>
      <c r="M404" s="590"/>
      <c r="N404" s="590"/>
      <c r="O404" s="590"/>
      <c r="P404" s="590"/>
      <c r="Q404" s="590"/>
      <c r="R404" s="590"/>
      <c r="S404" s="590"/>
      <c r="T404" s="590"/>
      <c r="U404" s="590"/>
      <c r="V404" s="590"/>
      <c r="W404" s="590"/>
      <c r="X404" s="590"/>
      <c r="Y404" s="580">
        <f t="shared" si="10"/>
        <v>0</v>
      </c>
      <c r="Z404" s="581"/>
      <c r="AA404" s="581"/>
    </row>
    <row r="405" spans="1:27" s="388" customFormat="1" ht="18" customHeight="1" hidden="1">
      <c r="A405" s="589" t="s">
        <v>731</v>
      </c>
      <c r="B405" s="658"/>
      <c r="C405" s="658"/>
      <c r="D405" s="658"/>
      <c r="E405" s="658"/>
      <c r="F405" s="658"/>
      <c r="G405" s="658"/>
      <c r="H405" s="590"/>
      <c r="I405" s="590"/>
      <c r="J405" s="658"/>
      <c r="K405" s="658"/>
      <c r="L405" s="658"/>
      <c r="M405" s="658"/>
      <c r="N405" s="658"/>
      <c r="O405" s="658"/>
      <c r="P405" s="658"/>
      <c r="Q405" s="658"/>
      <c r="R405" s="658"/>
      <c r="S405" s="658"/>
      <c r="T405" s="658"/>
      <c r="U405" s="658"/>
      <c r="V405" s="658"/>
      <c r="W405" s="658"/>
      <c r="X405" s="658"/>
      <c r="Y405" s="580">
        <f t="shared" si="10"/>
        <v>0</v>
      </c>
      <c r="Z405" s="581"/>
      <c r="AA405" s="581"/>
    </row>
    <row r="406" spans="1:27" s="388" customFormat="1" ht="18" customHeight="1">
      <c r="A406" s="589" t="s">
        <v>732</v>
      </c>
      <c r="B406" s="590"/>
      <c r="C406" s="590"/>
      <c r="D406" s="590"/>
      <c r="E406" s="590"/>
      <c r="F406" s="590"/>
      <c r="G406" s="590"/>
      <c r="H406" s="590">
        <v>172</v>
      </c>
      <c r="I406" s="590"/>
      <c r="J406" s="590"/>
      <c r="K406" s="590"/>
      <c r="L406" s="590"/>
      <c r="M406" s="590"/>
      <c r="N406" s="590"/>
      <c r="O406" s="590"/>
      <c r="P406" s="590"/>
      <c r="Q406" s="590"/>
      <c r="R406" s="590"/>
      <c r="S406" s="590"/>
      <c r="T406" s="590"/>
      <c r="U406" s="590"/>
      <c r="V406" s="590"/>
      <c r="W406" s="590"/>
      <c r="X406" s="590"/>
      <c r="Y406" s="580">
        <f t="shared" si="10"/>
        <v>172</v>
      </c>
      <c r="Z406" s="581"/>
      <c r="AA406" s="581"/>
    </row>
    <row r="407" spans="1:27" s="388" customFormat="1" ht="18" customHeight="1">
      <c r="A407" s="589" t="s">
        <v>733</v>
      </c>
      <c r="B407" s="590"/>
      <c r="C407" s="590"/>
      <c r="D407" s="590"/>
      <c r="E407" s="590"/>
      <c r="F407" s="590"/>
      <c r="G407" s="590"/>
      <c r="H407" s="590">
        <v>172</v>
      </c>
      <c r="I407" s="590"/>
      <c r="J407" s="590"/>
      <c r="K407" s="590"/>
      <c r="L407" s="590"/>
      <c r="M407" s="590"/>
      <c r="N407" s="590"/>
      <c r="O407" s="590"/>
      <c r="P407" s="590"/>
      <c r="Q407" s="590"/>
      <c r="R407" s="590"/>
      <c r="S407" s="590"/>
      <c r="T407" s="590"/>
      <c r="U407" s="590"/>
      <c r="V407" s="590"/>
      <c r="W407" s="590"/>
      <c r="X407" s="590"/>
      <c r="Y407" s="580">
        <f t="shared" si="10"/>
        <v>172</v>
      </c>
      <c r="Z407" s="581"/>
      <c r="AA407" s="581"/>
    </row>
    <row r="408" spans="1:27" s="388" customFormat="1" ht="18" customHeight="1">
      <c r="A408" s="589" t="s">
        <v>735</v>
      </c>
      <c r="B408" s="590"/>
      <c r="C408" s="590"/>
      <c r="D408" s="590"/>
      <c r="E408" s="590"/>
      <c r="F408" s="590"/>
      <c r="G408" s="590"/>
      <c r="H408" s="590">
        <v>86</v>
      </c>
      <c r="I408" s="590"/>
      <c r="J408" s="590"/>
      <c r="K408" s="590"/>
      <c r="L408" s="590"/>
      <c r="M408" s="590"/>
      <c r="N408" s="590"/>
      <c r="O408" s="590"/>
      <c r="P408" s="590"/>
      <c r="Q408" s="590"/>
      <c r="R408" s="590"/>
      <c r="S408" s="590"/>
      <c r="T408" s="590"/>
      <c r="U408" s="590"/>
      <c r="V408" s="590"/>
      <c r="W408" s="590"/>
      <c r="X408" s="590"/>
      <c r="Y408" s="580">
        <f t="shared" si="10"/>
        <v>86</v>
      </c>
      <c r="Z408" s="581"/>
      <c r="AA408" s="581"/>
    </row>
    <row r="409" spans="1:27" s="388" customFormat="1" ht="18" customHeight="1">
      <c r="A409" s="589" t="s">
        <v>736</v>
      </c>
      <c r="B409" s="590"/>
      <c r="C409" s="590"/>
      <c r="D409" s="590"/>
      <c r="E409" s="590"/>
      <c r="F409" s="590"/>
      <c r="G409" s="590"/>
      <c r="H409" s="590">
        <v>86</v>
      </c>
      <c r="I409" s="590"/>
      <c r="J409" s="590"/>
      <c r="K409" s="590"/>
      <c r="L409" s="590"/>
      <c r="M409" s="590"/>
      <c r="N409" s="590"/>
      <c r="O409" s="590"/>
      <c r="P409" s="590"/>
      <c r="Q409" s="590"/>
      <c r="R409" s="590"/>
      <c r="S409" s="590"/>
      <c r="T409" s="590"/>
      <c r="U409" s="590"/>
      <c r="V409" s="590"/>
      <c r="W409" s="590"/>
      <c r="X409" s="590"/>
      <c r="Y409" s="580">
        <f t="shared" si="10"/>
        <v>86</v>
      </c>
      <c r="Z409" s="581"/>
      <c r="AA409" s="581"/>
    </row>
    <row r="410" spans="1:27" s="388" customFormat="1" ht="18" customHeight="1">
      <c r="A410" s="589" t="s">
        <v>737</v>
      </c>
      <c r="B410" s="590"/>
      <c r="C410" s="590"/>
      <c r="D410" s="590"/>
      <c r="E410" s="590"/>
      <c r="F410" s="590"/>
      <c r="G410" s="590"/>
      <c r="H410" s="590">
        <v>86</v>
      </c>
      <c r="I410" s="590"/>
      <c r="J410" s="590"/>
      <c r="K410" s="590"/>
      <c r="L410" s="590"/>
      <c r="M410" s="590"/>
      <c r="N410" s="590"/>
      <c r="O410" s="590"/>
      <c r="P410" s="590"/>
      <c r="Q410" s="590"/>
      <c r="R410" s="590"/>
      <c r="S410" s="590"/>
      <c r="T410" s="590"/>
      <c r="U410" s="590"/>
      <c r="V410" s="590"/>
      <c r="W410" s="590"/>
      <c r="X410" s="590"/>
      <c r="Y410" s="580">
        <f t="shared" si="10"/>
        <v>86</v>
      </c>
      <c r="Z410" s="581"/>
      <c r="AA410" s="581"/>
    </row>
    <row r="411" spans="1:27" s="388" customFormat="1" ht="18" customHeight="1" hidden="1">
      <c r="A411" s="589" t="s">
        <v>738</v>
      </c>
      <c r="B411" s="590"/>
      <c r="C411" s="590"/>
      <c r="D411" s="590"/>
      <c r="E411" s="590"/>
      <c r="F411" s="590"/>
      <c r="G411" s="590"/>
      <c r="H411" s="590"/>
      <c r="I411" s="590"/>
      <c r="J411" s="590"/>
      <c r="K411" s="590"/>
      <c r="L411" s="590"/>
      <c r="M411" s="590"/>
      <c r="N411" s="590"/>
      <c r="O411" s="590"/>
      <c r="P411" s="590"/>
      <c r="Q411" s="590"/>
      <c r="R411" s="590"/>
      <c r="S411" s="590"/>
      <c r="T411" s="590"/>
      <c r="U411" s="590"/>
      <c r="V411" s="590"/>
      <c r="W411" s="590"/>
      <c r="X411" s="590"/>
      <c r="Y411" s="580">
        <f t="shared" si="10"/>
        <v>0</v>
      </c>
      <c r="Z411" s="581"/>
      <c r="AA411" s="581"/>
    </row>
    <row r="412" spans="1:27" s="388" customFormat="1" ht="18" customHeight="1" hidden="1">
      <c r="A412" s="589" t="s">
        <v>739</v>
      </c>
      <c r="B412" s="657"/>
      <c r="C412" s="657"/>
      <c r="D412" s="657"/>
      <c r="E412" s="657"/>
      <c r="F412" s="657"/>
      <c r="G412" s="657"/>
      <c r="H412" s="596"/>
      <c r="I412" s="596"/>
      <c r="J412" s="657"/>
      <c r="K412" s="657"/>
      <c r="L412" s="657"/>
      <c r="M412" s="657"/>
      <c r="N412" s="657"/>
      <c r="O412" s="657"/>
      <c r="P412" s="657"/>
      <c r="Q412" s="657"/>
      <c r="R412" s="657"/>
      <c r="S412" s="657"/>
      <c r="T412" s="657"/>
      <c r="U412" s="657"/>
      <c r="V412" s="657"/>
      <c r="W412" s="657"/>
      <c r="X412" s="657"/>
      <c r="Y412" s="580">
        <f t="shared" si="10"/>
        <v>0</v>
      </c>
      <c r="Z412" s="581"/>
      <c r="AA412" s="581"/>
    </row>
    <row r="413" spans="1:27" s="388" customFormat="1" ht="18" customHeight="1">
      <c r="A413" s="589" t="s">
        <v>741</v>
      </c>
      <c r="B413" s="590"/>
      <c r="C413" s="590"/>
      <c r="D413" s="590"/>
      <c r="E413" s="590"/>
      <c r="F413" s="590"/>
      <c r="G413" s="590"/>
      <c r="H413" s="590">
        <v>172</v>
      </c>
      <c r="I413" s="590"/>
      <c r="J413" s="590"/>
      <c r="K413" s="590"/>
      <c r="L413" s="590"/>
      <c r="M413" s="590"/>
      <c r="N413" s="590"/>
      <c r="O413" s="590"/>
      <c r="P413" s="590"/>
      <c r="Q413" s="590"/>
      <c r="R413" s="590"/>
      <c r="S413" s="590"/>
      <c r="T413" s="590"/>
      <c r="U413" s="590"/>
      <c r="V413" s="590"/>
      <c r="W413" s="590"/>
      <c r="X413" s="590"/>
      <c r="Y413" s="580">
        <f t="shared" si="10"/>
        <v>172</v>
      </c>
      <c r="Z413" s="581"/>
      <c r="AA413" s="581"/>
    </row>
    <row r="414" spans="1:27" s="388" customFormat="1" ht="18" customHeight="1">
      <c r="A414" s="589" t="s">
        <v>742</v>
      </c>
      <c r="B414" s="590"/>
      <c r="C414" s="590"/>
      <c r="D414" s="590"/>
      <c r="E414" s="590"/>
      <c r="F414" s="590"/>
      <c r="G414" s="590"/>
      <c r="H414" s="590">
        <v>86</v>
      </c>
      <c r="I414" s="590"/>
      <c r="J414" s="590"/>
      <c r="K414" s="590"/>
      <c r="L414" s="590"/>
      <c r="M414" s="590"/>
      <c r="N414" s="590"/>
      <c r="O414" s="590"/>
      <c r="P414" s="590"/>
      <c r="Q414" s="590"/>
      <c r="R414" s="590"/>
      <c r="S414" s="590"/>
      <c r="T414" s="590"/>
      <c r="U414" s="590"/>
      <c r="V414" s="590"/>
      <c r="W414" s="590"/>
      <c r="X414" s="590"/>
      <c r="Y414" s="580">
        <f t="shared" si="10"/>
        <v>86</v>
      </c>
      <c r="Z414" s="581"/>
      <c r="AA414" s="581"/>
    </row>
    <row r="415" spans="1:27" s="388" customFormat="1" ht="18" customHeight="1" hidden="1">
      <c r="A415" s="589" t="s">
        <v>746</v>
      </c>
      <c r="B415" s="658"/>
      <c r="C415" s="658"/>
      <c r="D415" s="658"/>
      <c r="E415" s="658"/>
      <c r="F415" s="658"/>
      <c r="G415" s="658"/>
      <c r="H415" s="590"/>
      <c r="I415" s="590"/>
      <c r="J415" s="658"/>
      <c r="K415" s="658"/>
      <c r="L415" s="658"/>
      <c r="M415" s="658"/>
      <c r="N415" s="658"/>
      <c r="O415" s="658"/>
      <c r="P415" s="658"/>
      <c r="Q415" s="658"/>
      <c r="R415" s="658"/>
      <c r="S415" s="658"/>
      <c r="T415" s="658"/>
      <c r="U415" s="658"/>
      <c r="V415" s="658"/>
      <c r="W415" s="658"/>
      <c r="X415" s="658"/>
      <c r="Y415" s="580">
        <f t="shared" si="10"/>
        <v>0</v>
      </c>
      <c r="Z415" s="581"/>
      <c r="AA415" s="581"/>
    </row>
    <row r="416" spans="1:27" s="388" customFormat="1" ht="18" customHeight="1">
      <c r="A416" s="589" t="s">
        <v>750</v>
      </c>
      <c r="B416" s="658"/>
      <c r="C416" s="658"/>
      <c r="D416" s="658"/>
      <c r="E416" s="658"/>
      <c r="F416" s="658"/>
      <c r="G416" s="658"/>
      <c r="H416" s="590">
        <v>86</v>
      </c>
      <c r="I416" s="590"/>
      <c r="J416" s="658"/>
      <c r="K416" s="658"/>
      <c r="L416" s="658"/>
      <c r="M416" s="658"/>
      <c r="N416" s="658"/>
      <c r="O416" s="658"/>
      <c r="P416" s="658"/>
      <c r="Q416" s="658"/>
      <c r="R416" s="658"/>
      <c r="S416" s="658"/>
      <c r="T416" s="658"/>
      <c r="U416" s="658"/>
      <c r="V416" s="658"/>
      <c r="W416" s="658"/>
      <c r="X416" s="658"/>
      <c r="Y416" s="580">
        <f t="shared" si="10"/>
        <v>86</v>
      </c>
      <c r="Z416" s="581"/>
      <c r="AA416" s="581"/>
    </row>
    <row r="417" spans="1:27" s="388" customFormat="1" ht="18" customHeight="1">
      <c r="A417" s="589" t="s">
        <v>2</v>
      </c>
      <c r="B417" s="658"/>
      <c r="C417" s="658"/>
      <c r="D417" s="658"/>
      <c r="E417" s="658"/>
      <c r="F417" s="658"/>
      <c r="G417" s="658"/>
      <c r="H417" s="590">
        <v>86</v>
      </c>
      <c r="I417" s="590"/>
      <c r="J417" s="658"/>
      <c r="K417" s="658"/>
      <c r="L417" s="658"/>
      <c r="M417" s="658"/>
      <c r="N417" s="658"/>
      <c r="O417" s="658"/>
      <c r="P417" s="658"/>
      <c r="Q417" s="658"/>
      <c r="R417" s="658"/>
      <c r="S417" s="658"/>
      <c r="T417" s="658"/>
      <c r="U417" s="658"/>
      <c r="V417" s="658"/>
      <c r="W417" s="658"/>
      <c r="X417" s="658"/>
      <c r="Y417" s="580">
        <f t="shared" si="10"/>
        <v>86</v>
      </c>
      <c r="Z417" s="581"/>
      <c r="AA417" s="581"/>
    </row>
    <row r="418" spans="1:27" s="388" customFormat="1" ht="18" customHeight="1">
      <c r="A418" s="589" t="s">
        <v>3</v>
      </c>
      <c r="B418" s="658"/>
      <c r="C418" s="658"/>
      <c r="D418" s="658"/>
      <c r="E418" s="658"/>
      <c r="F418" s="658"/>
      <c r="G418" s="658"/>
      <c r="H418" s="590">
        <v>430</v>
      </c>
      <c r="I418" s="590"/>
      <c r="J418" s="658"/>
      <c r="K418" s="658"/>
      <c r="L418" s="658"/>
      <c r="M418" s="658"/>
      <c r="N418" s="658"/>
      <c r="O418" s="658"/>
      <c r="P418" s="658"/>
      <c r="Q418" s="658"/>
      <c r="R418" s="658"/>
      <c r="S418" s="658"/>
      <c r="T418" s="658"/>
      <c r="U418" s="658"/>
      <c r="V418" s="658"/>
      <c r="W418" s="658"/>
      <c r="X418" s="658"/>
      <c r="Y418" s="580">
        <f t="shared" si="10"/>
        <v>430</v>
      </c>
      <c r="Z418" s="581"/>
      <c r="AA418" s="581"/>
    </row>
    <row r="419" spans="1:27" s="388" customFormat="1" ht="18" customHeight="1">
      <c r="A419" s="589" t="s">
        <v>4</v>
      </c>
      <c r="B419" s="658"/>
      <c r="C419" s="658"/>
      <c r="D419" s="658"/>
      <c r="E419" s="658"/>
      <c r="F419" s="658"/>
      <c r="G419" s="658"/>
      <c r="H419" s="590">
        <v>86</v>
      </c>
      <c r="I419" s="590"/>
      <c r="J419" s="658"/>
      <c r="K419" s="658"/>
      <c r="L419" s="658"/>
      <c r="M419" s="658"/>
      <c r="N419" s="658"/>
      <c r="O419" s="658"/>
      <c r="P419" s="658"/>
      <c r="Q419" s="658"/>
      <c r="R419" s="658"/>
      <c r="S419" s="658"/>
      <c r="T419" s="658"/>
      <c r="U419" s="658"/>
      <c r="V419" s="658"/>
      <c r="W419" s="658"/>
      <c r="X419" s="658"/>
      <c r="Y419" s="580">
        <f t="shared" si="10"/>
        <v>86</v>
      </c>
      <c r="Z419" s="581"/>
      <c r="AA419" s="581"/>
    </row>
    <row r="420" spans="1:27" s="388" customFormat="1" ht="18" customHeight="1">
      <c r="A420" s="589" t="s">
        <v>5</v>
      </c>
      <c r="B420" s="658"/>
      <c r="C420" s="658"/>
      <c r="D420" s="658"/>
      <c r="E420" s="658"/>
      <c r="F420" s="658"/>
      <c r="G420" s="658"/>
      <c r="H420" s="590">
        <v>516</v>
      </c>
      <c r="I420" s="590"/>
      <c r="J420" s="658"/>
      <c r="K420" s="658"/>
      <c r="L420" s="658"/>
      <c r="M420" s="658"/>
      <c r="N420" s="658"/>
      <c r="O420" s="658"/>
      <c r="P420" s="658"/>
      <c r="Q420" s="658"/>
      <c r="R420" s="658"/>
      <c r="S420" s="658"/>
      <c r="T420" s="658"/>
      <c r="U420" s="658"/>
      <c r="V420" s="658"/>
      <c r="W420" s="658"/>
      <c r="X420" s="658"/>
      <c r="Y420" s="580">
        <f t="shared" si="10"/>
        <v>516</v>
      </c>
      <c r="Z420" s="581"/>
      <c r="AA420" s="581"/>
    </row>
    <row r="421" spans="1:27" s="388" customFormat="1" ht="18" customHeight="1">
      <c r="A421" s="589" t="s">
        <v>6</v>
      </c>
      <c r="B421" s="590"/>
      <c r="C421" s="590"/>
      <c r="D421" s="590"/>
      <c r="E421" s="590"/>
      <c r="F421" s="590"/>
      <c r="G421" s="590"/>
      <c r="H421" s="590">
        <v>774</v>
      </c>
      <c r="I421" s="590"/>
      <c r="J421" s="590"/>
      <c r="K421" s="590"/>
      <c r="L421" s="590"/>
      <c r="M421" s="590"/>
      <c r="N421" s="590"/>
      <c r="O421" s="590"/>
      <c r="P421" s="590"/>
      <c r="Q421" s="590"/>
      <c r="R421" s="590"/>
      <c r="S421" s="590"/>
      <c r="T421" s="590"/>
      <c r="U421" s="590"/>
      <c r="V421" s="590"/>
      <c r="W421" s="590"/>
      <c r="X421" s="590"/>
      <c r="Y421" s="580">
        <f t="shared" si="10"/>
        <v>774</v>
      </c>
      <c r="Z421" s="581"/>
      <c r="AA421" s="581"/>
    </row>
    <row r="422" spans="1:27" s="388" customFormat="1" ht="18" customHeight="1">
      <c r="A422" s="589" t="s">
        <v>7</v>
      </c>
      <c r="B422" s="590"/>
      <c r="C422" s="590"/>
      <c r="D422" s="590"/>
      <c r="E422" s="590"/>
      <c r="F422" s="590"/>
      <c r="G422" s="590"/>
      <c r="H422" s="590">
        <v>258</v>
      </c>
      <c r="I422" s="590"/>
      <c r="J422" s="590"/>
      <c r="K422" s="590"/>
      <c r="L422" s="590"/>
      <c r="M422" s="590"/>
      <c r="N422" s="590"/>
      <c r="O422" s="590"/>
      <c r="P422" s="590"/>
      <c r="Q422" s="590"/>
      <c r="R422" s="590"/>
      <c r="S422" s="590"/>
      <c r="T422" s="590"/>
      <c r="U422" s="590"/>
      <c r="V422" s="590"/>
      <c r="W422" s="590"/>
      <c r="X422" s="590"/>
      <c r="Y422" s="580">
        <f t="shared" si="10"/>
        <v>258</v>
      </c>
      <c r="Z422" s="581"/>
      <c r="AA422" s="581"/>
    </row>
    <row r="423" spans="1:27" s="388" customFormat="1" ht="18" customHeight="1">
      <c r="A423" s="589" t="s">
        <v>8</v>
      </c>
      <c r="B423" s="590"/>
      <c r="C423" s="590"/>
      <c r="D423" s="590"/>
      <c r="E423" s="590"/>
      <c r="F423" s="590"/>
      <c r="G423" s="590"/>
      <c r="H423" s="590">
        <v>1376</v>
      </c>
      <c r="I423" s="590"/>
      <c r="J423" s="590"/>
      <c r="K423" s="590"/>
      <c r="L423" s="590"/>
      <c r="M423" s="590"/>
      <c r="N423" s="590"/>
      <c r="O423" s="590"/>
      <c r="P423" s="590"/>
      <c r="Q423" s="590"/>
      <c r="R423" s="590"/>
      <c r="S423" s="590"/>
      <c r="T423" s="590"/>
      <c r="U423" s="590"/>
      <c r="V423" s="590"/>
      <c r="W423" s="590"/>
      <c r="X423" s="590"/>
      <c r="Y423" s="580">
        <f t="shared" si="10"/>
        <v>1376</v>
      </c>
      <c r="Z423" s="581"/>
      <c r="AA423" s="581"/>
    </row>
    <row r="424" spans="1:27" s="388" customFormat="1" ht="18" customHeight="1">
      <c r="A424" s="589" t="s">
        <v>9</v>
      </c>
      <c r="B424" s="590"/>
      <c r="C424" s="590"/>
      <c r="D424" s="590"/>
      <c r="E424" s="590"/>
      <c r="F424" s="590"/>
      <c r="G424" s="590"/>
      <c r="H424" s="590">
        <v>516</v>
      </c>
      <c r="I424" s="590"/>
      <c r="J424" s="590"/>
      <c r="K424" s="590"/>
      <c r="L424" s="590"/>
      <c r="M424" s="590"/>
      <c r="N424" s="590"/>
      <c r="O424" s="590"/>
      <c r="P424" s="590"/>
      <c r="Q424" s="590"/>
      <c r="R424" s="590"/>
      <c r="S424" s="590"/>
      <c r="T424" s="590"/>
      <c r="U424" s="590"/>
      <c r="V424" s="590"/>
      <c r="W424" s="590"/>
      <c r="X424" s="590"/>
      <c r="Y424" s="580">
        <f t="shared" si="10"/>
        <v>516</v>
      </c>
      <c r="Z424" s="581"/>
      <c r="AA424" s="581"/>
    </row>
    <row r="425" spans="1:27" s="388" customFormat="1" ht="18" customHeight="1">
      <c r="A425" s="589" t="s">
        <v>10</v>
      </c>
      <c r="B425" s="590"/>
      <c r="C425" s="590"/>
      <c r="D425" s="590"/>
      <c r="E425" s="590"/>
      <c r="F425" s="590"/>
      <c r="G425" s="590"/>
      <c r="H425" s="590">
        <v>258</v>
      </c>
      <c r="I425" s="590"/>
      <c r="J425" s="590"/>
      <c r="K425" s="590"/>
      <c r="L425" s="590"/>
      <c r="M425" s="590"/>
      <c r="N425" s="590"/>
      <c r="O425" s="590"/>
      <c r="P425" s="590"/>
      <c r="Q425" s="590"/>
      <c r="R425" s="590"/>
      <c r="S425" s="590"/>
      <c r="T425" s="590"/>
      <c r="U425" s="590"/>
      <c r="V425" s="590"/>
      <c r="W425" s="590"/>
      <c r="X425" s="590"/>
      <c r="Y425" s="580">
        <f t="shared" si="10"/>
        <v>258</v>
      </c>
      <c r="Z425" s="581"/>
      <c r="AA425" s="581"/>
    </row>
    <row r="426" spans="1:27" s="388" customFormat="1" ht="18" customHeight="1">
      <c r="A426" s="589" t="s">
        <v>13</v>
      </c>
      <c r="B426" s="590"/>
      <c r="C426" s="590"/>
      <c r="D426" s="590"/>
      <c r="E426" s="590"/>
      <c r="F426" s="590"/>
      <c r="G426" s="590"/>
      <c r="H426" s="590">
        <v>86</v>
      </c>
      <c r="I426" s="590"/>
      <c r="J426" s="590"/>
      <c r="K426" s="590"/>
      <c r="L426" s="590"/>
      <c r="M426" s="590"/>
      <c r="N426" s="590"/>
      <c r="O426" s="590"/>
      <c r="P426" s="590"/>
      <c r="Q426" s="590"/>
      <c r="R426" s="590"/>
      <c r="S426" s="590"/>
      <c r="T426" s="590"/>
      <c r="U426" s="590"/>
      <c r="V426" s="590"/>
      <c r="W426" s="590"/>
      <c r="X426" s="590"/>
      <c r="Y426" s="580">
        <f t="shared" si="10"/>
        <v>86</v>
      </c>
      <c r="Z426" s="581"/>
      <c r="AA426" s="581"/>
    </row>
    <row r="427" spans="1:27" s="388" customFormat="1" ht="18" customHeight="1">
      <c r="A427" s="589" t="s">
        <v>14</v>
      </c>
      <c r="B427" s="590"/>
      <c r="C427" s="590"/>
      <c r="D427" s="590"/>
      <c r="E427" s="590"/>
      <c r="F427" s="590"/>
      <c r="G427" s="590"/>
      <c r="H427" s="590">
        <v>430</v>
      </c>
      <c r="I427" s="590"/>
      <c r="J427" s="590"/>
      <c r="K427" s="590"/>
      <c r="L427" s="590"/>
      <c r="M427" s="590"/>
      <c r="N427" s="590"/>
      <c r="O427" s="590"/>
      <c r="P427" s="590"/>
      <c r="Q427" s="590"/>
      <c r="R427" s="590"/>
      <c r="S427" s="590"/>
      <c r="T427" s="590"/>
      <c r="U427" s="590"/>
      <c r="V427" s="590"/>
      <c r="W427" s="590"/>
      <c r="X427" s="590"/>
      <c r="Y427" s="580">
        <f t="shared" si="10"/>
        <v>430</v>
      </c>
      <c r="Z427" s="581"/>
      <c r="AA427" s="581"/>
    </row>
    <row r="428" spans="1:27" s="388" customFormat="1" ht="18" customHeight="1">
      <c r="A428" s="589" t="s">
        <v>15</v>
      </c>
      <c r="B428" s="658"/>
      <c r="C428" s="658"/>
      <c r="D428" s="658"/>
      <c r="E428" s="658"/>
      <c r="F428" s="658"/>
      <c r="G428" s="658"/>
      <c r="H428" s="590">
        <v>1548</v>
      </c>
      <c r="I428" s="590"/>
      <c r="J428" s="658"/>
      <c r="K428" s="658"/>
      <c r="L428" s="658"/>
      <c r="M428" s="658"/>
      <c r="N428" s="658"/>
      <c r="O428" s="658"/>
      <c r="P428" s="658"/>
      <c r="Q428" s="658"/>
      <c r="R428" s="658"/>
      <c r="S428" s="658"/>
      <c r="T428" s="658"/>
      <c r="U428" s="658"/>
      <c r="V428" s="658"/>
      <c r="W428" s="658"/>
      <c r="X428" s="658"/>
      <c r="Y428" s="580">
        <f t="shared" si="10"/>
        <v>1548</v>
      </c>
      <c r="Z428" s="581"/>
      <c r="AA428" s="581"/>
    </row>
    <row r="429" spans="1:27" s="388" customFormat="1" ht="18" customHeight="1">
      <c r="A429" s="589" t="s">
        <v>17</v>
      </c>
      <c r="B429" s="658"/>
      <c r="C429" s="658"/>
      <c r="D429" s="658"/>
      <c r="E429" s="658"/>
      <c r="F429" s="658"/>
      <c r="G429" s="658"/>
      <c r="H429" s="590">
        <v>172</v>
      </c>
      <c r="I429" s="590"/>
      <c r="J429" s="658"/>
      <c r="K429" s="658"/>
      <c r="L429" s="658"/>
      <c r="M429" s="658"/>
      <c r="N429" s="658"/>
      <c r="O429" s="658"/>
      <c r="P429" s="658"/>
      <c r="Q429" s="658"/>
      <c r="R429" s="658"/>
      <c r="S429" s="658"/>
      <c r="T429" s="658"/>
      <c r="U429" s="658"/>
      <c r="V429" s="658"/>
      <c r="W429" s="658"/>
      <c r="X429" s="658"/>
      <c r="Y429" s="580">
        <f t="shared" si="10"/>
        <v>172</v>
      </c>
      <c r="Z429" s="581"/>
      <c r="AA429" s="581"/>
    </row>
    <row r="430" spans="1:27" s="388" customFormat="1" ht="18" customHeight="1">
      <c r="A430" s="589" t="s">
        <v>26</v>
      </c>
      <c r="B430" s="658"/>
      <c r="C430" s="658"/>
      <c r="D430" s="658"/>
      <c r="E430" s="658"/>
      <c r="F430" s="658"/>
      <c r="G430" s="658"/>
      <c r="H430" s="590">
        <v>1161</v>
      </c>
      <c r="I430" s="590"/>
      <c r="J430" s="658"/>
      <c r="K430" s="658"/>
      <c r="L430" s="658"/>
      <c r="M430" s="658"/>
      <c r="N430" s="658"/>
      <c r="O430" s="658"/>
      <c r="P430" s="658"/>
      <c r="Q430" s="658"/>
      <c r="R430" s="658"/>
      <c r="S430" s="658"/>
      <c r="T430" s="658"/>
      <c r="U430" s="658"/>
      <c r="V430" s="658"/>
      <c r="W430" s="658"/>
      <c r="X430" s="658"/>
      <c r="Y430" s="580">
        <f t="shared" si="10"/>
        <v>1161</v>
      </c>
      <c r="Z430" s="581"/>
      <c r="AA430" s="581"/>
    </row>
    <row r="431" spans="1:27" s="388" customFormat="1" ht="18" customHeight="1">
      <c r="A431" s="589" t="s">
        <v>27</v>
      </c>
      <c r="B431" s="590"/>
      <c r="C431" s="590"/>
      <c r="D431" s="590"/>
      <c r="E431" s="590"/>
      <c r="F431" s="590"/>
      <c r="G431" s="590"/>
      <c r="H431" s="590">
        <v>387</v>
      </c>
      <c r="I431" s="590"/>
      <c r="J431" s="590"/>
      <c r="K431" s="590"/>
      <c r="L431" s="590"/>
      <c r="M431" s="590"/>
      <c r="N431" s="590"/>
      <c r="O431" s="590"/>
      <c r="P431" s="590"/>
      <c r="Q431" s="590"/>
      <c r="R431" s="590"/>
      <c r="S431" s="590"/>
      <c r="T431" s="590"/>
      <c r="U431" s="590"/>
      <c r="V431" s="590"/>
      <c r="W431" s="590"/>
      <c r="X431" s="590"/>
      <c r="Y431" s="580">
        <f t="shared" si="10"/>
        <v>387</v>
      </c>
      <c r="Z431" s="581"/>
      <c r="AA431" s="581"/>
    </row>
    <row r="432" spans="1:27" s="388" customFormat="1" ht="18" customHeight="1">
      <c r="A432" s="589" t="s">
        <v>28</v>
      </c>
      <c r="B432" s="658"/>
      <c r="C432" s="658"/>
      <c r="D432" s="658"/>
      <c r="E432" s="658"/>
      <c r="F432" s="658"/>
      <c r="G432" s="658"/>
      <c r="H432" s="590">
        <v>1677</v>
      </c>
      <c r="I432" s="590"/>
      <c r="J432" s="658"/>
      <c r="K432" s="658"/>
      <c r="L432" s="658"/>
      <c r="M432" s="658"/>
      <c r="N432" s="658"/>
      <c r="O432" s="658"/>
      <c r="P432" s="658"/>
      <c r="Q432" s="658"/>
      <c r="R432" s="658"/>
      <c r="S432" s="658"/>
      <c r="T432" s="658"/>
      <c r="U432" s="658"/>
      <c r="V432" s="658"/>
      <c r="W432" s="658"/>
      <c r="X432" s="658"/>
      <c r="Y432" s="580">
        <f t="shared" si="10"/>
        <v>1677</v>
      </c>
      <c r="Z432" s="581"/>
      <c r="AA432" s="581"/>
    </row>
    <row r="433" spans="1:27" s="388" customFormat="1" ht="18" customHeight="1" hidden="1">
      <c r="A433" s="589" t="s">
        <v>29</v>
      </c>
      <c r="B433" s="590"/>
      <c r="C433" s="590"/>
      <c r="D433" s="590"/>
      <c r="E433" s="590"/>
      <c r="F433" s="590"/>
      <c r="G433" s="590"/>
      <c r="H433" s="590"/>
      <c r="I433" s="590"/>
      <c r="J433" s="590"/>
      <c r="K433" s="590"/>
      <c r="L433" s="590"/>
      <c r="M433" s="590"/>
      <c r="N433" s="590"/>
      <c r="O433" s="590"/>
      <c r="P433" s="590"/>
      <c r="Q433" s="590"/>
      <c r="R433" s="590"/>
      <c r="S433" s="590"/>
      <c r="T433" s="590"/>
      <c r="U433" s="590"/>
      <c r="V433" s="590"/>
      <c r="W433" s="590"/>
      <c r="X433" s="590"/>
      <c r="Y433" s="580">
        <f t="shared" si="10"/>
        <v>0</v>
      </c>
      <c r="Z433" s="581"/>
      <c r="AA433" s="581"/>
    </row>
    <row r="434" spans="1:27" s="388" customFormat="1" ht="18" customHeight="1">
      <c r="A434" s="589" t="s">
        <v>30</v>
      </c>
      <c r="B434" s="658"/>
      <c r="C434" s="658"/>
      <c r="D434" s="658"/>
      <c r="E434" s="658"/>
      <c r="F434" s="658"/>
      <c r="G434" s="658"/>
      <c r="H434" s="590">
        <v>258</v>
      </c>
      <c r="I434" s="590"/>
      <c r="J434" s="658"/>
      <c r="K434" s="658"/>
      <c r="L434" s="658"/>
      <c r="M434" s="658"/>
      <c r="N434" s="658"/>
      <c r="O434" s="658"/>
      <c r="P434" s="658"/>
      <c r="Q434" s="658"/>
      <c r="R434" s="658"/>
      <c r="S434" s="658"/>
      <c r="T434" s="658"/>
      <c r="U434" s="658"/>
      <c r="V434" s="658"/>
      <c r="W434" s="658"/>
      <c r="X434" s="658"/>
      <c r="Y434" s="580">
        <f t="shared" si="10"/>
        <v>258</v>
      </c>
      <c r="Z434" s="581"/>
      <c r="AA434" s="581"/>
    </row>
    <row r="435" spans="1:27" s="388" customFormat="1" ht="18" customHeight="1" hidden="1">
      <c r="A435" s="589" t="s">
        <v>31</v>
      </c>
      <c r="B435" s="590"/>
      <c r="C435" s="590"/>
      <c r="D435" s="590"/>
      <c r="E435" s="590"/>
      <c r="F435" s="590"/>
      <c r="G435" s="590"/>
      <c r="H435" s="590"/>
      <c r="I435" s="590"/>
      <c r="J435" s="590"/>
      <c r="K435" s="590"/>
      <c r="L435" s="590"/>
      <c r="M435" s="590"/>
      <c r="N435" s="590"/>
      <c r="O435" s="590"/>
      <c r="P435" s="590"/>
      <c r="Q435" s="590"/>
      <c r="R435" s="590"/>
      <c r="S435" s="590"/>
      <c r="T435" s="590"/>
      <c r="U435" s="590"/>
      <c r="V435" s="590"/>
      <c r="W435" s="590"/>
      <c r="X435" s="590"/>
      <c r="Y435" s="580">
        <f t="shared" si="10"/>
        <v>0</v>
      </c>
      <c r="Z435" s="581"/>
      <c r="AA435" s="581"/>
    </row>
    <row r="436" spans="1:27" s="388" customFormat="1" ht="18" customHeight="1" hidden="1">
      <c r="A436" s="589" t="s">
        <v>32</v>
      </c>
      <c r="B436" s="658"/>
      <c r="C436" s="658"/>
      <c r="D436" s="658"/>
      <c r="E436" s="658"/>
      <c r="F436" s="658"/>
      <c r="G436" s="658"/>
      <c r="H436" s="590"/>
      <c r="I436" s="590"/>
      <c r="J436" s="658"/>
      <c r="K436" s="658"/>
      <c r="L436" s="658"/>
      <c r="M436" s="658"/>
      <c r="N436" s="658"/>
      <c r="O436" s="658"/>
      <c r="P436" s="658"/>
      <c r="Q436" s="658"/>
      <c r="R436" s="658"/>
      <c r="S436" s="658"/>
      <c r="T436" s="658"/>
      <c r="U436" s="658"/>
      <c r="V436" s="658"/>
      <c r="W436" s="658"/>
      <c r="X436" s="658"/>
      <c r="Y436" s="580">
        <f t="shared" si="10"/>
        <v>0</v>
      </c>
      <c r="Z436" s="581"/>
      <c r="AA436" s="581"/>
    </row>
    <row r="437" spans="1:27" s="388" customFormat="1" ht="18" customHeight="1" hidden="1">
      <c r="A437" s="589" t="s">
        <v>33</v>
      </c>
      <c r="B437" s="590"/>
      <c r="C437" s="590"/>
      <c r="D437" s="590"/>
      <c r="E437" s="590"/>
      <c r="F437" s="590"/>
      <c r="G437" s="590"/>
      <c r="H437" s="590"/>
      <c r="I437" s="590"/>
      <c r="J437" s="590"/>
      <c r="K437" s="590"/>
      <c r="L437" s="590"/>
      <c r="M437" s="590"/>
      <c r="N437" s="590"/>
      <c r="O437" s="590"/>
      <c r="P437" s="590"/>
      <c r="Q437" s="590"/>
      <c r="R437" s="590"/>
      <c r="S437" s="590"/>
      <c r="T437" s="590"/>
      <c r="U437" s="590"/>
      <c r="V437" s="590"/>
      <c r="W437" s="590"/>
      <c r="X437" s="590"/>
      <c r="Y437" s="580">
        <f t="shared" si="10"/>
        <v>0</v>
      </c>
      <c r="Z437" s="581"/>
      <c r="AA437" s="581"/>
    </row>
    <row r="438" spans="1:27" s="388" customFormat="1" ht="18" customHeight="1">
      <c r="A438" s="589" t="s">
        <v>34</v>
      </c>
      <c r="B438" s="658"/>
      <c r="C438" s="658"/>
      <c r="D438" s="658"/>
      <c r="E438" s="658"/>
      <c r="F438" s="658"/>
      <c r="G438" s="658"/>
      <c r="H438" s="590">
        <v>258</v>
      </c>
      <c r="I438" s="590"/>
      <c r="J438" s="658"/>
      <c r="K438" s="658"/>
      <c r="L438" s="658"/>
      <c r="M438" s="658"/>
      <c r="N438" s="658"/>
      <c r="O438" s="658"/>
      <c r="P438" s="658"/>
      <c r="Q438" s="658"/>
      <c r="R438" s="658"/>
      <c r="S438" s="658"/>
      <c r="T438" s="658"/>
      <c r="U438" s="658"/>
      <c r="V438" s="658"/>
      <c r="W438" s="658"/>
      <c r="X438" s="658"/>
      <c r="Y438" s="580">
        <f t="shared" si="10"/>
        <v>258</v>
      </c>
      <c r="Z438" s="581"/>
      <c r="AA438" s="581"/>
    </row>
    <row r="439" spans="1:27" s="388" customFormat="1" ht="18" customHeight="1">
      <c r="A439" s="589" t="s">
        <v>41</v>
      </c>
      <c r="B439" s="590"/>
      <c r="C439" s="590"/>
      <c r="D439" s="590"/>
      <c r="E439" s="590"/>
      <c r="F439" s="590"/>
      <c r="G439" s="590"/>
      <c r="H439" s="590">
        <v>258</v>
      </c>
      <c r="I439" s="590"/>
      <c r="J439" s="590"/>
      <c r="K439" s="590"/>
      <c r="L439" s="590"/>
      <c r="M439" s="590"/>
      <c r="N439" s="590"/>
      <c r="O439" s="590"/>
      <c r="P439" s="590"/>
      <c r="Q439" s="590"/>
      <c r="R439" s="590"/>
      <c r="S439" s="590"/>
      <c r="T439" s="590"/>
      <c r="U439" s="590"/>
      <c r="V439" s="590"/>
      <c r="W439" s="590"/>
      <c r="X439" s="590"/>
      <c r="Y439" s="580">
        <f t="shared" si="10"/>
        <v>258</v>
      </c>
      <c r="Z439" s="581"/>
      <c r="AA439" s="581"/>
    </row>
    <row r="440" spans="1:27" s="388" customFormat="1" ht="18" customHeight="1" hidden="1">
      <c r="A440" s="589" t="s">
        <v>767</v>
      </c>
      <c r="B440" s="658"/>
      <c r="C440" s="658"/>
      <c r="D440" s="658"/>
      <c r="E440" s="658"/>
      <c r="F440" s="658"/>
      <c r="G440" s="658"/>
      <c r="H440" s="590"/>
      <c r="I440" s="590"/>
      <c r="J440" s="658"/>
      <c r="K440" s="658"/>
      <c r="L440" s="658"/>
      <c r="M440" s="658"/>
      <c r="N440" s="658"/>
      <c r="O440" s="658"/>
      <c r="P440" s="658"/>
      <c r="Q440" s="658"/>
      <c r="R440" s="658"/>
      <c r="S440" s="658"/>
      <c r="T440" s="658"/>
      <c r="U440" s="658"/>
      <c r="V440" s="658"/>
      <c r="W440" s="658"/>
      <c r="X440" s="658"/>
      <c r="Y440" s="580">
        <f t="shared" si="10"/>
        <v>0</v>
      </c>
      <c r="Z440" s="581"/>
      <c r="AA440" s="581"/>
    </row>
    <row r="441" spans="1:27" s="388" customFormat="1" ht="18" customHeight="1" hidden="1">
      <c r="A441" s="589" t="s">
        <v>79</v>
      </c>
      <c r="B441" s="590"/>
      <c r="C441" s="590"/>
      <c r="D441" s="590"/>
      <c r="E441" s="590"/>
      <c r="F441" s="590"/>
      <c r="G441" s="590"/>
      <c r="H441" s="590"/>
      <c r="I441" s="590"/>
      <c r="J441" s="590"/>
      <c r="K441" s="590"/>
      <c r="L441" s="590"/>
      <c r="M441" s="590"/>
      <c r="N441" s="590"/>
      <c r="O441" s="590"/>
      <c r="P441" s="590"/>
      <c r="Q441" s="590"/>
      <c r="R441" s="590"/>
      <c r="S441" s="590"/>
      <c r="T441" s="590"/>
      <c r="U441" s="590"/>
      <c r="V441" s="590"/>
      <c r="W441" s="590"/>
      <c r="X441" s="590"/>
      <c r="Y441" s="580">
        <f t="shared" si="10"/>
        <v>0</v>
      </c>
      <c r="Z441" s="581"/>
      <c r="AA441" s="581"/>
    </row>
    <row r="442" spans="1:27" s="388" customFormat="1" ht="18" customHeight="1" hidden="1">
      <c r="A442" s="589" t="s">
        <v>768</v>
      </c>
      <c r="B442" s="658"/>
      <c r="C442" s="658"/>
      <c r="D442" s="658"/>
      <c r="E442" s="658"/>
      <c r="F442" s="658"/>
      <c r="G442" s="658"/>
      <c r="H442" s="590"/>
      <c r="I442" s="590"/>
      <c r="J442" s="658"/>
      <c r="K442" s="658"/>
      <c r="L442" s="658"/>
      <c r="M442" s="658"/>
      <c r="N442" s="658"/>
      <c r="O442" s="658"/>
      <c r="P442" s="658"/>
      <c r="Q442" s="658"/>
      <c r="R442" s="658"/>
      <c r="S442" s="658"/>
      <c r="T442" s="658"/>
      <c r="U442" s="658"/>
      <c r="V442" s="658"/>
      <c r="W442" s="658"/>
      <c r="X442" s="658"/>
      <c r="Y442" s="580">
        <f t="shared" si="10"/>
        <v>0</v>
      </c>
      <c r="Z442" s="581"/>
      <c r="AA442" s="581"/>
    </row>
    <row r="443" spans="1:27" s="388" customFormat="1" ht="18" customHeight="1" hidden="1">
      <c r="A443" s="589" t="s">
        <v>80</v>
      </c>
      <c r="B443" s="590"/>
      <c r="C443" s="590"/>
      <c r="D443" s="590"/>
      <c r="E443" s="590"/>
      <c r="F443" s="590"/>
      <c r="G443" s="590"/>
      <c r="H443" s="590"/>
      <c r="I443" s="590"/>
      <c r="J443" s="590"/>
      <c r="K443" s="590"/>
      <c r="L443" s="590"/>
      <c r="M443" s="590"/>
      <c r="N443" s="590"/>
      <c r="O443" s="590"/>
      <c r="P443" s="590"/>
      <c r="Q443" s="590"/>
      <c r="R443" s="590"/>
      <c r="S443" s="590"/>
      <c r="T443" s="590"/>
      <c r="U443" s="590"/>
      <c r="V443" s="590"/>
      <c r="W443" s="590"/>
      <c r="X443" s="590"/>
      <c r="Y443" s="580">
        <f t="shared" si="10"/>
        <v>0</v>
      </c>
      <c r="Z443" s="581"/>
      <c r="AA443" s="581"/>
    </row>
    <row r="444" spans="1:27" s="388" customFormat="1" ht="18" customHeight="1">
      <c r="A444" s="589" t="s">
        <v>81</v>
      </c>
      <c r="B444" s="658"/>
      <c r="C444" s="658"/>
      <c r="D444" s="658"/>
      <c r="E444" s="658"/>
      <c r="F444" s="658"/>
      <c r="G444" s="658"/>
      <c r="H444" s="590">
        <v>387</v>
      </c>
      <c r="I444" s="590"/>
      <c r="J444" s="658"/>
      <c r="K444" s="658"/>
      <c r="L444" s="658"/>
      <c r="M444" s="658"/>
      <c r="N444" s="658"/>
      <c r="O444" s="658"/>
      <c r="P444" s="658"/>
      <c r="Q444" s="658"/>
      <c r="R444" s="658"/>
      <c r="S444" s="658"/>
      <c r="T444" s="658"/>
      <c r="U444" s="658"/>
      <c r="V444" s="658"/>
      <c r="W444" s="658"/>
      <c r="X444" s="658"/>
      <c r="Y444" s="580">
        <f t="shared" si="10"/>
        <v>387</v>
      </c>
      <c r="Z444" s="581"/>
      <c r="AA444" s="581"/>
    </row>
    <row r="445" spans="1:27" s="388" customFormat="1" ht="18" customHeight="1">
      <c r="A445" s="589" t="s">
        <v>305</v>
      </c>
      <c r="B445" s="658"/>
      <c r="C445" s="658"/>
      <c r="D445" s="658"/>
      <c r="E445" s="658"/>
      <c r="F445" s="658"/>
      <c r="G445" s="658"/>
      <c r="H445" s="590">
        <v>129</v>
      </c>
      <c r="I445" s="590"/>
      <c r="J445" s="658"/>
      <c r="K445" s="658"/>
      <c r="L445" s="658"/>
      <c r="M445" s="658"/>
      <c r="N445" s="658"/>
      <c r="O445" s="658"/>
      <c r="P445" s="658"/>
      <c r="Q445" s="658"/>
      <c r="R445" s="658"/>
      <c r="S445" s="658"/>
      <c r="T445" s="658"/>
      <c r="U445" s="658"/>
      <c r="V445" s="658"/>
      <c r="W445" s="658"/>
      <c r="X445" s="658"/>
      <c r="Y445" s="580">
        <f t="shared" si="10"/>
        <v>129</v>
      </c>
      <c r="Z445" s="581"/>
      <c r="AA445" s="581"/>
    </row>
    <row r="446" spans="1:27" s="388" customFormat="1" ht="18" customHeight="1" hidden="1">
      <c r="A446" s="589" t="s">
        <v>44</v>
      </c>
      <c r="B446" s="590"/>
      <c r="C446" s="590"/>
      <c r="D446" s="590"/>
      <c r="E446" s="590"/>
      <c r="F446" s="590"/>
      <c r="G446" s="590"/>
      <c r="H446" s="590"/>
      <c r="I446" s="590"/>
      <c r="J446" s="590"/>
      <c r="K446" s="590"/>
      <c r="L446" s="590"/>
      <c r="M446" s="590"/>
      <c r="N446" s="590"/>
      <c r="O446" s="590"/>
      <c r="P446" s="590"/>
      <c r="Q446" s="590"/>
      <c r="R446" s="590"/>
      <c r="S446" s="590"/>
      <c r="T446" s="590"/>
      <c r="U446" s="590"/>
      <c r="V446" s="590"/>
      <c r="W446" s="590"/>
      <c r="X446" s="590"/>
      <c r="Y446" s="580">
        <f t="shared" si="10"/>
        <v>0</v>
      </c>
      <c r="Z446" s="581"/>
      <c r="AA446" s="581"/>
    </row>
    <row r="447" spans="1:27" s="388" customFormat="1" ht="18" customHeight="1">
      <c r="A447" s="589" t="s">
        <v>45</v>
      </c>
      <c r="B447" s="658"/>
      <c r="C447" s="658"/>
      <c r="D447" s="658"/>
      <c r="E447" s="658"/>
      <c r="F447" s="658"/>
      <c r="G447" s="658"/>
      <c r="H447" s="590">
        <v>129</v>
      </c>
      <c r="I447" s="590"/>
      <c r="J447" s="658"/>
      <c r="K447" s="658"/>
      <c r="L447" s="658"/>
      <c r="M447" s="658"/>
      <c r="N447" s="658"/>
      <c r="O447" s="658"/>
      <c r="P447" s="658"/>
      <c r="Q447" s="658"/>
      <c r="R447" s="658"/>
      <c r="S447" s="658"/>
      <c r="T447" s="658"/>
      <c r="U447" s="658"/>
      <c r="V447" s="658"/>
      <c r="W447" s="658"/>
      <c r="X447" s="658"/>
      <c r="Y447" s="580">
        <f aca="true" t="shared" si="11" ref="Y447:Y454">SUM(B447:X447)</f>
        <v>129</v>
      </c>
      <c r="Z447" s="581"/>
      <c r="AA447" s="581"/>
    </row>
    <row r="448" spans="1:27" s="388" customFormat="1" ht="18" customHeight="1">
      <c r="A448" s="589" t="s">
        <v>46</v>
      </c>
      <c r="B448" s="658"/>
      <c r="C448" s="658"/>
      <c r="D448" s="658"/>
      <c r="E448" s="658"/>
      <c r="F448" s="658"/>
      <c r="G448" s="658"/>
      <c r="H448" s="590">
        <v>258</v>
      </c>
      <c r="I448" s="590"/>
      <c r="J448" s="658"/>
      <c r="K448" s="658"/>
      <c r="L448" s="658"/>
      <c r="M448" s="658"/>
      <c r="N448" s="658"/>
      <c r="O448" s="658"/>
      <c r="P448" s="658"/>
      <c r="Q448" s="658"/>
      <c r="R448" s="658"/>
      <c r="S448" s="658"/>
      <c r="T448" s="658"/>
      <c r="U448" s="658"/>
      <c r="V448" s="658"/>
      <c r="W448" s="658"/>
      <c r="X448" s="658"/>
      <c r="Y448" s="580">
        <f t="shared" si="11"/>
        <v>258</v>
      </c>
      <c r="Z448" s="581"/>
      <c r="AA448" s="581"/>
    </row>
    <row r="449" spans="1:27" s="388" customFormat="1" ht="18" customHeight="1">
      <c r="A449" s="589" t="s">
        <v>52</v>
      </c>
      <c r="B449" s="658"/>
      <c r="C449" s="658"/>
      <c r="D449" s="658"/>
      <c r="E449" s="658"/>
      <c r="F449" s="658"/>
      <c r="G449" s="658"/>
      <c r="H449" s="590">
        <v>129</v>
      </c>
      <c r="I449" s="590"/>
      <c r="J449" s="658"/>
      <c r="K449" s="658"/>
      <c r="L449" s="658"/>
      <c r="M449" s="658"/>
      <c r="N449" s="658"/>
      <c r="O449" s="658"/>
      <c r="P449" s="658"/>
      <c r="Q449" s="658"/>
      <c r="R449" s="658"/>
      <c r="S449" s="658"/>
      <c r="T449" s="658"/>
      <c r="U449" s="658"/>
      <c r="V449" s="658"/>
      <c r="W449" s="658"/>
      <c r="X449" s="658"/>
      <c r="Y449" s="580">
        <f t="shared" si="11"/>
        <v>129</v>
      </c>
      <c r="Z449" s="581"/>
      <c r="AA449" s="581"/>
    </row>
    <row r="450" spans="1:27" s="388" customFormat="1" ht="18" customHeight="1" hidden="1">
      <c r="A450" s="589" t="s">
        <v>329</v>
      </c>
      <c r="B450" s="590"/>
      <c r="C450" s="590"/>
      <c r="D450" s="590"/>
      <c r="E450" s="590"/>
      <c r="F450" s="590"/>
      <c r="G450" s="590"/>
      <c r="H450" s="590"/>
      <c r="I450" s="590"/>
      <c r="J450" s="590"/>
      <c r="K450" s="590"/>
      <c r="L450" s="590"/>
      <c r="M450" s="590"/>
      <c r="N450" s="590"/>
      <c r="O450" s="590"/>
      <c r="P450" s="590"/>
      <c r="Q450" s="590"/>
      <c r="R450" s="590"/>
      <c r="S450" s="590"/>
      <c r="T450" s="590"/>
      <c r="U450" s="590"/>
      <c r="V450" s="590"/>
      <c r="W450" s="590"/>
      <c r="X450" s="590"/>
      <c r="Y450" s="580">
        <f t="shared" si="11"/>
        <v>0</v>
      </c>
      <c r="Z450" s="581"/>
      <c r="AA450" s="581"/>
    </row>
    <row r="451" spans="1:27" s="388" customFormat="1" ht="18" customHeight="1" hidden="1">
      <c r="A451" s="589" t="s">
        <v>54</v>
      </c>
      <c r="B451" s="658"/>
      <c r="C451" s="658"/>
      <c r="D451" s="658"/>
      <c r="E451" s="658"/>
      <c r="F451" s="658"/>
      <c r="G451" s="658"/>
      <c r="H451" s="590"/>
      <c r="I451" s="590"/>
      <c r="J451" s="658"/>
      <c r="K451" s="658"/>
      <c r="L451" s="658"/>
      <c r="M451" s="658"/>
      <c r="N451" s="658"/>
      <c r="O451" s="658"/>
      <c r="P451" s="658"/>
      <c r="Q451" s="658"/>
      <c r="R451" s="658"/>
      <c r="S451" s="658"/>
      <c r="T451" s="658"/>
      <c r="U451" s="658"/>
      <c r="V451" s="658"/>
      <c r="W451" s="658"/>
      <c r="X451" s="658"/>
      <c r="Y451" s="580">
        <f t="shared" si="11"/>
        <v>0</v>
      </c>
      <c r="Z451" s="581"/>
      <c r="AA451" s="581"/>
    </row>
    <row r="452" spans="1:27" s="388" customFormat="1" ht="18" customHeight="1">
      <c r="A452" s="589" t="s">
        <v>333</v>
      </c>
      <c r="B452" s="658"/>
      <c r="C452" s="658"/>
      <c r="D452" s="658"/>
      <c r="E452" s="658"/>
      <c r="F452" s="658"/>
      <c r="G452" s="658"/>
      <c r="H452" s="590">
        <v>129</v>
      </c>
      <c r="I452" s="590"/>
      <c r="J452" s="658"/>
      <c r="K452" s="658"/>
      <c r="L452" s="658"/>
      <c r="M452" s="658"/>
      <c r="N452" s="658"/>
      <c r="O452" s="658"/>
      <c r="P452" s="658"/>
      <c r="Q452" s="658"/>
      <c r="R452" s="658"/>
      <c r="S452" s="658"/>
      <c r="T452" s="658"/>
      <c r="U452" s="658"/>
      <c r="V452" s="658"/>
      <c r="W452" s="658"/>
      <c r="X452" s="658"/>
      <c r="Y452" s="580">
        <f t="shared" si="11"/>
        <v>129</v>
      </c>
      <c r="Z452" s="581"/>
      <c r="AA452" s="581"/>
    </row>
    <row r="453" spans="1:27" s="388" customFormat="1" ht="28.5" customHeight="1">
      <c r="A453" s="620" t="s">
        <v>759</v>
      </c>
      <c r="B453" s="809"/>
      <c r="C453" s="809"/>
      <c r="D453" s="809"/>
      <c r="E453" s="809"/>
      <c r="F453" s="809"/>
      <c r="G453" s="809"/>
      <c r="H453" s="437">
        <v>258</v>
      </c>
      <c r="I453" s="437"/>
      <c r="J453" s="809"/>
      <c r="K453" s="809"/>
      <c r="L453" s="809"/>
      <c r="M453" s="809"/>
      <c r="N453" s="809"/>
      <c r="O453" s="809"/>
      <c r="P453" s="809"/>
      <c r="Q453" s="809"/>
      <c r="R453" s="809"/>
      <c r="S453" s="809"/>
      <c r="T453" s="809"/>
      <c r="U453" s="809"/>
      <c r="V453" s="809"/>
      <c r="W453" s="809"/>
      <c r="X453" s="809"/>
      <c r="Y453" s="580">
        <f t="shared" si="11"/>
        <v>258</v>
      </c>
      <c r="Z453" s="581"/>
      <c r="AA453" s="581"/>
    </row>
    <row r="454" spans="1:27" s="388" customFormat="1" ht="19.5" customHeight="1" thickBot="1">
      <c r="A454" s="622" t="s">
        <v>66</v>
      </c>
      <c r="B454" s="809"/>
      <c r="C454" s="809"/>
      <c r="D454" s="809"/>
      <c r="E454" s="809"/>
      <c r="F454" s="809"/>
      <c r="G454" s="809"/>
      <c r="H454" s="437">
        <v>258</v>
      </c>
      <c r="I454" s="437"/>
      <c r="J454" s="809"/>
      <c r="K454" s="809"/>
      <c r="L454" s="809"/>
      <c r="M454" s="809"/>
      <c r="N454" s="809"/>
      <c r="O454" s="809"/>
      <c r="P454" s="809"/>
      <c r="Q454" s="809"/>
      <c r="R454" s="809"/>
      <c r="S454" s="809"/>
      <c r="T454" s="809"/>
      <c r="U454" s="809"/>
      <c r="V454" s="809"/>
      <c r="W454" s="809"/>
      <c r="X454" s="809"/>
      <c r="Y454" s="580">
        <f t="shared" si="11"/>
        <v>258</v>
      </c>
      <c r="Z454" s="581"/>
      <c r="AA454" s="581"/>
    </row>
    <row r="455" spans="1:27" s="388" customFormat="1" ht="18" customHeight="1" hidden="1">
      <c r="A455" s="659" t="s">
        <v>334</v>
      </c>
      <c r="B455" s="660"/>
      <c r="C455" s="660"/>
      <c r="D455" s="660"/>
      <c r="E455" s="660"/>
      <c r="F455" s="660"/>
      <c r="G455" s="660"/>
      <c r="H455" s="660"/>
      <c r="I455" s="660"/>
      <c r="J455" s="660"/>
      <c r="K455" s="660"/>
      <c r="L455" s="660"/>
      <c r="M455" s="660"/>
      <c r="N455" s="660"/>
      <c r="O455" s="660"/>
      <c r="P455" s="660"/>
      <c r="Q455" s="660"/>
      <c r="R455" s="660"/>
      <c r="S455" s="660"/>
      <c r="T455" s="660"/>
      <c r="U455" s="660"/>
      <c r="V455" s="660"/>
      <c r="W455" s="660"/>
      <c r="X455" s="660"/>
      <c r="Y455" s="580">
        <f aca="true" t="shared" si="12" ref="Y455:Y513">SUM(B455:X455)</f>
        <v>0</v>
      </c>
      <c r="Z455" s="581"/>
      <c r="AA455" s="581"/>
    </row>
    <row r="456" spans="1:27" s="388" customFormat="1" ht="18" customHeight="1" hidden="1">
      <c r="A456" s="387" t="s">
        <v>719</v>
      </c>
      <c r="B456" s="661"/>
      <c r="C456" s="661"/>
      <c r="D456" s="661"/>
      <c r="E456" s="661"/>
      <c r="F456" s="661"/>
      <c r="G456" s="661"/>
      <c r="H456" s="600"/>
      <c r="I456" s="600"/>
      <c r="J456" s="661"/>
      <c r="K456" s="661"/>
      <c r="L456" s="661"/>
      <c r="M456" s="661"/>
      <c r="N456" s="661"/>
      <c r="O456" s="661"/>
      <c r="P456" s="661"/>
      <c r="Q456" s="661"/>
      <c r="R456" s="661"/>
      <c r="S456" s="661"/>
      <c r="T456" s="661"/>
      <c r="U456" s="661"/>
      <c r="V456" s="661"/>
      <c r="W456" s="661"/>
      <c r="X456" s="661"/>
      <c r="Y456" s="580">
        <f t="shared" si="12"/>
        <v>0</v>
      </c>
      <c r="Z456" s="581"/>
      <c r="AA456" s="581"/>
    </row>
    <row r="457" spans="1:27" s="388" customFormat="1" ht="18" customHeight="1" hidden="1">
      <c r="A457" s="589" t="s">
        <v>720</v>
      </c>
      <c r="B457" s="662"/>
      <c r="C457" s="662"/>
      <c r="D457" s="662"/>
      <c r="E457" s="662"/>
      <c r="F457" s="662"/>
      <c r="G457" s="662"/>
      <c r="H457" s="596"/>
      <c r="I457" s="596"/>
      <c r="J457" s="662"/>
      <c r="K457" s="662"/>
      <c r="L457" s="662"/>
      <c r="M457" s="662"/>
      <c r="N457" s="662"/>
      <c r="O457" s="662"/>
      <c r="P457" s="662"/>
      <c r="Q457" s="662"/>
      <c r="R457" s="662"/>
      <c r="S457" s="662"/>
      <c r="T457" s="662"/>
      <c r="U457" s="662"/>
      <c r="V457" s="662"/>
      <c r="W457" s="662"/>
      <c r="X457" s="662"/>
      <c r="Y457" s="580">
        <f t="shared" si="12"/>
        <v>0</v>
      </c>
      <c r="Z457" s="581"/>
      <c r="AA457" s="581"/>
    </row>
    <row r="458" spans="1:27" s="388" customFormat="1" ht="18" customHeight="1" hidden="1">
      <c r="A458" s="589" t="s">
        <v>721</v>
      </c>
      <c r="B458" s="662"/>
      <c r="C458" s="662"/>
      <c r="D458" s="662"/>
      <c r="E458" s="662"/>
      <c r="F458" s="662"/>
      <c r="G458" s="662"/>
      <c r="H458" s="596"/>
      <c r="I458" s="596"/>
      <c r="J458" s="662"/>
      <c r="K458" s="662"/>
      <c r="L458" s="662"/>
      <c r="M458" s="662"/>
      <c r="N458" s="662"/>
      <c r="O458" s="662"/>
      <c r="P458" s="662"/>
      <c r="Q458" s="662"/>
      <c r="R458" s="662"/>
      <c r="S458" s="662"/>
      <c r="T458" s="662"/>
      <c r="U458" s="662"/>
      <c r="V458" s="662"/>
      <c r="W458" s="662"/>
      <c r="X458" s="662"/>
      <c r="Y458" s="580">
        <f t="shared" si="12"/>
        <v>0</v>
      </c>
      <c r="Z458" s="581"/>
      <c r="AA458" s="581"/>
    </row>
    <row r="459" spans="1:27" s="388" customFormat="1" ht="18" customHeight="1" hidden="1">
      <c r="A459" s="589" t="s">
        <v>722</v>
      </c>
      <c r="B459" s="658"/>
      <c r="C459" s="658"/>
      <c r="D459" s="658"/>
      <c r="E459" s="658"/>
      <c r="F459" s="658"/>
      <c r="G459" s="658"/>
      <c r="H459" s="590"/>
      <c r="I459" s="590"/>
      <c r="J459" s="658"/>
      <c r="K459" s="658"/>
      <c r="L459" s="658"/>
      <c r="M459" s="658"/>
      <c r="N459" s="658"/>
      <c r="O459" s="658"/>
      <c r="P459" s="658"/>
      <c r="Q459" s="658"/>
      <c r="R459" s="658"/>
      <c r="S459" s="658"/>
      <c r="T459" s="658"/>
      <c r="U459" s="658"/>
      <c r="V459" s="658"/>
      <c r="W459" s="658"/>
      <c r="X459" s="658"/>
      <c r="Y459" s="580">
        <f t="shared" si="12"/>
        <v>0</v>
      </c>
      <c r="Z459" s="581"/>
      <c r="AA459" s="581"/>
    </row>
    <row r="460" spans="1:27" s="388" customFormat="1" ht="18" customHeight="1" hidden="1">
      <c r="A460" s="589" t="s">
        <v>723</v>
      </c>
      <c r="B460" s="590"/>
      <c r="C460" s="590"/>
      <c r="D460" s="590"/>
      <c r="E460" s="590"/>
      <c r="F460" s="590"/>
      <c r="G460" s="590"/>
      <c r="H460" s="590"/>
      <c r="I460" s="590"/>
      <c r="J460" s="590"/>
      <c r="K460" s="590"/>
      <c r="L460" s="590"/>
      <c r="M460" s="590"/>
      <c r="N460" s="590"/>
      <c r="O460" s="590"/>
      <c r="P460" s="590"/>
      <c r="Q460" s="590"/>
      <c r="R460" s="590"/>
      <c r="S460" s="590"/>
      <c r="T460" s="590"/>
      <c r="U460" s="590"/>
      <c r="V460" s="590"/>
      <c r="W460" s="590"/>
      <c r="X460" s="590"/>
      <c r="Y460" s="580">
        <f t="shared" si="12"/>
        <v>0</v>
      </c>
      <c r="Z460" s="581"/>
      <c r="AA460" s="581"/>
    </row>
    <row r="461" spans="1:27" s="388" customFormat="1" ht="18" customHeight="1" hidden="1">
      <c r="A461" s="589" t="s">
        <v>724</v>
      </c>
      <c r="B461" s="658"/>
      <c r="C461" s="658"/>
      <c r="D461" s="658"/>
      <c r="E461" s="658"/>
      <c r="F461" s="658"/>
      <c r="G461" s="658"/>
      <c r="H461" s="590"/>
      <c r="I461" s="590"/>
      <c r="J461" s="658"/>
      <c r="K461" s="658"/>
      <c r="L461" s="658"/>
      <c r="M461" s="658"/>
      <c r="N461" s="658"/>
      <c r="O461" s="658"/>
      <c r="P461" s="658"/>
      <c r="Q461" s="658"/>
      <c r="R461" s="658"/>
      <c r="S461" s="658"/>
      <c r="T461" s="658"/>
      <c r="U461" s="658"/>
      <c r="V461" s="658"/>
      <c r="W461" s="658"/>
      <c r="X461" s="658"/>
      <c r="Y461" s="580">
        <f t="shared" si="12"/>
        <v>0</v>
      </c>
      <c r="Z461" s="581"/>
      <c r="AA461" s="581"/>
    </row>
    <row r="462" spans="1:27" s="388" customFormat="1" ht="18" customHeight="1" hidden="1">
      <c r="A462" s="589" t="s">
        <v>725</v>
      </c>
      <c r="B462" s="658"/>
      <c r="C462" s="658"/>
      <c r="D462" s="658"/>
      <c r="E462" s="658"/>
      <c r="F462" s="658"/>
      <c r="G462" s="658"/>
      <c r="H462" s="590"/>
      <c r="I462" s="590"/>
      <c r="J462" s="658"/>
      <c r="K462" s="658"/>
      <c r="L462" s="658"/>
      <c r="M462" s="658"/>
      <c r="N462" s="658"/>
      <c r="O462" s="658"/>
      <c r="P462" s="658"/>
      <c r="Q462" s="658"/>
      <c r="R462" s="658"/>
      <c r="S462" s="658"/>
      <c r="T462" s="658"/>
      <c r="U462" s="658"/>
      <c r="V462" s="658"/>
      <c r="W462" s="658"/>
      <c r="X462" s="658"/>
      <c r="Y462" s="580">
        <f t="shared" si="12"/>
        <v>0</v>
      </c>
      <c r="Z462" s="581"/>
      <c r="AA462" s="581"/>
    </row>
    <row r="463" spans="1:27" s="388" customFormat="1" ht="18" customHeight="1" hidden="1">
      <c r="A463" s="589" t="s">
        <v>726</v>
      </c>
      <c r="B463" s="658"/>
      <c r="C463" s="658"/>
      <c r="D463" s="658"/>
      <c r="E463" s="658"/>
      <c r="F463" s="658"/>
      <c r="G463" s="658"/>
      <c r="H463" s="590"/>
      <c r="I463" s="590"/>
      <c r="J463" s="658"/>
      <c r="K463" s="658"/>
      <c r="L463" s="658"/>
      <c r="M463" s="658"/>
      <c r="N463" s="658"/>
      <c r="O463" s="658"/>
      <c r="P463" s="658"/>
      <c r="Q463" s="658"/>
      <c r="R463" s="658"/>
      <c r="S463" s="658"/>
      <c r="T463" s="658"/>
      <c r="U463" s="658"/>
      <c r="V463" s="658"/>
      <c r="W463" s="658"/>
      <c r="X463" s="658"/>
      <c r="Y463" s="580">
        <f t="shared" si="12"/>
        <v>0</v>
      </c>
      <c r="Z463" s="581"/>
      <c r="AA463" s="581"/>
    </row>
    <row r="464" spans="1:27" s="388" customFormat="1" ht="18" customHeight="1" hidden="1">
      <c r="A464" s="589" t="s">
        <v>727</v>
      </c>
      <c r="B464" s="590"/>
      <c r="C464" s="590"/>
      <c r="D464" s="590"/>
      <c r="E464" s="590"/>
      <c r="F464" s="590"/>
      <c r="G464" s="590"/>
      <c r="H464" s="590"/>
      <c r="I464" s="590"/>
      <c r="J464" s="590"/>
      <c r="K464" s="590"/>
      <c r="L464" s="590"/>
      <c r="M464" s="590"/>
      <c r="N464" s="590"/>
      <c r="O464" s="590"/>
      <c r="P464" s="590"/>
      <c r="Q464" s="590"/>
      <c r="R464" s="590"/>
      <c r="S464" s="590"/>
      <c r="T464" s="590"/>
      <c r="U464" s="590"/>
      <c r="V464" s="590"/>
      <c r="W464" s="590"/>
      <c r="X464" s="590"/>
      <c r="Y464" s="580">
        <f t="shared" si="12"/>
        <v>0</v>
      </c>
      <c r="Z464" s="581"/>
      <c r="AA464" s="581"/>
    </row>
    <row r="465" spans="1:27" s="388" customFormat="1" ht="18" customHeight="1" hidden="1">
      <c r="A465" s="589" t="s">
        <v>728</v>
      </c>
      <c r="B465" s="590"/>
      <c r="C465" s="590"/>
      <c r="D465" s="590"/>
      <c r="E465" s="590"/>
      <c r="F465" s="590"/>
      <c r="G465" s="590"/>
      <c r="H465" s="590"/>
      <c r="I465" s="590"/>
      <c r="J465" s="590"/>
      <c r="K465" s="590"/>
      <c r="L465" s="590"/>
      <c r="M465" s="590"/>
      <c r="N465" s="590"/>
      <c r="O465" s="590"/>
      <c r="P465" s="590"/>
      <c r="Q465" s="590"/>
      <c r="R465" s="590"/>
      <c r="S465" s="590"/>
      <c r="T465" s="590"/>
      <c r="U465" s="590"/>
      <c r="V465" s="590"/>
      <c r="W465" s="590"/>
      <c r="X465" s="590"/>
      <c r="Y465" s="580">
        <f t="shared" si="12"/>
        <v>0</v>
      </c>
      <c r="Z465" s="581"/>
      <c r="AA465" s="581"/>
    </row>
    <row r="466" spans="1:27" s="388" customFormat="1" ht="18" customHeight="1" hidden="1">
      <c r="A466" s="589" t="s">
        <v>729</v>
      </c>
      <c r="B466" s="658"/>
      <c r="C466" s="658"/>
      <c r="D466" s="658"/>
      <c r="E466" s="658"/>
      <c r="F466" s="658"/>
      <c r="G466" s="658"/>
      <c r="H466" s="590"/>
      <c r="I466" s="590"/>
      <c r="J466" s="658"/>
      <c r="K466" s="658"/>
      <c r="L466" s="658"/>
      <c r="M466" s="658"/>
      <c r="N466" s="658"/>
      <c r="O466" s="658"/>
      <c r="P466" s="658"/>
      <c r="Q466" s="658"/>
      <c r="R466" s="658"/>
      <c r="S466" s="658"/>
      <c r="T466" s="658"/>
      <c r="U466" s="658"/>
      <c r="V466" s="658"/>
      <c r="W466" s="658"/>
      <c r="X466" s="658"/>
      <c r="Y466" s="580">
        <f t="shared" si="12"/>
        <v>0</v>
      </c>
      <c r="Z466" s="581"/>
      <c r="AA466" s="581"/>
    </row>
    <row r="467" spans="1:27" s="388" customFormat="1" ht="18" customHeight="1" hidden="1">
      <c r="A467" s="589" t="s">
        <v>730</v>
      </c>
      <c r="B467" s="590"/>
      <c r="C467" s="590"/>
      <c r="D467" s="590"/>
      <c r="E467" s="590"/>
      <c r="F467" s="590"/>
      <c r="G467" s="590"/>
      <c r="H467" s="590"/>
      <c r="I467" s="590"/>
      <c r="J467" s="590"/>
      <c r="K467" s="590"/>
      <c r="L467" s="590"/>
      <c r="M467" s="590"/>
      <c r="N467" s="590"/>
      <c r="O467" s="590"/>
      <c r="P467" s="590"/>
      <c r="Q467" s="590"/>
      <c r="R467" s="590"/>
      <c r="S467" s="590"/>
      <c r="T467" s="590"/>
      <c r="U467" s="590"/>
      <c r="V467" s="590"/>
      <c r="W467" s="590"/>
      <c r="X467" s="590"/>
      <c r="Y467" s="580">
        <f t="shared" si="12"/>
        <v>0</v>
      </c>
      <c r="Z467" s="581"/>
      <c r="AA467" s="581"/>
    </row>
    <row r="468" spans="1:27" s="388" customFormat="1" ht="18" customHeight="1" hidden="1">
      <c r="A468" s="589" t="s">
        <v>731</v>
      </c>
      <c r="B468" s="658"/>
      <c r="C468" s="658"/>
      <c r="D468" s="658"/>
      <c r="E468" s="658"/>
      <c r="F468" s="658"/>
      <c r="G468" s="658"/>
      <c r="H468" s="590"/>
      <c r="I468" s="590"/>
      <c r="J468" s="658"/>
      <c r="K468" s="658"/>
      <c r="L468" s="658"/>
      <c r="M468" s="658"/>
      <c r="N468" s="658"/>
      <c r="O468" s="658"/>
      <c r="P468" s="658"/>
      <c r="Q468" s="658"/>
      <c r="R468" s="658"/>
      <c r="S468" s="658"/>
      <c r="T468" s="658"/>
      <c r="U468" s="658"/>
      <c r="V468" s="658"/>
      <c r="W468" s="658"/>
      <c r="X468" s="658"/>
      <c r="Y468" s="580">
        <f t="shared" si="12"/>
        <v>0</v>
      </c>
      <c r="Z468" s="581"/>
      <c r="AA468" s="581"/>
    </row>
    <row r="469" spans="1:27" s="388" customFormat="1" ht="18" customHeight="1" hidden="1">
      <c r="A469" s="589" t="s">
        <v>732</v>
      </c>
      <c r="B469" s="590"/>
      <c r="C469" s="590"/>
      <c r="D469" s="590"/>
      <c r="E469" s="590"/>
      <c r="F469" s="590"/>
      <c r="G469" s="590"/>
      <c r="H469" s="590"/>
      <c r="I469" s="590"/>
      <c r="J469" s="590"/>
      <c r="K469" s="590"/>
      <c r="L469" s="590"/>
      <c r="M469" s="590"/>
      <c r="N469" s="590"/>
      <c r="O469" s="590"/>
      <c r="P469" s="590"/>
      <c r="Q469" s="590"/>
      <c r="R469" s="590"/>
      <c r="S469" s="590"/>
      <c r="T469" s="590"/>
      <c r="U469" s="590"/>
      <c r="V469" s="590"/>
      <c r="W469" s="590"/>
      <c r="X469" s="590"/>
      <c r="Y469" s="580">
        <f t="shared" si="12"/>
        <v>0</v>
      </c>
      <c r="Z469" s="581"/>
      <c r="AA469" s="581"/>
    </row>
    <row r="470" spans="1:27" s="388" customFormat="1" ht="18" customHeight="1" hidden="1">
      <c r="A470" s="589" t="s">
        <v>733</v>
      </c>
      <c r="B470" s="658"/>
      <c r="C470" s="658"/>
      <c r="D470" s="658"/>
      <c r="E470" s="658"/>
      <c r="F470" s="658"/>
      <c r="G470" s="658"/>
      <c r="H470" s="590"/>
      <c r="I470" s="590"/>
      <c r="J470" s="658"/>
      <c r="K470" s="658"/>
      <c r="L470" s="658"/>
      <c r="M470" s="658"/>
      <c r="N470" s="658"/>
      <c r="O470" s="658"/>
      <c r="P470" s="658"/>
      <c r="Q470" s="658"/>
      <c r="R470" s="658"/>
      <c r="S470" s="658"/>
      <c r="T470" s="658"/>
      <c r="U470" s="658"/>
      <c r="V470" s="658"/>
      <c r="W470" s="658"/>
      <c r="X470" s="658"/>
      <c r="Y470" s="580">
        <f t="shared" si="12"/>
        <v>0</v>
      </c>
      <c r="Z470" s="581"/>
      <c r="AA470" s="581"/>
    </row>
    <row r="471" spans="1:27" s="388" customFormat="1" ht="18" customHeight="1" hidden="1">
      <c r="A471" s="589" t="s">
        <v>734</v>
      </c>
      <c r="B471" s="590"/>
      <c r="C471" s="590"/>
      <c r="D471" s="590"/>
      <c r="E471" s="590"/>
      <c r="F471" s="590"/>
      <c r="G471" s="590"/>
      <c r="H471" s="590"/>
      <c r="I471" s="590"/>
      <c r="J471" s="590"/>
      <c r="K471" s="590"/>
      <c r="L471" s="590"/>
      <c r="M471" s="590"/>
      <c r="N471" s="590"/>
      <c r="O471" s="590"/>
      <c r="P471" s="590"/>
      <c r="Q471" s="590"/>
      <c r="R471" s="590"/>
      <c r="S471" s="590"/>
      <c r="T471" s="590"/>
      <c r="U471" s="590"/>
      <c r="V471" s="590"/>
      <c r="W471" s="590"/>
      <c r="X471" s="590"/>
      <c r="Y471" s="580">
        <f t="shared" si="12"/>
        <v>0</v>
      </c>
      <c r="Z471" s="581"/>
      <c r="AA471" s="581"/>
    </row>
    <row r="472" spans="1:27" s="388" customFormat="1" ht="18" customHeight="1" hidden="1">
      <c r="A472" s="589" t="s">
        <v>735</v>
      </c>
      <c r="B472" s="658"/>
      <c r="C472" s="658"/>
      <c r="D472" s="658"/>
      <c r="E472" s="658"/>
      <c r="F472" s="658"/>
      <c r="G472" s="658"/>
      <c r="H472" s="590"/>
      <c r="I472" s="590"/>
      <c r="J472" s="658"/>
      <c r="K472" s="658"/>
      <c r="L472" s="658"/>
      <c r="M472" s="658"/>
      <c r="N472" s="658"/>
      <c r="O472" s="658"/>
      <c r="P472" s="658"/>
      <c r="Q472" s="658"/>
      <c r="R472" s="658"/>
      <c r="S472" s="658"/>
      <c r="T472" s="658"/>
      <c r="U472" s="658"/>
      <c r="V472" s="658"/>
      <c r="W472" s="658"/>
      <c r="X472" s="658"/>
      <c r="Y472" s="580">
        <f t="shared" si="12"/>
        <v>0</v>
      </c>
      <c r="Z472" s="581"/>
      <c r="AA472" s="581"/>
    </row>
    <row r="473" spans="1:27" s="388" customFormat="1" ht="18" customHeight="1" hidden="1">
      <c r="A473" s="589" t="s">
        <v>736</v>
      </c>
      <c r="B473" s="590"/>
      <c r="C473" s="590"/>
      <c r="D473" s="590"/>
      <c r="E473" s="590"/>
      <c r="F473" s="590"/>
      <c r="G473" s="590"/>
      <c r="H473" s="590"/>
      <c r="I473" s="590"/>
      <c r="J473" s="590"/>
      <c r="K473" s="590"/>
      <c r="L473" s="590"/>
      <c r="M473" s="590"/>
      <c r="N473" s="590"/>
      <c r="O473" s="590"/>
      <c r="P473" s="590"/>
      <c r="Q473" s="590"/>
      <c r="R473" s="590"/>
      <c r="S473" s="590"/>
      <c r="T473" s="590"/>
      <c r="U473" s="590"/>
      <c r="V473" s="590"/>
      <c r="W473" s="590"/>
      <c r="X473" s="590"/>
      <c r="Y473" s="580">
        <f t="shared" si="12"/>
        <v>0</v>
      </c>
      <c r="Z473" s="581"/>
      <c r="AA473" s="581"/>
    </row>
    <row r="474" spans="1:27" s="388" customFormat="1" ht="18" customHeight="1" hidden="1">
      <c r="A474" s="589" t="s">
        <v>737</v>
      </c>
      <c r="B474" s="590"/>
      <c r="C474" s="590"/>
      <c r="D474" s="590"/>
      <c r="E474" s="590"/>
      <c r="F474" s="590"/>
      <c r="G474" s="590"/>
      <c r="H474" s="590"/>
      <c r="I474" s="590"/>
      <c r="J474" s="590"/>
      <c r="K474" s="590"/>
      <c r="L474" s="590"/>
      <c r="M474" s="590"/>
      <c r="N474" s="590"/>
      <c r="O474" s="590"/>
      <c r="P474" s="590"/>
      <c r="Q474" s="590"/>
      <c r="R474" s="590"/>
      <c r="S474" s="590"/>
      <c r="T474" s="590"/>
      <c r="U474" s="590"/>
      <c r="V474" s="590"/>
      <c r="W474" s="590"/>
      <c r="X474" s="590"/>
      <c r="Y474" s="580">
        <f t="shared" si="12"/>
        <v>0</v>
      </c>
      <c r="Z474" s="581"/>
      <c r="AA474" s="581"/>
    </row>
    <row r="475" spans="1:27" s="388" customFormat="1" ht="18" customHeight="1" hidden="1">
      <c r="A475" s="589" t="s">
        <v>738</v>
      </c>
      <c r="B475" s="590"/>
      <c r="C475" s="590"/>
      <c r="D475" s="590"/>
      <c r="E475" s="590"/>
      <c r="F475" s="590"/>
      <c r="G475" s="590"/>
      <c r="H475" s="590"/>
      <c r="I475" s="590"/>
      <c r="J475" s="590"/>
      <c r="K475" s="590"/>
      <c r="L475" s="590"/>
      <c r="M475" s="590"/>
      <c r="N475" s="590"/>
      <c r="O475" s="590"/>
      <c r="P475" s="590"/>
      <c r="Q475" s="590"/>
      <c r="R475" s="590"/>
      <c r="S475" s="590"/>
      <c r="T475" s="590"/>
      <c r="U475" s="590"/>
      <c r="V475" s="590"/>
      <c r="W475" s="590"/>
      <c r="X475" s="590"/>
      <c r="Y475" s="580">
        <f t="shared" si="12"/>
        <v>0</v>
      </c>
      <c r="Z475" s="581"/>
      <c r="AA475" s="581"/>
    </row>
    <row r="476" spans="1:27" s="388" customFormat="1" ht="18" customHeight="1" hidden="1">
      <c r="A476" s="589" t="s">
        <v>739</v>
      </c>
      <c r="B476" s="662"/>
      <c r="C476" s="662"/>
      <c r="D476" s="662"/>
      <c r="E476" s="662"/>
      <c r="F476" s="662"/>
      <c r="G476" s="662"/>
      <c r="H476" s="596"/>
      <c r="I476" s="596"/>
      <c r="J476" s="662"/>
      <c r="K476" s="662"/>
      <c r="L476" s="662"/>
      <c r="M476" s="662"/>
      <c r="N476" s="662"/>
      <c r="O476" s="662"/>
      <c r="P476" s="662"/>
      <c r="Q476" s="662"/>
      <c r="R476" s="662"/>
      <c r="S476" s="662"/>
      <c r="T476" s="662"/>
      <c r="U476" s="662"/>
      <c r="V476" s="662"/>
      <c r="W476" s="662"/>
      <c r="X476" s="662"/>
      <c r="Y476" s="580">
        <f t="shared" si="12"/>
        <v>0</v>
      </c>
      <c r="Z476" s="581"/>
      <c r="AA476" s="581"/>
    </row>
    <row r="477" spans="1:27" s="388" customFormat="1" ht="18" customHeight="1" hidden="1">
      <c r="A477" s="589" t="s">
        <v>740</v>
      </c>
      <c r="B477" s="590"/>
      <c r="C477" s="590"/>
      <c r="D477" s="590"/>
      <c r="E477" s="590"/>
      <c r="F477" s="590"/>
      <c r="G477" s="590"/>
      <c r="H477" s="590"/>
      <c r="I477" s="590"/>
      <c r="J477" s="590"/>
      <c r="K477" s="590"/>
      <c r="L477" s="590"/>
      <c r="M477" s="590"/>
      <c r="N477" s="590"/>
      <c r="O477" s="590"/>
      <c r="P477" s="590"/>
      <c r="Q477" s="590"/>
      <c r="R477" s="590"/>
      <c r="S477" s="590"/>
      <c r="T477" s="590"/>
      <c r="U477" s="590"/>
      <c r="V477" s="590"/>
      <c r="W477" s="590"/>
      <c r="X477" s="590"/>
      <c r="Y477" s="580">
        <f t="shared" si="12"/>
        <v>0</v>
      </c>
      <c r="Z477" s="581"/>
      <c r="AA477" s="581"/>
    </row>
    <row r="478" spans="1:27" s="388" customFormat="1" ht="18" customHeight="1" hidden="1">
      <c r="A478" s="589" t="s">
        <v>741</v>
      </c>
      <c r="B478" s="590"/>
      <c r="C478" s="590"/>
      <c r="D478" s="590"/>
      <c r="E478" s="590"/>
      <c r="F478" s="590"/>
      <c r="G478" s="590"/>
      <c r="H478" s="590"/>
      <c r="I478" s="590"/>
      <c r="J478" s="590"/>
      <c r="K478" s="590"/>
      <c r="L478" s="590"/>
      <c r="M478" s="590"/>
      <c r="N478" s="590"/>
      <c r="O478" s="590"/>
      <c r="P478" s="590"/>
      <c r="Q478" s="590"/>
      <c r="R478" s="590"/>
      <c r="S478" s="590"/>
      <c r="T478" s="590"/>
      <c r="U478" s="590"/>
      <c r="V478" s="590"/>
      <c r="W478" s="590"/>
      <c r="X478" s="590"/>
      <c r="Y478" s="580">
        <f t="shared" si="12"/>
        <v>0</v>
      </c>
      <c r="Z478" s="581"/>
      <c r="AA478" s="581"/>
    </row>
    <row r="479" spans="1:27" s="388" customFormat="1" ht="18" customHeight="1" hidden="1">
      <c r="A479" s="589" t="s">
        <v>742</v>
      </c>
      <c r="B479" s="590"/>
      <c r="C479" s="590"/>
      <c r="D479" s="590"/>
      <c r="E479" s="590"/>
      <c r="F479" s="590"/>
      <c r="G479" s="590"/>
      <c r="H479" s="590"/>
      <c r="I479" s="590"/>
      <c r="J479" s="590"/>
      <c r="K479" s="590"/>
      <c r="L479" s="590"/>
      <c r="M479" s="590"/>
      <c r="N479" s="590"/>
      <c r="O479" s="590"/>
      <c r="P479" s="590"/>
      <c r="Q479" s="590"/>
      <c r="R479" s="590"/>
      <c r="S479" s="590"/>
      <c r="T479" s="590"/>
      <c r="U479" s="590"/>
      <c r="V479" s="590"/>
      <c r="W479" s="590"/>
      <c r="X479" s="590"/>
      <c r="Y479" s="580">
        <f t="shared" si="12"/>
        <v>0</v>
      </c>
      <c r="Z479" s="581"/>
      <c r="AA479" s="581"/>
    </row>
    <row r="480" spans="1:27" s="388" customFormat="1" ht="18" customHeight="1" hidden="1">
      <c r="A480" s="589" t="s">
        <v>746</v>
      </c>
      <c r="B480" s="658"/>
      <c r="C480" s="658"/>
      <c r="D480" s="658"/>
      <c r="E480" s="658"/>
      <c r="F480" s="658"/>
      <c r="G480" s="658"/>
      <c r="H480" s="590"/>
      <c r="I480" s="590"/>
      <c r="J480" s="658"/>
      <c r="K480" s="658"/>
      <c r="L480" s="658"/>
      <c r="M480" s="658"/>
      <c r="N480" s="658"/>
      <c r="O480" s="658"/>
      <c r="P480" s="658"/>
      <c r="Q480" s="658"/>
      <c r="R480" s="658"/>
      <c r="S480" s="658"/>
      <c r="T480" s="658"/>
      <c r="U480" s="658"/>
      <c r="V480" s="658"/>
      <c r="W480" s="658"/>
      <c r="X480" s="658"/>
      <c r="Y480" s="580">
        <f t="shared" si="12"/>
        <v>0</v>
      </c>
      <c r="Z480" s="581"/>
      <c r="AA480" s="581"/>
    </row>
    <row r="481" spans="1:27" s="388" customFormat="1" ht="18" customHeight="1" hidden="1">
      <c r="A481" s="589" t="s">
        <v>747</v>
      </c>
      <c r="B481" s="590"/>
      <c r="C481" s="590"/>
      <c r="D481" s="590"/>
      <c r="E481" s="590"/>
      <c r="F481" s="590"/>
      <c r="G481" s="590"/>
      <c r="H481" s="590"/>
      <c r="I481" s="590"/>
      <c r="J481" s="590"/>
      <c r="K481" s="590"/>
      <c r="L481" s="590"/>
      <c r="M481" s="590"/>
      <c r="N481" s="590"/>
      <c r="O481" s="590"/>
      <c r="P481" s="590"/>
      <c r="Q481" s="590"/>
      <c r="R481" s="590"/>
      <c r="S481" s="590"/>
      <c r="T481" s="590"/>
      <c r="U481" s="590"/>
      <c r="V481" s="590"/>
      <c r="W481" s="590"/>
      <c r="X481" s="590"/>
      <c r="Y481" s="580">
        <f t="shared" si="12"/>
        <v>0</v>
      </c>
      <c r="Z481" s="581"/>
      <c r="AA481" s="581"/>
    </row>
    <row r="482" spans="1:27" s="388" customFormat="1" ht="18" customHeight="1" hidden="1">
      <c r="A482" s="589" t="s">
        <v>748</v>
      </c>
      <c r="B482" s="658"/>
      <c r="C482" s="658"/>
      <c r="D482" s="658"/>
      <c r="E482" s="658"/>
      <c r="F482" s="658"/>
      <c r="G482" s="658"/>
      <c r="H482" s="590"/>
      <c r="I482" s="590"/>
      <c r="J482" s="658"/>
      <c r="K482" s="658"/>
      <c r="L482" s="658"/>
      <c r="M482" s="658"/>
      <c r="N482" s="658"/>
      <c r="O482" s="658"/>
      <c r="P482" s="658"/>
      <c r="Q482" s="658"/>
      <c r="R482" s="658"/>
      <c r="S482" s="658"/>
      <c r="T482" s="658"/>
      <c r="U482" s="658"/>
      <c r="V482" s="658"/>
      <c r="W482" s="658"/>
      <c r="X482" s="658"/>
      <c r="Y482" s="580">
        <f t="shared" si="12"/>
        <v>0</v>
      </c>
      <c r="Z482" s="581"/>
      <c r="AA482" s="581"/>
    </row>
    <row r="483" spans="1:27" s="388" customFormat="1" ht="18" customHeight="1" hidden="1">
      <c r="A483" s="589" t="s">
        <v>749</v>
      </c>
      <c r="B483" s="658"/>
      <c r="C483" s="658"/>
      <c r="D483" s="658"/>
      <c r="E483" s="658"/>
      <c r="F483" s="658"/>
      <c r="G483" s="658"/>
      <c r="H483" s="590"/>
      <c r="I483" s="590"/>
      <c r="J483" s="658"/>
      <c r="K483" s="658"/>
      <c r="L483" s="658"/>
      <c r="M483" s="658"/>
      <c r="N483" s="658"/>
      <c r="O483" s="658"/>
      <c r="P483" s="658"/>
      <c r="Q483" s="658"/>
      <c r="R483" s="658"/>
      <c r="S483" s="658"/>
      <c r="T483" s="658"/>
      <c r="U483" s="658"/>
      <c r="V483" s="658"/>
      <c r="W483" s="658"/>
      <c r="X483" s="658"/>
      <c r="Y483" s="580">
        <f t="shared" si="12"/>
        <v>0</v>
      </c>
      <c r="Z483" s="581"/>
      <c r="AA483" s="581"/>
    </row>
    <row r="484" spans="1:27" s="388" customFormat="1" ht="18" customHeight="1" hidden="1">
      <c r="A484" s="589" t="s">
        <v>750</v>
      </c>
      <c r="B484" s="658"/>
      <c r="C484" s="658"/>
      <c r="D484" s="658"/>
      <c r="E484" s="658"/>
      <c r="F484" s="658"/>
      <c r="G484" s="658"/>
      <c r="H484" s="590"/>
      <c r="I484" s="590"/>
      <c r="J484" s="658"/>
      <c r="K484" s="658"/>
      <c r="L484" s="658"/>
      <c r="M484" s="658"/>
      <c r="N484" s="658"/>
      <c r="O484" s="658"/>
      <c r="P484" s="658"/>
      <c r="Q484" s="658"/>
      <c r="R484" s="658"/>
      <c r="S484" s="658"/>
      <c r="T484" s="658"/>
      <c r="U484" s="658"/>
      <c r="V484" s="658"/>
      <c r="W484" s="658"/>
      <c r="X484" s="658"/>
      <c r="Y484" s="580">
        <f t="shared" si="12"/>
        <v>0</v>
      </c>
      <c r="Z484" s="581"/>
      <c r="AA484" s="581"/>
    </row>
    <row r="485" spans="1:27" s="388" customFormat="1" ht="18" customHeight="1" hidden="1">
      <c r="A485" s="589" t="s">
        <v>751</v>
      </c>
      <c r="B485" s="658"/>
      <c r="C485" s="658"/>
      <c r="D485" s="658"/>
      <c r="E485" s="658"/>
      <c r="F485" s="658"/>
      <c r="G485" s="658"/>
      <c r="H485" s="590"/>
      <c r="I485" s="590"/>
      <c r="J485" s="658"/>
      <c r="K485" s="658"/>
      <c r="L485" s="658"/>
      <c r="M485" s="658"/>
      <c r="N485" s="658"/>
      <c r="O485" s="658"/>
      <c r="P485" s="658"/>
      <c r="Q485" s="658"/>
      <c r="R485" s="658"/>
      <c r="S485" s="658"/>
      <c r="T485" s="658"/>
      <c r="U485" s="658"/>
      <c r="V485" s="658"/>
      <c r="W485" s="658"/>
      <c r="X485" s="658"/>
      <c r="Y485" s="580">
        <f t="shared" si="12"/>
        <v>0</v>
      </c>
      <c r="Z485" s="581"/>
      <c r="AA485" s="581"/>
    </row>
    <row r="486" spans="1:27" s="388" customFormat="1" ht="18" customHeight="1" hidden="1">
      <c r="A486" s="589" t="s">
        <v>2</v>
      </c>
      <c r="B486" s="658"/>
      <c r="C486" s="658"/>
      <c r="D486" s="658"/>
      <c r="E486" s="658"/>
      <c r="F486" s="658"/>
      <c r="G486" s="658"/>
      <c r="H486" s="590"/>
      <c r="I486" s="590"/>
      <c r="J486" s="658"/>
      <c r="K486" s="658"/>
      <c r="L486" s="658"/>
      <c r="M486" s="658"/>
      <c r="N486" s="658"/>
      <c r="O486" s="658"/>
      <c r="P486" s="658"/>
      <c r="Q486" s="658"/>
      <c r="R486" s="658"/>
      <c r="S486" s="658"/>
      <c r="T486" s="658"/>
      <c r="U486" s="658"/>
      <c r="V486" s="658"/>
      <c r="W486" s="658"/>
      <c r="X486" s="658"/>
      <c r="Y486" s="580">
        <f t="shared" si="12"/>
        <v>0</v>
      </c>
      <c r="Z486" s="581"/>
      <c r="AA486" s="581"/>
    </row>
    <row r="487" spans="1:27" s="388" customFormat="1" ht="18" customHeight="1" hidden="1">
      <c r="A487" s="589" t="s">
        <v>3</v>
      </c>
      <c r="B487" s="658"/>
      <c r="C487" s="658"/>
      <c r="D487" s="658"/>
      <c r="E487" s="658"/>
      <c r="F487" s="658"/>
      <c r="G487" s="658"/>
      <c r="H487" s="590"/>
      <c r="I487" s="590"/>
      <c r="J487" s="658"/>
      <c r="K487" s="658"/>
      <c r="L487" s="658"/>
      <c r="M487" s="658"/>
      <c r="N487" s="658"/>
      <c r="O487" s="658"/>
      <c r="P487" s="658"/>
      <c r="Q487" s="658"/>
      <c r="R487" s="658"/>
      <c r="S487" s="658"/>
      <c r="T487" s="658"/>
      <c r="U487" s="658"/>
      <c r="V487" s="658"/>
      <c r="W487" s="658"/>
      <c r="X487" s="658"/>
      <c r="Y487" s="580">
        <f t="shared" si="12"/>
        <v>0</v>
      </c>
      <c r="Z487" s="581"/>
      <c r="AA487" s="581"/>
    </row>
    <row r="488" spans="1:27" s="388" customFormat="1" ht="18" customHeight="1" hidden="1">
      <c r="A488" s="589" t="s">
        <v>4</v>
      </c>
      <c r="B488" s="658"/>
      <c r="C488" s="658"/>
      <c r="D488" s="658"/>
      <c r="E488" s="658"/>
      <c r="F488" s="658"/>
      <c r="G488" s="658"/>
      <c r="H488" s="590"/>
      <c r="I488" s="590"/>
      <c r="J488" s="658"/>
      <c r="K488" s="658"/>
      <c r="L488" s="658"/>
      <c r="M488" s="658"/>
      <c r="N488" s="658"/>
      <c r="O488" s="658"/>
      <c r="P488" s="658"/>
      <c r="Q488" s="658"/>
      <c r="R488" s="658"/>
      <c r="S488" s="658"/>
      <c r="T488" s="658"/>
      <c r="U488" s="658"/>
      <c r="V488" s="658"/>
      <c r="W488" s="658"/>
      <c r="X488" s="658"/>
      <c r="Y488" s="580">
        <f t="shared" si="12"/>
        <v>0</v>
      </c>
      <c r="Z488" s="581"/>
      <c r="AA488" s="581"/>
    </row>
    <row r="489" spans="1:27" s="388" customFormat="1" ht="18" customHeight="1" hidden="1">
      <c r="A489" s="589" t="s">
        <v>5</v>
      </c>
      <c r="B489" s="658"/>
      <c r="C489" s="658"/>
      <c r="D489" s="658"/>
      <c r="E489" s="658"/>
      <c r="F489" s="658"/>
      <c r="G489" s="658"/>
      <c r="H489" s="590"/>
      <c r="I489" s="590"/>
      <c r="J489" s="658"/>
      <c r="K489" s="658"/>
      <c r="L489" s="658"/>
      <c r="M489" s="658"/>
      <c r="N489" s="658"/>
      <c r="O489" s="658"/>
      <c r="P489" s="658"/>
      <c r="Q489" s="658"/>
      <c r="R489" s="658"/>
      <c r="S489" s="658"/>
      <c r="T489" s="658"/>
      <c r="U489" s="658"/>
      <c r="V489" s="658"/>
      <c r="W489" s="658"/>
      <c r="X489" s="658"/>
      <c r="Y489" s="580">
        <f t="shared" si="12"/>
        <v>0</v>
      </c>
      <c r="Z489" s="581"/>
      <c r="AA489" s="581"/>
    </row>
    <row r="490" spans="1:27" s="388" customFormat="1" ht="18" customHeight="1" hidden="1">
      <c r="A490" s="589" t="s">
        <v>6</v>
      </c>
      <c r="B490" s="590"/>
      <c r="C490" s="590"/>
      <c r="D490" s="590"/>
      <c r="E490" s="590"/>
      <c r="F490" s="590"/>
      <c r="G490" s="590"/>
      <c r="H490" s="590"/>
      <c r="I490" s="590"/>
      <c r="J490" s="590"/>
      <c r="K490" s="590"/>
      <c r="L490" s="590"/>
      <c r="M490" s="590"/>
      <c r="N490" s="590"/>
      <c r="O490" s="590"/>
      <c r="P490" s="590"/>
      <c r="Q490" s="590"/>
      <c r="R490" s="590"/>
      <c r="S490" s="590"/>
      <c r="T490" s="590"/>
      <c r="U490" s="590"/>
      <c r="V490" s="590"/>
      <c r="W490" s="590"/>
      <c r="X490" s="590"/>
      <c r="Y490" s="580">
        <f t="shared" si="12"/>
        <v>0</v>
      </c>
      <c r="Z490" s="581"/>
      <c r="AA490" s="581"/>
    </row>
    <row r="491" spans="1:27" s="388" customFormat="1" ht="18" customHeight="1" hidden="1">
      <c r="A491" s="589" t="s">
        <v>7</v>
      </c>
      <c r="B491" s="590"/>
      <c r="C491" s="590"/>
      <c r="D491" s="590"/>
      <c r="E491" s="590"/>
      <c r="F491" s="590"/>
      <c r="G491" s="590"/>
      <c r="H491" s="590"/>
      <c r="I491" s="590"/>
      <c r="J491" s="590"/>
      <c r="K491" s="590"/>
      <c r="L491" s="590"/>
      <c r="M491" s="590"/>
      <c r="N491" s="590"/>
      <c r="O491" s="590"/>
      <c r="P491" s="590"/>
      <c r="Q491" s="590"/>
      <c r="R491" s="590"/>
      <c r="S491" s="590"/>
      <c r="T491" s="590"/>
      <c r="U491" s="590"/>
      <c r="V491" s="590"/>
      <c r="W491" s="590"/>
      <c r="X491" s="590"/>
      <c r="Y491" s="580">
        <f t="shared" si="12"/>
        <v>0</v>
      </c>
      <c r="Z491" s="581"/>
      <c r="AA491" s="581"/>
    </row>
    <row r="492" spans="1:27" s="388" customFormat="1" ht="18" customHeight="1" hidden="1">
      <c r="A492" s="589" t="s">
        <v>8</v>
      </c>
      <c r="B492" s="590"/>
      <c r="C492" s="590"/>
      <c r="D492" s="590"/>
      <c r="E492" s="590"/>
      <c r="F492" s="590"/>
      <c r="G492" s="590"/>
      <c r="H492" s="590"/>
      <c r="I492" s="590"/>
      <c r="J492" s="590"/>
      <c r="K492" s="590"/>
      <c r="L492" s="590"/>
      <c r="M492" s="590"/>
      <c r="N492" s="590"/>
      <c r="O492" s="590"/>
      <c r="P492" s="590"/>
      <c r="Q492" s="590"/>
      <c r="R492" s="590"/>
      <c r="S492" s="590"/>
      <c r="T492" s="590"/>
      <c r="U492" s="590"/>
      <c r="V492" s="590"/>
      <c r="W492" s="590"/>
      <c r="X492" s="590"/>
      <c r="Y492" s="580">
        <f t="shared" si="12"/>
        <v>0</v>
      </c>
      <c r="Z492" s="581"/>
      <c r="AA492" s="581"/>
    </row>
    <row r="493" spans="1:27" s="388" customFormat="1" ht="18" customHeight="1" hidden="1">
      <c r="A493" s="589" t="s">
        <v>9</v>
      </c>
      <c r="B493" s="590"/>
      <c r="C493" s="590"/>
      <c r="D493" s="590"/>
      <c r="E493" s="590"/>
      <c r="F493" s="590"/>
      <c r="G493" s="590"/>
      <c r="H493" s="590"/>
      <c r="I493" s="590"/>
      <c r="J493" s="590"/>
      <c r="K493" s="590"/>
      <c r="L493" s="590"/>
      <c r="M493" s="590"/>
      <c r="N493" s="590"/>
      <c r="O493" s="590"/>
      <c r="P493" s="590"/>
      <c r="Q493" s="590"/>
      <c r="R493" s="590"/>
      <c r="S493" s="590"/>
      <c r="T493" s="590"/>
      <c r="U493" s="590"/>
      <c r="V493" s="590"/>
      <c r="W493" s="590"/>
      <c r="X493" s="590"/>
      <c r="Y493" s="580">
        <f t="shared" si="12"/>
        <v>0</v>
      </c>
      <c r="Z493" s="581"/>
      <c r="AA493" s="581"/>
    </row>
    <row r="494" spans="1:27" s="388" customFormat="1" ht="18" customHeight="1" hidden="1">
      <c r="A494" s="589" t="s">
        <v>10</v>
      </c>
      <c r="B494" s="590"/>
      <c r="C494" s="590"/>
      <c r="D494" s="590"/>
      <c r="E494" s="590"/>
      <c r="F494" s="590"/>
      <c r="G494" s="590"/>
      <c r="H494" s="590"/>
      <c r="I494" s="590"/>
      <c r="J494" s="590"/>
      <c r="K494" s="590"/>
      <c r="L494" s="590"/>
      <c r="M494" s="590"/>
      <c r="N494" s="590"/>
      <c r="O494" s="590"/>
      <c r="P494" s="590"/>
      <c r="Q494" s="590"/>
      <c r="R494" s="590"/>
      <c r="S494" s="590"/>
      <c r="T494" s="590"/>
      <c r="U494" s="590"/>
      <c r="V494" s="590"/>
      <c r="W494" s="590"/>
      <c r="X494" s="590"/>
      <c r="Y494" s="580">
        <f t="shared" si="12"/>
        <v>0</v>
      </c>
      <c r="Z494" s="581"/>
      <c r="AA494" s="581"/>
    </row>
    <row r="495" spans="1:27" s="388" customFormat="1" ht="18" customHeight="1" hidden="1">
      <c r="A495" s="589" t="s">
        <v>11</v>
      </c>
      <c r="B495" s="658"/>
      <c r="C495" s="658"/>
      <c r="D495" s="658"/>
      <c r="E495" s="658"/>
      <c r="F495" s="658"/>
      <c r="G495" s="658"/>
      <c r="H495" s="590"/>
      <c r="I495" s="590"/>
      <c r="J495" s="658"/>
      <c r="K495" s="658"/>
      <c r="L495" s="658"/>
      <c r="M495" s="658"/>
      <c r="N495" s="658"/>
      <c r="O495" s="658"/>
      <c r="P495" s="658"/>
      <c r="Q495" s="658"/>
      <c r="R495" s="658"/>
      <c r="S495" s="658"/>
      <c r="T495" s="658"/>
      <c r="U495" s="658"/>
      <c r="V495" s="658"/>
      <c r="W495" s="658"/>
      <c r="X495" s="658"/>
      <c r="Y495" s="580">
        <f t="shared" si="12"/>
        <v>0</v>
      </c>
      <c r="Z495" s="581"/>
      <c r="AA495" s="581"/>
    </row>
    <row r="496" spans="1:27" s="388" customFormat="1" ht="18" customHeight="1" hidden="1">
      <c r="A496" s="589" t="s">
        <v>12</v>
      </c>
      <c r="B496" s="590"/>
      <c r="C496" s="590"/>
      <c r="D496" s="590"/>
      <c r="E496" s="590"/>
      <c r="F496" s="590"/>
      <c r="G496" s="590"/>
      <c r="H496" s="590"/>
      <c r="I496" s="590"/>
      <c r="J496" s="590"/>
      <c r="K496" s="590"/>
      <c r="L496" s="590"/>
      <c r="M496" s="590"/>
      <c r="N496" s="590"/>
      <c r="O496" s="590"/>
      <c r="P496" s="590"/>
      <c r="Q496" s="590"/>
      <c r="R496" s="590"/>
      <c r="S496" s="590"/>
      <c r="T496" s="590"/>
      <c r="U496" s="590"/>
      <c r="V496" s="590"/>
      <c r="W496" s="590"/>
      <c r="X496" s="590"/>
      <c r="Y496" s="580">
        <f t="shared" si="12"/>
        <v>0</v>
      </c>
      <c r="Z496" s="581"/>
      <c r="AA496" s="581"/>
    </row>
    <row r="497" spans="1:27" s="388" customFormat="1" ht="18" customHeight="1" hidden="1">
      <c r="A497" s="589" t="s">
        <v>13</v>
      </c>
      <c r="B497" s="658"/>
      <c r="C497" s="658"/>
      <c r="D497" s="658"/>
      <c r="E497" s="658"/>
      <c r="F497" s="658"/>
      <c r="G497" s="658"/>
      <c r="H497" s="590"/>
      <c r="I497" s="590"/>
      <c r="J497" s="658"/>
      <c r="K497" s="658"/>
      <c r="L497" s="658"/>
      <c r="M497" s="658"/>
      <c r="N497" s="658"/>
      <c r="O497" s="658"/>
      <c r="P497" s="658"/>
      <c r="Q497" s="658"/>
      <c r="R497" s="658"/>
      <c r="S497" s="658"/>
      <c r="T497" s="658"/>
      <c r="U497" s="658"/>
      <c r="V497" s="658"/>
      <c r="W497" s="658"/>
      <c r="X497" s="658"/>
      <c r="Y497" s="580">
        <f t="shared" si="12"/>
        <v>0</v>
      </c>
      <c r="Z497" s="581"/>
      <c r="AA497" s="581"/>
    </row>
    <row r="498" spans="1:27" s="388" customFormat="1" ht="18" customHeight="1" hidden="1">
      <c r="A498" s="589" t="s">
        <v>14</v>
      </c>
      <c r="B498" s="590"/>
      <c r="C498" s="590"/>
      <c r="D498" s="590"/>
      <c r="E498" s="590"/>
      <c r="F498" s="590"/>
      <c r="G498" s="590"/>
      <c r="H498" s="590"/>
      <c r="I498" s="590"/>
      <c r="J498" s="590"/>
      <c r="K498" s="590"/>
      <c r="L498" s="590"/>
      <c r="M498" s="590"/>
      <c r="N498" s="590"/>
      <c r="O498" s="590"/>
      <c r="P498" s="590"/>
      <c r="Q498" s="590"/>
      <c r="R498" s="590"/>
      <c r="S498" s="590"/>
      <c r="T498" s="590"/>
      <c r="U498" s="590"/>
      <c r="V498" s="590"/>
      <c r="W498" s="590"/>
      <c r="X498" s="590"/>
      <c r="Y498" s="580">
        <f t="shared" si="12"/>
        <v>0</v>
      </c>
      <c r="Z498" s="581"/>
      <c r="AA498" s="581"/>
    </row>
    <row r="499" spans="1:27" s="388" customFormat="1" ht="18" customHeight="1" hidden="1">
      <c r="A499" s="589" t="s">
        <v>15</v>
      </c>
      <c r="B499" s="658"/>
      <c r="C499" s="658"/>
      <c r="D499" s="658"/>
      <c r="E499" s="658"/>
      <c r="F499" s="658"/>
      <c r="G499" s="658"/>
      <c r="H499" s="590"/>
      <c r="I499" s="590"/>
      <c r="J499" s="658"/>
      <c r="K499" s="658"/>
      <c r="L499" s="658"/>
      <c r="M499" s="658"/>
      <c r="N499" s="658"/>
      <c r="O499" s="658"/>
      <c r="P499" s="658"/>
      <c r="Q499" s="658"/>
      <c r="R499" s="658"/>
      <c r="S499" s="658"/>
      <c r="T499" s="658"/>
      <c r="U499" s="658"/>
      <c r="V499" s="658"/>
      <c r="W499" s="658"/>
      <c r="X499" s="658"/>
      <c r="Y499" s="580">
        <f t="shared" si="12"/>
        <v>0</v>
      </c>
      <c r="Z499" s="581"/>
      <c r="AA499" s="581"/>
    </row>
    <row r="500" spans="1:27" s="388" customFormat="1" ht="18" customHeight="1" hidden="1">
      <c r="A500" s="589" t="s">
        <v>16</v>
      </c>
      <c r="B500" s="590"/>
      <c r="C500" s="590"/>
      <c r="D500" s="590"/>
      <c r="E500" s="590"/>
      <c r="F500" s="590"/>
      <c r="G500" s="590"/>
      <c r="H500" s="590"/>
      <c r="I500" s="590"/>
      <c r="J500" s="590"/>
      <c r="K500" s="590"/>
      <c r="L500" s="590"/>
      <c r="M500" s="590"/>
      <c r="N500" s="590"/>
      <c r="O500" s="590"/>
      <c r="P500" s="590"/>
      <c r="Q500" s="590"/>
      <c r="R500" s="590"/>
      <c r="S500" s="590"/>
      <c r="T500" s="590"/>
      <c r="U500" s="590"/>
      <c r="V500" s="590"/>
      <c r="W500" s="590"/>
      <c r="X500" s="590"/>
      <c r="Y500" s="580">
        <f t="shared" si="12"/>
        <v>0</v>
      </c>
      <c r="Z500" s="581"/>
      <c r="AA500" s="581"/>
    </row>
    <row r="501" spans="1:27" s="388" customFormat="1" ht="18" customHeight="1" hidden="1">
      <c r="A501" s="589" t="s">
        <v>17</v>
      </c>
      <c r="B501" s="658"/>
      <c r="C501" s="658"/>
      <c r="D501" s="658"/>
      <c r="E501" s="658"/>
      <c r="F501" s="658"/>
      <c r="G501" s="658"/>
      <c r="H501" s="590"/>
      <c r="I501" s="590"/>
      <c r="J501" s="658"/>
      <c r="K501" s="658"/>
      <c r="L501" s="658"/>
      <c r="M501" s="658"/>
      <c r="N501" s="658"/>
      <c r="O501" s="658"/>
      <c r="P501" s="658"/>
      <c r="Q501" s="658"/>
      <c r="R501" s="658"/>
      <c r="S501" s="658"/>
      <c r="T501" s="658"/>
      <c r="U501" s="658"/>
      <c r="V501" s="658"/>
      <c r="W501" s="658"/>
      <c r="X501" s="658"/>
      <c r="Y501" s="580">
        <f t="shared" si="12"/>
        <v>0</v>
      </c>
      <c r="Z501" s="581"/>
      <c r="AA501" s="581"/>
    </row>
    <row r="502" spans="1:27" s="388" customFormat="1" ht="18" customHeight="1" hidden="1">
      <c r="A502" s="589" t="s">
        <v>18</v>
      </c>
      <c r="B502" s="590"/>
      <c r="C502" s="590"/>
      <c r="D502" s="590"/>
      <c r="E502" s="590"/>
      <c r="F502" s="590"/>
      <c r="G502" s="590"/>
      <c r="H502" s="590"/>
      <c r="I502" s="590"/>
      <c r="J502" s="590"/>
      <c r="K502" s="590"/>
      <c r="L502" s="590"/>
      <c r="M502" s="590"/>
      <c r="N502" s="590"/>
      <c r="O502" s="590"/>
      <c r="P502" s="590"/>
      <c r="Q502" s="590"/>
      <c r="R502" s="590"/>
      <c r="S502" s="590"/>
      <c r="T502" s="590"/>
      <c r="U502" s="590"/>
      <c r="V502" s="590"/>
      <c r="W502" s="590"/>
      <c r="X502" s="590"/>
      <c r="Y502" s="580">
        <f t="shared" si="12"/>
        <v>0</v>
      </c>
      <c r="Z502" s="581"/>
      <c r="AA502" s="581"/>
    </row>
    <row r="503" spans="1:27" s="388" customFormat="1" ht="18" customHeight="1" hidden="1">
      <c r="A503" s="589" t="s">
        <v>26</v>
      </c>
      <c r="B503" s="658"/>
      <c r="C503" s="658"/>
      <c r="D503" s="658"/>
      <c r="E503" s="658"/>
      <c r="F503" s="658"/>
      <c r="G503" s="658"/>
      <c r="H503" s="590"/>
      <c r="I503" s="590"/>
      <c r="J503" s="658"/>
      <c r="K503" s="658"/>
      <c r="L503" s="658"/>
      <c r="M503" s="658"/>
      <c r="N503" s="658"/>
      <c r="O503" s="658"/>
      <c r="P503" s="658"/>
      <c r="Q503" s="658"/>
      <c r="R503" s="658"/>
      <c r="S503" s="658"/>
      <c r="T503" s="658"/>
      <c r="U503" s="658"/>
      <c r="V503" s="658"/>
      <c r="W503" s="658"/>
      <c r="X503" s="658"/>
      <c r="Y503" s="580">
        <f t="shared" si="12"/>
        <v>0</v>
      </c>
      <c r="Z503" s="581"/>
      <c r="AA503" s="581"/>
    </row>
    <row r="504" spans="1:27" s="388" customFormat="1" ht="18" customHeight="1" hidden="1">
      <c r="A504" s="589" t="s">
        <v>34</v>
      </c>
      <c r="B504" s="658"/>
      <c r="C504" s="658"/>
      <c r="D504" s="658"/>
      <c r="E504" s="658"/>
      <c r="F504" s="658"/>
      <c r="G504" s="658"/>
      <c r="H504" s="590"/>
      <c r="I504" s="590"/>
      <c r="J504" s="658"/>
      <c r="K504" s="658"/>
      <c r="L504" s="658"/>
      <c r="M504" s="658"/>
      <c r="N504" s="658"/>
      <c r="O504" s="658"/>
      <c r="P504" s="658"/>
      <c r="Q504" s="658"/>
      <c r="R504" s="658"/>
      <c r="S504" s="658"/>
      <c r="T504" s="658"/>
      <c r="U504" s="658"/>
      <c r="V504" s="658"/>
      <c r="W504" s="658"/>
      <c r="X504" s="658"/>
      <c r="Y504" s="580">
        <f t="shared" si="12"/>
        <v>0</v>
      </c>
      <c r="Z504" s="581"/>
      <c r="AA504" s="581"/>
    </row>
    <row r="505" spans="1:27" s="388" customFormat="1" ht="18" customHeight="1" hidden="1">
      <c r="A505" s="589" t="s">
        <v>78</v>
      </c>
      <c r="B505" s="590"/>
      <c r="C505" s="590"/>
      <c r="D505" s="590"/>
      <c r="E505" s="590"/>
      <c r="F505" s="590"/>
      <c r="G505" s="590"/>
      <c r="H505" s="590"/>
      <c r="I505" s="590"/>
      <c r="J505" s="590"/>
      <c r="K505" s="590"/>
      <c r="L505" s="590"/>
      <c r="M505" s="590"/>
      <c r="N505" s="590"/>
      <c r="O505" s="590"/>
      <c r="P505" s="590"/>
      <c r="Q505" s="590"/>
      <c r="R505" s="590"/>
      <c r="S505" s="590"/>
      <c r="T505" s="590"/>
      <c r="U505" s="590"/>
      <c r="V505" s="590"/>
      <c r="W505" s="590"/>
      <c r="X505" s="590"/>
      <c r="Y505" s="580">
        <f t="shared" si="12"/>
        <v>0</v>
      </c>
      <c r="Z505" s="581"/>
      <c r="AA505" s="581"/>
    </row>
    <row r="506" spans="1:27" s="388" customFormat="1" ht="18" customHeight="1" hidden="1">
      <c r="A506" s="589" t="s">
        <v>767</v>
      </c>
      <c r="B506" s="658"/>
      <c r="C506" s="658"/>
      <c r="D506" s="658"/>
      <c r="E506" s="658"/>
      <c r="F506" s="658"/>
      <c r="G506" s="658"/>
      <c r="H506" s="590"/>
      <c r="I506" s="590"/>
      <c r="J506" s="658"/>
      <c r="K506" s="658"/>
      <c r="L506" s="658"/>
      <c r="M506" s="658"/>
      <c r="N506" s="658"/>
      <c r="O506" s="658"/>
      <c r="P506" s="658"/>
      <c r="Q506" s="658"/>
      <c r="R506" s="658"/>
      <c r="S506" s="658"/>
      <c r="T506" s="658"/>
      <c r="U506" s="658"/>
      <c r="V506" s="658"/>
      <c r="W506" s="658"/>
      <c r="X506" s="658"/>
      <c r="Y506" s="580">
        <f t="shared" si="12"/>
        <v>0</v>
      </c>
      <c r="Z506" s="581"/>
      <c r="AA506" s="581"/>
    </row>
    <row r="507" spans="1:27" s="388" customFormat="1" ht="18" customHeight="1" hidden="1">
      <c r="A507" s="589" t="s">
        <v>79</v>
      </c>
      <c r="B507" s="590"/>
      <c r="C507" s="590"/>
      <c r="D507" s="590"/>
      <c r="E507" s="590"/>
      <c r="F507" s="590"/>
      <c r="G507" s="590"/>
      <c r="H507" s="590"/>
      <c r="I507" s="590"/>
      <c r="J507" s="590"/>
      <c r="K507" s="590"/>
      <c r="L507" s="590"/>
      <c r="M507" s="590"/>
      <c r="N507" s="590"/>
      <c r="O507" s="590"/>
      <c r="P507" s="590"/>
      <c r="Q507" s="590"/>
      <c r="R507" s="590"/>
      <c r="S507" s="590"/>
      <c r="T507" s="590"/>
      <c r="U507" s="590"/>
      <c r="V507" s="590"/>
      <c r="W507" s="590"/>
      <c r="X507" s="590"/>
      <c r="Y507" s="580">
        <f t="shared" si="12"/>
        <v>0</v>
      </c>
      <c r="Z507" s="581"/>
      <c r="AA507" s="581"/>
    </row>
    <row r="508" spans="1:27" s="388" customFormat="1" ht="18" customHeight="1" hidden="1">
      <c r="A508" s="589" t="s">
        <v>768</v>
      </c>
      <c r="B508" s="658"/>
      <c r="C508" s="658"/>
      <c r="D508" s="658"/>
      <c r="E508" s="658"/>
      <c r="F508" s="658"/>
      <c r="G508" s="658"/>
      <c r="H508" s="590"/>
      <c r="I508" s="590"/>
      <c r="J508" s="658"/>
      <c r="K508" s="658"/>
      <c r="L508" s="658"/>
      <c r="M508" s="658"/>
      <c r="N508" s="658"/>
      <c r="O508" s="658"/>
      <c r="P508" s="658"/>
      <c r="Q508" s="658"/>
      <c r="R508" s="658"/>
      <c r="S508" s="658"/>
      <c r="T508" s="658"/>
      <c r="U508" s="658"/>
      <c r="V508" s="658"/>
      <c r="W508" s="658"/>
      <c r="X508" s="658"/>
      <c r="Y508" s="580">
        <f t="shared" si="12"/>
        <v>0</v>
      </c>
      <c r="Z508" s="581"/>
      <c r="AA508" s="581"/>
    </row>
    <row r="509" spans="1:27" s="388" customFormat="1" ht="18" customHeight="1" hidden="1">
      <c r="A509" s="589" t="s">
        <v>80</v>
      </c>
      <c r="B509" s="590"/>
      <c r="C509" s="590"/>
      <c r="D509" s="590"/>
      <c r="E509" s="590"/>
      <c r="F509" s="590"/>
      <c r="G509" s="590"/>
      <c r="H509" s="590"/>
      <c r="I509" s="590"/>
      <c r="J509" s="590"/>
      <c r="K509" s="590"/>
      <c r="L509" s="590"/>
      <c r="M509" s="590"/>
      <c r="N509" s="590"/>
      <c r="O509" s="590"/>
      <c r="P509" s="590"/>
      <c r="Q509" s="590"/>
      <c r="R509" s="590"/>
      <c r="S509" s="590"/>
      <c r="T509" s="590"/>
      <c r="U509" s="590"/>
      <c r="V509" s="590"/>
      <c r="W509" s="590"/>
      <c r="X509" s="590"/>
      <c r="Y509" s="580">
        <f t="shared" si="12"/>
        <v>0</v>
      </c>
      <c r="Z509" s="581"/>
      <c r="AA509" s="581"/>
    </row>
    <row r="510" spans="1:27" s="388" customFormat="1" ht="18" customHeight="1" hidden="1">
      <c r="A510" s="589" t="s">
        <v>313</v>
      </c>
      <c r="B510" s="658"/>
      <c r="C510" s="658"/>
      <c r="D510" s="658"/>
      <c r="E510" s="658"/>
      <c r="F510" s="658"/>
      <c r="G510" s="658"/>
      <c r="H510" s="590"/>
      <c r="I510" s="590"/>
      <c r="J510" s="658"/>
      <c r="K510" s="658"/>
      <c r="L510" s="658"/>
      <c r="M510" s="658"/>
      <c r="N510" s="658"/>
      <c r="O510" s="658"/>
      <c r="P510" s="658"/>
      <c r="Q510" s="658"/>
      <c r="R510" s="658"/>
      <c r="S510" s="658"/>
      <c r="T510" s="658"/>
      <c r="U510" s="658"/>
      <c r="V510" s="658"/>
      <c r="W510" s="658"/>
      <c r="X510" s="658"/>
      <c r="Y510" s="580">
        <f t="shared" si="12"/>
        <v>0</v>
      </c>
      <c r="Z510" s="581"/>
      <c r="AA510" s="581"/>
    </row>
    <row r="511" spans="1:27" s="388" customFormat="1" ht="18" customHeight="1" hidden="1">
      <c r="A511" s="589" t="s">
        <v>333</v>
      </c>
      <c r="B511" s="658"/>
      <c r="C511" s="658"/>
      <c r="D511" s="658"/>
      <c r="E511" s="658"/>
      <c r="F511" s="658"/>
      <c r="G511" s="658"/>
      <c r="H511" s="590"/>
      <c r="I511" s="590"/>
      <c r="J511" s="658"/>
      <c r="K511" s="658"/>
      <c r="L511" s="658"/>
      <c r="M511" s="658"/>
      <c r="N511" s="658"/>
      <c r="O511" s="658"/>
      <c r="P511" s="658"/>
      <c r="Q511" s="658"/>
      <c r="R511" s="658"/>
      <c r="S511" s="658"/>
      <c r="T511" s="658"/>
      <c r="U511" s="658"/>
      <c r="V511" s="658"/>
      <c r="W511" s="658"/>
      <c r="X511" s="658"/>
      <c r="Y511" s="580">
        <f t="shared" si="12"/>
        <v>0</v>
      </c>
      <c r="Z511" s="581"/>
      <c r="AA511" s="581"/>
    </row>
    <row r="512" spans="1:27" s="388" customFormat="1" ht="18" customHeight="1" hidden="1">
      <c r="A512" s="589" t="s">
        <v>21</v>
      </c>
      <c r="B512" s="590"/>
      <c r="C512" s="590"/>
      <c r="D512" s="590"/>
      <c r="E512" s="590"/>
      <c r="F512" s="590"/>
      <c r="G512" s="590"/>
      <c r="H512" s="590"/>
      <c r="I512" s="590"/>
      <c r="J512" s="590"/>
      <c r="K512" s="590"/>
      <c r="L512" s="590"/>
      <c r="M512" s="590"/>
      <c r="N512" s="590"/>
      <c r="O512" s="590"/>
      <c r="P512" s="590"/>
      <c r="Q512" s="590"/>
      <c r="R512" s="590"/>
      <c r="S512" s="590"/>
      <c r="T512" s="590"/>
      <c r="U512" s="590"/>
      <c r="V512" s="590"/>
      <c r="W512" s="590"/>
      <c r="X512" s="590"/>
      <c r="Y512" s="580">
        <f t="shared" si="12"/>
        <v>0</v>
      </c>
      <c r="Z512" s="581"/>
      <c r="AA512" s="581"/>
    </row>
    <row r="513" spans="1:27" s="388" customFormat="1" ht="25.5" hidden="1">
      <c r="A513" s="620" t="s">
        <v>759</v>
      </c>
      <c r="B513" s="658"/>
      <c r="C513" s="658"/>
      <c r="D513" s="658"/>
      <c r="E513" s="658"/>
      <c r="F513" s="658"/>
      <c r="G513" s="658"/>
      <c r="H513" s="590"/>
      <c r="I513" s="590"/>
      <c r="J513" s="658"/>
      <c r="K513" s="658"/>
      <c r="L513" s="658"/>
      <c r="M513" s="658"/>
      <c r="N513" s="658"/>
      <c r="O513" s="658"/>
      <c r="P513" s="658"/>
      <c r="Q513" s="658"/>
      <c r="R513" s="658"/>
      <c r="S513" s="658"/>
      <c r="T513" s="658"/>
      <c r="U513" s="658"/>
      <c r="V513" s="658"/>
      <c r="W513" s="658"/>
      <c r="X513" s="658"/>
      <c r="Y513" s="580">
        <f t="shared" si="12"/>
        <v>0</v>
      </c>
      <c r="Z513" s="581"/>
      <c r="AA513" s="581"/>
    </row>
    <row r="514" spans="1:27" s="388" customFormat="1" ht="26.25" hidden="1" thickBot="1">
      <c r="A514" s="683" t="s">
        <v>37</v>
      </c>
      <c r="B514" s="681"/>
      <c r="C514" s="681"/>
      <c r="D514" s="681"/>
      <c r="E514" s="681"/>
      <c r="F514" s="681"/>
      <c r="G514" s="681"/>
      <c r="H514" s="681"/>
      <c r="I514" s="681"/>
      <c r="J514" s="681"/>
      <c r="K514" s="681"/>
      <c r="L514" s="681"/>
      <c r="M514" s="681"/>
      <c r="N514" s="681"/>
      <c r="O514" s="681"/>
      <c r="P514" s="681"/>
      <c r="Q514" s="681"/>
      <c r="R514" s="681"/>
      <c r="S514" s="681"/>
      <c r="T514" s="681"/>
      <c r="U514" s="681"/>
      <c r="V514" s="681"/>
      <c r="W514" s="681"/>
      <c r="X514" s="681"/>
      <c r="Y514" s="580">
        <f>SUM(B514:X514)</f>
        <v>0</v>
      </c>
      <c r="Z514" s="581"/>
      <c r="AA514" s="581"/>
    </row>
    <row r="515" spans="1:27" s="388" customFormat="1" ht="18" customHeight="1" hidden="1" thickBot="1">
      <c r="A515" s="597" t="s">
        <v>416</v>
      </c>
      <c r="B515" s="675"/>
      <c r="C515" s="675"/>
      <c r="D515" s="675"/>
      <c r="E515" s="675"/>
      <c r="F515" s="675"/>
      <c r="G515" s="680"/>
      <c r="H515" s="675"/>
      <c r="I515" s="675"/>
      <c r="J515" s="675"/>
      <c r="K515" s="675"/>
      <c r="L515" s="675"/>
      <c r="M515" s="675"/>
      <c r="N515" s="675"/>
      <c r="O515" s="675"/>
      <c r="P515" s="675"/>
      <c r="Q515" s="675"/>
      <c r="R515" s="675"/>
      <c r="S515" s="675"/>
      <c r="T515" s="675"/>
      <c r="U515" s="675"/>
      <c r="V515" s="675"/>
      <c r="W515" s="675"/>
      <c r="X515" s="675"/>
      <c r="Y515" s="676">
        <f aca="true" t="shared" si="13" ref="Y515:Y546">SUM(B515:X515)</f>
        <v>0</v>
      </c>
      <c r="Z515" s="581"/>
      <c r="AA515" s="581"/>
    </row>
    <row r="516" spans="1:27" s="388" customFormat="1" ht="19.5" customHeight="1" hidden="1" thickBot="1">
      <c r="A516" s="387" t="s">
        <v>417</v>
      </c>
      <c r="B516" s="385"/>
      <c r="C516" s="385"/>
      <c r="D516" s="385"/>
      <c r="E516" s="385"/>
      <c r="F516" s="385"/>
      <c r="G516" s="385"/>
      <c r="H516" s="385"/>
      <c r="I516" s="385"/>
      <c r="J516" s="385"/>
      <c r="K516" s="385"/>
      <c r="L516" s="385"/>
      <c r="M516" s="385"/>
      <c r="N516" s="385"/>
      <c r="O516" s="385"/>
      <c r="P516" s="385"/>
      <c r="Q516" s="385"/>
      <c r="R516" s="385"/>
      <c r="S516" s="385"/>
      <c r="T516" s="385"/>
      <c r="U516" s="385"/>
      <c r="V516" s="385"/>
      <c r="W516" s="385"/>
      <c r="X516" s="385"/>
      <c r="Y516" s="580">
        <f t="shared" si="13"/>
        <v>0</v>
      </c>
      <c r="Z516" s="581"/>
      <c r="AA516" s="581"/>
    </row>
    <row r="517" spans="1:27" s="388" customFormat="1" ht="18" customHeight="1" hidden="1" thickBot="1">
      <c r="A517" s="586" t="s">
        <v>418</v>
      </c>
      <c r="B517" s="384"/>
      <c r="C517" s="384"/>
      <c r="D517" s="384"/>
      <c r="E517" s="384"/>
      <c r="F517" s="384"/>
      <c r="G517" s="663"/>
      <c r="H517" s="384"/>
      <c r="I517" s="384"/>
      <c r="J517" s="384"/>
      <c r="K517" s="384"/>
      <c r="L517" s="384"/>
      <c r="M517" s="384"/>
      <c r="N517" s="384"/>
      <c r="O517" s="384"/>
      <c r="P517" s="384"/>
      <c r="Q517" s="384"/>
      <c r="R517" s="384"/>
      <c r="S517" s="384"/>
      <c r="T517" s="384"/>
      <c r="U517" s="384"/>
      <c r="V517" s="384"/>
      <c r="W517" s="384"/>
      <c r="X517" s="384"/>
      <c r="Y517" s="580">
        <f t="shared" si="13"/>
        <v>0</v>
      </c>
      <c r="Z517" s="581"/>
      <c r="AA517" s="581"/>
    </row>
    <row r="518" spans="1:27" s="388" customFormat="1" ht="19.5" customHeight="1" hidden="1" thickBot="1">
      <c r="A518" s="387" t="s">
        <v>419</v>
      </c>
      <c r="B518" s="385"/>
      <c r="C518" s="385"/>
      <c r="D518" s="385"/>
      <c r="E518" s="385"/>
      <c r="F518" s="385"/>
      <c r="G518" s="385"/>
      <c r="H518" s="385"/>
      <c r="I518" s="385"/>
      <c r="J518" s="385"/>
      <c r="K518" s="385"/>
      <c r="L518" s="385"/>
      <c r="M518" s="385"/>
      <c r="N518" s="385"/>
      <c r="O518" s="385"/>
      <c r="P518" s="385"/>
      <c r="Q518" s="385"/>
      <c r="R518" s="385"/>
      <c r="S518" s="385"/>
      <c r="T518" s="385"/>
      <c r="U518" s="385"/>
      <c r="V518" s="385"/>
      <c r="W518" s="385"/>
      <c r="X518" s="385"/>
      <c r="Y518" s="605">
        <f t="shared" si="13"/>
        <v>0</v>
      </c>
      <c r="Z518" s="581"/>
      <c r="AA518" s="581"/>
    </row>
    <row r="519" spans="1:29" s="388" customFormat="1" ht="27.75" customHeight="1" thickBot="1">
      <c r="A519" s="651" t="s">
        <v>156</v>
      </c>
      <c r="B519" s="390"/>
      <c r="C519" s="390"/>
      <c r="D519" s="390"/>
      <c r="E519" s="390"/>
      <c r="F519" s="390"/>
      <c r="G519" s="390"/>
      <c r="H519" s="390"/>
      <c r="I519" s="390"/>
      <c r="J519" s="390"/>
      <c r="K519" s="390"/>
      <c r="L519" s="390">
        <f>SUM(L520:L535)</f>
        <v>8000</v>
      </c>
      <c r="M519" s="390"/>
      <c r="N519" s="390"/>
      <c r="O519" s="390"/>
      <c r="P519" s="390"/>
      <c r="Q519" s="390"/>
      <c r="R519" s="390">
        <f>SUM(R520:R529)</f>
        <v>2000</v>
      </c>
      <c r="S519" s="390"/>
      <c r="T519" s="390"/>
      <c r="U519" s="390"/>
      <c r="V519" s="390"/>
      <c r="W519" s="390"/>
      <c r="X519" s="390"/>
      <c r="Y519" s="628">
        <f t="shared" si="13"/>
        <v>10000</v>
      </c>
      <c r="Z519" s="588"/>
      <c r="AA519" s="588"/>
      <c r="AB519" s="588"/>
      <c r="AC519" s="588"/>
    </row>
    <row r="520" spans="1:29" s="388" customFormat="1" ht="18" customHeight="1">
      <c r="A520" s="387" t="s">
        <v>719</v>
      </c>
      <c r="B520" s="623"/>
      <c r="C520" s="623"/>
      <c r="D520" s="623"/>
      <c r="E520" s="623"/>
      <c r="F520" s="623"/>
      <c r="G520" s="623"/>
      <c r="H520" s="623"/>
      <c r="I520" s="623"/>
      <c r="J520" s="623"/>
      <c r="K520" s="623"/>
      <c r="L520" s="623">
        <v>2000</v>
      </c>
      <c r="M520" s="623"/>
      <c r="N520" s="623"/>
      <c r="O520" s="623"/>
      <c r="P520" s="623"/>
      <c r="Q520" s="623"/>
      <c r="R520" s="623">
        <v>2000</v>
      </c>
      <c r="S520" s="623"/>
      <c r="T520" s="623"/>
      <c r="U520" s="623"/>
      <c r="V520" s="623"/>
      <c r="W520" s="623"/>
      <c r="X520" s="623"/>
      <c r="Y520" s="676">
        <f t="shared" si="13"/>
        <v>4000</v>
      </c>
      <c r="Z520" s="581"/>
      <c r="AA520" s="581"/>
      <c r="AC520" s="581"/>
    </row>
    <row r="521" spans="1:29" s="388" customFormat="1" ht="18" customHeight="1" hidden="1">
      <c r="A521" s="589" t="s">
        <v>720</v>
      </c>
      <c r="B521" s="621"/>
      <c r="C521" s="621"/>
      <c r="D521" s="621"/>
      <c r="E521" s="621"/>
      <c r="F521" s="621"/>
      <c r="G521" s="621"/>
      <c r="H521" s="621"/>
      <c r="I521" s="621"/>
      <c r="J521" s="621"/>
      <c r="K521" s="621"/>
      <c r="L521" s="621"/>
      <c r="M521" s="621"/>
      <c r="N521" s="621"/>
      <c r="O521" s="621"/>
      <c r="P521" s="621"/>
      <c r="Q521" s="621"/>
      <c r="R521" s="621"/>
      <c r="S521" s="621"/>
      <c r="T521" s="664"/>
      <c r="U521" s="621"/>
      <c r="V521" s="621"/>
      <c r="W521" s="621"/>
      <c r="X521" s="621"/>
      <c r="Y521" s="580">
        <f t="shared" si="13"/>
        <v>0</v>
      </c>
      <c r="Z521" s="581"/>
      <c r="AA521" s="581"/>
      <c r="AC521" s="581"/>
    </row>
    <row r="522" spans="1:29" ht="18" customHeight="1" hidden="1">
      <c r="A522" s="387" t="s">
        <v>721</v>
      </c>
      <c r="B522" s="623"/>
      <c r="C522" s="623"/>
      <c r="D522" s="623"/>
      <c r="E522" s="623"/>
      <c r="F522" s="623"/>
      <c r="G522" s="623"/>
      <c r="H522" s="623"/>
      <c r="I522" s="623"/>
      <c r="J522" s="623"/>
      <c r="K522" s="623"/>
      <c r="L522" s="623"/>
      <c r="M522" s="623"/>
      <c r="N522" s="623"/>
      <c r="O522" s="623"/>
      <c r="P522" s="623"/>
      <c r="Q522" s="623"/>
      <c r="R522" s="623"/>
      <c r="S522" s="623"/>
      <c r="T522" s="623"/>
      <c r="U522" s="623"/>
      <c r="V522" s="623"/>
      <c r="W522" s="623"/>
      <c r="X522" s="623"/>
      <c r="Y522" s="580">
        <f t="shared" si="13"/>
        <v>0</v>
      </c>
      <c r="Z522" s="581"/>
      <c r="AA522" s="581"/>
      <c r="AC522" s="581"/>
    </row>
    <row r="523" spans="1:29" s="478" customFormat="1" ht="18" customHeight="1" hidden="1">
      <c r="A523" s="589" t="s">
        <v>722</v>
      </c>
      <c r="B523" s="621"/>
      <c r="C523" s="621"/>
      <c r="D523" s="621"/>
      <c r="E523" s="621"/>
      <c r="F523" s="621"/>
      <c r="G523" s="621"/>
      <c r="H523" s="621"/>
      <c r="I523" s="621"/>
      <c r="J523" s="621"/>
      <c r="K523" s="621"/>
      <c r="L523" s="621"/>
      <c r="M523" s="621"/>
      <c r="N523" s="621"/>
      <c r="O523" s="621"/>
      <c r="P523" s="621"/>
      <c r="Q523" s="621"/>
      <c r="R523" s="621"/>
      <c r="S523" s="621"/>
      <c r="T523" s="621"/>
      <c r="U523" s="621"/>
      <c r="V523" s="621"/>
      <c r="W523" s="621"/>
      <c r="X523" s="621"/>
      <c r="Y523" s="580">
        <f t="shared" si="13"/>
        <v>0</v>
      </c>
      <c r="Z523" s="581"/>
      <c r="AA523" s="581"/>
      <c r="AC523" s="581"/>
    </row>
    <row r="524" spans="1:29" s="478" customFormat="1" ht="18" customHeight="1" hidden="1">
      <c r="A524" s="387" t="s">
        <v>723</v>
      </c>
      <c r="B524" s="623"/>
      <c r="C524" s="623"/>
      <c r="D524" s="623"/>
      <c r="E524" s="623"/>
      <c r="F524" s="623"/>
      <c r="G524" s="623"/>
      <c r="H524" s="623"/>
      <c r="I524" s="623"/>
      <c r="J524" s="623"/>
      <c r="K524" s="623"/>
      <c r="L524" s="623"/>
      <c r="M524" s="623"/>
      <c r="N524" s="623"/>
      <c r="O524" s="623"/>
      <c r="P524" s="623"/>
      <c r="Q524" s="623"/>
      <c r="R524" s="623"/>
      <c r="S524" s="623"/>
      <c r="T524" s="623"/>
      <c r="U524" s="623"/>
      <c r="V524" s="623"/>
      <c r="W524" s="623"/>
      <c r="X524" s="623"/>
      <c r="Y524" s="580">
        <f t="shared" si="13"/>
        <v>0</v>
      </c>
      <c r="Z524" s="581"/>
      <c r="AA524" s="581"/>
      <c r="AC524" s="581"/>
    </row>
    <row r="525" spans="1:29" s="478" customFormat="1" ht="18" customHeight="1" hidden="1">
      <c r="A525" s="589" t="s">
        <v>724</v>
      </c>
      <c r="B525" s="621"/>
      <c r="C525" s="621"/>
      <c r="D525" s="621"/>
      <c r="E525" s="621"/>
      <c r="F525" s="621"/>
      <c r="G525" s="621"/>
      <c r="H525" s="621"/>
      <c r="I525" s="621"/>
      <c r="J525" s="621"/>
      <c r="K525" s="621"/>
      <c r="L525" s="621"/>
      <c r="M525" s="621"/>
      <c r="N525" s="621"/>
      <c r="O525" s="621"/>
      <c r="P525" s="621"/>
      <c r="Q525" s="621"/>
      <c r="R525" s="621"/>
      <c r="S525" s="621"/>
      <c r="T525" s="621"/>
      <c r="U525" s="621"/>
      <c r="V525" s="621"/>
      <c r="W525" s="621"/>
      <c r="X525" s="621"/>
      <c r="Y525" s="580">
        <f t="shared" si="13"/>
        <v>0</v>
      </c>
      <c r="Z525" s="581"/>
      <c r="AA525" s="581"/>
      <c r="AC525" s="581"/>
    </row>
    <row r="526" spans="1:29" s="478" customFormat="1" ht="18" customHeight="1" hidden="1">
      <c r="A526" s="589" t="s">
        <v>725</v>
      </c>
      <c r="B526" s="621"/>
      <c r="C526" s="621"/>
      <c r="D526" s="621"/>
      <c r="E526" s="621"/>
      <c r="F526" s="621"/>
      <c r="G526" s="621"/>
      <c r="H526" s="621"/>
      <c r="I526" s="621"/>
      <c r="J526" s="621"/>
      <c r="K526" s="621"/>
      <c r="L526" s="621"/>
      <c r="M526" s="621"/>
      <c r="N526" s="621"/>
      <c r="O526" s="621"/>
      <c r="P526" s="621"/>
      <c r="Q526" s="621"/>
      <c r="R526" s="621"/>
      <c r="S526" s="621"/>
      <c r="T526" s="621"/>
      <c r="U526" s="621"/>
      <c r="V526" s="621"/>
      <c r="W526" s="621"/>
      <c r="X526" s="621"/>
      <c r="Y526" s="580">
        <f t="shared" si="13"/>
        <v>0</v>
      </c>
      <c r="Z526" s="581"/>
      <c r="AA526" s="581"/>
      <c r="AC526" s="581"/>
    </row>
    <row r="527" spans="1:29" s="478" customFormat="1" ht="18" customHeight="1" hidden="1">
      <c r="A527" s="589" t="s">
        <v>726</v>
      </c>
      <c r="B527" s="621"/>
      <c r="C527" s="621"/>
      <c r="D527" s="621"/>
      <c r="E527" s="621"/>
      <c r="F527" s="621"/>
      <c r="G527" s="621"/>
      <c r="H527" s="621"/>
      <c r="I527" s="621"/>
      <c r="J527" s="621"/>
      <c r="K527" s="621"/>
      <c r="L527" s="621"/>
      <c r="M527" s="621"/>
      <c r="N527" s="621"/>
      <c r="O527" s="621"/>
      <c r="P527" s="621"/>
      <c r="Q527" s="621"/>
      <c r="R527" s="621"/>
      <c r="S527" s="621"/>
      <c r="T527" s="621"/>
      <c r="U527" s="621"/>
      <c r="V527" s="621"/>
      <c r="W527" s="621"/>
      <c r="X527" s="621"/>
      <c r="Y527" s="580">
        <f t="shared" si="13"/>
        <v>0</v>
      </c>
      <c r="Z527" s="581"/>
      <c r="AA527" s="581"/>
      <c r="AC527" s="581"/>
    </row>
    <row r="528" spans="1:29" s="478" customFormat="1" ht="18" customHeight="1" hidden="1">
      <c r="A528" s="387" t="s">
        <v>727</v>
      </c>
      <c r="B528" s="623"/>
      <c r="C528" s="623"/>
      <c r="D528" s="623"/>
      <c r="E528" s="623"/>
      <c r="F528" s="623"/>
      <c r="G528" s="623"/>
      <c r="H528" s="623"/>
      <c r="I528" s="623"/>
      <c r="J528" s="623"/>
      <c r="K528" s="623"/>
      <c r="L528" s="623"/>
      <c r="M528" s="623"/>
      <c r="N528" s="623"/>
      <c r="O528" s="623"/>
      <c r="P528" s="623"/>
      <c r="Q528" s="623"/>
      <c r="R528" s="623"/>
      <c r="S528" s="623"/>
      <c r="T528" s="623"/>
      <c r="U528" s="623"/>
      <c r="V528" s="623"/>
      <c r="W528" s="623"/>
      <c r="X528" s="623"/>
      <c r="Y528" s="580">
        <f t="shared" si="13"/>
        <v>0</v>
      </c>
      <c r="Z528" s="581"/>
      <c r="AA528" s="581"/>
      <c r="AC528" s="581"/>
    </row>
    <row r="529" spans="1:29" s="478" customFormat="1" ht="18" customHeight="1">
      <c r="A529" s="387" t="s">
        <v>728</v>
      </c>
      <c r="B529" s="623"/>
      <c r="C529" s="623"/>
      <c r="D529" s="623"/>
      <c r="E529" s="623"/>
      <c r="F529" s="623"/>
      <c r="G529" s="623"/>
      <c r="H529" s="623"/>
      <c r="I529" s="623"/>
      <c r="J529" s="623"/>
      <c r="K529" s="623"/>
      <c r="L529" s="623">
        <v>3000</v>
      </c>
      <c r="M529" s="623"/>
      <c r="N529" s="623"/>
      <c r="O529" s="623"/>
      <c r="P529" s="623"/>
      <c r="Q529" s="623"/>
      <c r="R529" s="623"/>
      <c r="S529" s="623"/>
      <c r="T529" s="623"/>
      <c r="U529" s="623"/>
      <c r="V529" s="623"/>
      <c r="W529" s="623"/>
      <c r="X529" s="623"/>
      <c r="Y529" s="580">
        <f t="shared" si="13"/>
        <v>3000</v>
      </c>
      <c r="Z529" s="581"/>
      <c r="AA529" s="581"/>
      <c r="AC529" s="581"/>
    </row>
    <row r="530" spans="1:29" s="478" customFormat="1" ht="18" customHeight="1" hidden="1">
      <c r="A530" s="589" t="s">
        <v>729</v>
      </c>
      <c r="B530" s="621"/>
      <c r="C530" s="621"/>
      <c r="D530" s="621"/>
      <c r="E530" s="621"/>
      <c r="F530" s="621"/>
      <c r="G530" s="621"/>
      <c r="H530" s="621"/>
      <c r="I530" s="621"/>
      <c r="J530" s="621"/>
      <c r="K530" s="621"/>
      <c r="L530" s="621"/>
      <c r="M530" s="621"/>
      <c r="N530" s="621"/>
      <c r="O530" s="621"/>
      <c r="P530" s="621"/>
      <c r="Q530" s="621"/>
      <c r="R530" s="621"/>
      <c r="S530" s="621"/>
      <c r="T530" s="621"/>
      <c r="U530" s="621"/>
      <c r="V530" s="621"/>
      <c r="W530" s="621"/>
      <c r="X530" s="621"/>
      <c r="Y530" s="580">
        <f t="shared" si="13"/>
        <v>0</v>
      </c>
      <c r="Z530" s="581"/>
      <c r="AA530" s="581"/>
      <c r="AC530" s="581"/>
    </row>
    <row r="531" spans="1:29" s="478" customFormat="1" ht="18" customHeight="1" hidden="1">
      <c r="A531" s="387" t="s">
        <v>730</v>
      </c>
      <c r="B531" s="623"/>
      <c r="C531" s="623"/>
      <c r="D531" s="623"/>
      <c r="E531" s="623"/>
      <c r="F531" s="623"/>
      <c r="G531" s="623"/>
      <c r="H531" s="623"/>
      <c r="I531" s="623"/>
      <c r="J531" s="623"/>
      <c r="K531" s="623"/>
      <c r="L531" s="623"/>
      <c r="M531" s="623"/>
      <c r="N531" s="623"/>
      <c r="O531" s="623"/>
      <c r="P531" s="623"/>
      <c r="Q531" s="623"/>
      <c r="R531" s="623"/>
      <c r="S531" s="623"/>
      <c r="T531" s="623"/>
      <c r="U531" s="623"/>
      <c r="V531" s="623"/>
      <c r="W531" s="623"/>
      <c r="X531" s="623"/>
      <c r="Y531" s="580">
        <f t="shared" si="13"/>
        <v>0</v>
      </c>
      <c r="Z531" s="581"/>
      <c r="AA531" s="581"/>
      <c r="AC531" s="581"/>
    </row>
    <row r="532" spans="1:29" s="388" customFormat="1" ht="18" customHeight="1" hidden="1">
      <c r="A532" s="589" t="s">
        <v>731</v>
      </c>
      <c r="B532" s="621"/>
      <c r="C532" s="621"/>
      <c r="D532" s="621"/>
      <c r="E532" s="621"/>
      <c r="F532" s="621"/>
      <c r="G532" s="621"/>
      <c r="H532" s="621"/>
      <c r="I532" s="621"/>
      <c r="J532" s="621"/>
      <c r="K532" s="621"/>
      <c r="L532" s="621"/>
      <c r="M532" s="621"/>
      <c r="N532" s="621"/>
      <c r="O532" s="621"/>
      <c r="P532" s="621"/>
      <c r="Q532" s="621"/>
      <c r="R532" s="621"/>
      <c r="S532" s="621"/>
      <c r="T532" s="621"/>
      <c r="U532" s="621"/>
      <c r="V532" s="621"/>
      <c r="W532" s="621"/>
      <c r="X532" s="621"/>
      <c r="Y532" s="580">
        <f t="shared" si="13"/>
        <v>0</v>
      </c>
      <c r="Z532" s="581"/>
      <c r="AA532" s="581"/>
      <c r="AC532" s="581"/>
    </row>
    <row r="533" spans="1:29" s="388" customFormat="1" ht="18" customHeight="1" hidden="1">
      <c r="A533" s="387" t="s">
        <v>732</v>
      </c>
      <c r="B533" s="623"/>
      <c r="C533" s="623"/>
      <c r="D533" s="623"/>
      <c r="E533" s="623"/>
      <c r="F533" s="623"/>
      <c r="G533" s="623"/>
      <c r="H533" s="623"/>
      <c r="I533" s="623"/>
      <c r="J533" s="623"/>
      <c r="K533" s="623"/>
      <c r="L533" s="623"/>
      <c r="M533" s="623"/>
      <c r="N533" s="623"/>
      <c r="O533" s="623"/>
      <c r="P533" s="623"/>
      <c r="Q533" s="623"/>
      <c r="R533" s="623"/>
      <c r="S533" s="623"/>
      <c r="T533" s="623"/>
      <c r="U533" s="623"/>
      <c r="V533" s="623"/>
      <c r="W533" s="623"/>
      <c r="X533" s="623"/>
      <c r="Y533" s="580">
        <f t="shared" si="13"/>
        <v>0</v>
      </c>
      <c r="Z533" s="581"/>
      <c r="AA533" s="581"/>
      <c r="AC533" s="581"/>
    </row>
    <row r="534" spans="1:29" s="388" customFormat="1" ht="18" customHeight="1" hidden="1">
      <c r="A534" s="589" t="s">
        <v>733</v>
      </c>
      <c r="B534" s="621"/>
      <c r="C534" s="621"/>
      <c r="D534" s="621"/>
      <c r="E534" s="621"/>
      <c r="F534" s="621"/>
      <c r="G534" s="621"/>
      <c r="H534" s="621"/>
      <c r="I534" s="621"/>
      <c r="J534" s="621"/>
      <c r="K534" s="621"/>
      <c r="L534" s="621"/>
      <c r="M534" s="621"/>
      <c r="N534" s="621"/>
      <c r="O534" s="621"/>
      <c r="P534" s="621"/>
      <c r="Q534" s="621"/>
      <c r="R534" s="621"/>
      <c r="S534" s="621"/>
      <c r="T534" s="621"/>
      <c r="U534" s="621"/>
      <c r="V534" s="621"/>
      <c r="W534" s="621"/>
      <c r="X534" s="621"/>
      <c r="Y534" s="580">
        <f t="shared" si="13"/>
        <v>0</v>
      </c>
      <c r="Z534" s="581"/>
      <c r="AA534" s="581"/>
      <c r="AC534" s="581"/>
    </row>
    <row r="535" spans="1:29" s="388" customFormat="1" ht="18" customHeight="1" thickBot="1">
      <c r="A535" s="387" t="s">
        <v>734</v>
      </c>
      <c r="B535" s="623"/>
      <c r="C535" s="623"/>
      <c r="D535" s="623"/>
      <c r="E535" s="623"/>
      <c r="F535" s="623"/>
      <c r="G535" s="623"/>
      <c r="H535" s="623"/>
      <c r="I535" s="623"/>
      <c r="J535" s="623"/>
      <c r="K535" s="623"/>
      <c r="L535" s="623">
        <v>3000</v>
      </c>
      <c r="M535" s="623"/>
      <c r="N535" s="623"/>
      <c r="O535" s="623"/>
      <c r="P535" s="623"/>
      <c r="Q535" s="623"/>
      <c r="R535" s="623"/>
      <c r="S535" s="623"/>
      <c r="T535" s="623"/>
      <c r="U535" s="623"/>
      <c r="V535" s="623"/>
      <c r="W535" s="623"/>
      <c r="X535" s="623"/>
      <c r="Y535" s="580">
        <f t="shared" si="13"/>
        <v>3000</v>
      </c>
      <c r="Z535" s="581"/>
      <c r="AA535" s="581"/>
      <c r="AC535" s="581"/>
    </row>
    <row r="536" spans="1:29" s="388" customFormat="1" ht="18" customHeight="1" hidden="1">
      <c r="A536" s="589" t="s">
        <v>735</v>
      </c>
      <c r="B536" s="621"/>
      <c r="C536" s="621"/>
      <c r="D536" s="621"/>
      <c r="E536" s="621"/>
      <c r="F536" s="621"/>
      <c r="G536" s="621"/>
      <c r="H536" s="621"/>
      <c r="I536" s="621"/>
      <c r="J536" s="621"/>
      <c r="K536" s="621"/>
      <c r="L536" s="621"/>
      <c r="M536" s="621"/>
      <c r="N536" s="621"/>
      <c r="O536" s="621"/>
      <c r="P536" s="621"/>
      <c r="Q536" s="621"/>
      <c r="R536" s="621"/>
      <c r="S536" s="621"/>
      <c r="T536" s="621"/>
      <c r="U536" s="621"/>
      <c r="V536" s="621"/>
      <c r="W536" s="621"/>
      <c r="X536" s="621"/>
      <c r="Y536" s="580">
        <f t="shared" si="13"/>
        <v>0</v>
      </c>
      <c r="Z536" s="581"/>
      <c r="AA536" s="581"/>
      <c r="AC536" s="581"/>
    </row>
    <row r="537" spans="1:29" s="388" customFormat="1" ht="18" customHeight="1" hidden="1">
      <c r="A537" s="387" t="s">
        <v>736</v>
      </c>
      <c r="B537" s="623"/>
      <c r="C537" s="623"/>
      <c r="D537" s="623"/>
      <c r="E537" s="623"/>
      <c r="F537" s="623"/>
      <c r="G537" s="623"/>
      <c r="H537" s="623"/>
      <c r="I537" s="623"/>
      <c r="J537" s="623"/>
      <c r="K537" s="623"/>
      <c r="L537" s="623"/>
      <c r="M537" s="623"/>
      <c r="N537" s="623"/>
      <c r="O537" s="623"/>
      <c r="P537" s="623"/>
      <c r="Q537" s="623"/>
      <c r="R537" s="623"/>
      <c r="S537" s="623"/>
      <c r="T537" s="623"/>
      <c r="U537" s="623"/>
      <c r="V537" s="623"/>
      <c r="W537" s="623"/>
      <c r="X537" s="623"/>
      <c r="Y537" s="580">
        <f t="shared" si="13"/>
        <v>0</v>
      </c>
      <c r="Z537" s="581"/>
      <c r="AA537" s="581"/>
      <c r="AC537" s="581"/>
    </row>
    <row r="538" spans="1:29" s="388" customFormat="1" ht="18" customHeight="1" hidden="1">
      <c r="A538" s="589" t="s">
        <v>737</v>
      </c>
      <c r="B538" s="621"/>
      <c r="C538" s="621"/>
      <c r="D538" s="621"/>
      <c r="E538" s="621"/>
      <c r="F538" s="621"/>
      <c r="G538" s="621"/>
      <c r="H538" s="621"/>
      <c r="I538" s="621"/>
      <c r="J538" s="621"/>
      <c r="K538" s="621"/>
      <c r="L538" s="621"/>
      <c r="M538" s="621"/>
      <c r="N538" s="621"/>
      <c r="O538" s="621"/>
      <c r="P538" s="621"/>
      <c r="Q538" s="621"/>
      <c r="R538" s="621"/>
      <c r="S538" s="621"/>
      <c r="T538" s="621"/>
      <c r="U538" s="621"/>
      <c r="V538" s="621"/>
      <c r="W538" s="621"/>
      <c r="X538" s="621"/>
      <c r="Y538" s="580">
        <f t="shared" si="13"/>
        <v>0</v>
      </c>
      <c r="Z538" s="581"/>
      <c r="AA538" s="581"/>
      <c r="AC538" s="581"/>
    </row>
    <row r="539" spans="1:29" s="388" customFormat="1" ht="18" customHeight="1" hidden="1">
      <c r="A539" s="387" t="s">
        <v>738</v>
      </c>
      <c r="B539" s="623"/>
      <c r="C539" s="623"/>
      <c r="D539" s="623"/>
      <c r="E539" s="623"/>
      <c r="F539" s="623"/>
      <c r="G539" s="623"/>
      <c r="H539" s="623"/>
      <c r="I539" s="623"/>
      <c r="J539" s="623"/>
      <c r="K539" s="623"/>
      <c r="L539" s="623"/>
      <c r="M539" s="623"/>
      <c r="N539" s="623"/>
      <c r="O539" s="623"/>
      <c r="P539" s="623"/>
      <c r="Q539" s="623"/>
      <c r="R539" s="623"/>
      <c r="S539" s="623"/>
      <c r="T539" s="623"/>
      <c r="U539" s="623"/>
      <c r="V539" s="623"/>
      <c r="W539" s="623"/>
      <c r="X539" s="623"/>
      <c r="Y539" s="580">
        <f t="shared" si="13"/>
        <v>0</v>
      </c>
      <c r="Z539" s="581"/>
      <c r="AA539" s="581"/>
      <c r="AC539" s="581"/>
    </row>
    <row r="540" spans="1:29" ht="18" customHeight="1" hidden="1">
      <c r="A540" s="589" t="s">
        <v>740</v>
      </c>
      <c r="B540" s="621"/>
      <c r="C540" s="621"/>
      <c r="D540" s="621"/>
      <c r="E540" s="621"/>
      <c r="F540" s="621"/>
      <c r="G540" s="621"/>
      <c r="H540" s="621"/>
      <c r="I540" s="621"/>
      <c r="J540" s="621"/>
      <c r="K540" s="621"/>
      <c r="L540" s="621"/>
      <c r="M540" s="621"/>
      <c r="N540" s="621"/>
      <c r="O540" s="621"/>
      <c r="P540" s="621"/>
      <c r="Q540" s="621"/>
      <c r="R540" s="621"/>
      <c r="S540" s="621"/>
      <c r="T540" s="621"/>
      <c r="U540" s="621"/>
      <c r="V540" s="621"/>
      <c r="W540" s="621"/>
      <c r="X540" s="621"/>
      <c r="Y540" s="580">
        <f t="shared" si="13"/>
        <v>0</v>
      </c>
      <c r="Z540" s="581"/>
      <c r="AA540" s="581"/>
      <c r="AC540" s="581"/>
    </row>
    <row r="541" spans="1:29" ht="18" customHeight="1" hidden="1">
      <c r="A541" s="387" t="s">
        <v>741</v>
      </c>
      <c r="B541" s="623"/>
      <c r="C541" s="623"/>
      <c r="D541" s="623"/>
      <c r="E541" s="623"/>
      <c r="F541" s="623"/>
      <c r="G541" s="623"/>
      <c r="H541" s="623"/>
      <c r="I541" s="623"/>
      <c r="J541" s="623"/>
      <c r="K541" s="623"/>
      <c r="L541" s="623"/>
      <c r="M541" s="623"/>
      <c r="N541" s="623"/>
      <c r="O541" s="623"/>
      <c r="P541" s="623"/>
      <c r="Q541" s="623"/>
      <c r="R541" s="623"/>
      <c r="S541" s="623"/>
      <c r="T541" s="623"/>
      <c r="U541" s="623"/>
      <c r="V541" s="623"/>
      <c r="W541" s="623"/>
      <c r="X541" s="623"/>
      <c r="Y541" s="580">
        <f t="shared" si="13"/>
        <v>0</v>
      </c>
      <c r="Z541" s="581"/>
      <c r="AA541" s="581"/>
      <c r="AC541" s="581"/>
    </row>
    <row r="542" spans="1:29" ht="18" customHeight="1" hidden="1">
      <c r="A542" s="589" t="s">
        <v>742</v>
      </c>
      <c r="B542" s="621"/>
      <c r="C542" s="621"/>
      <c r="D542" s="621"/>
      <c r="E542" s="621"/>
      <c r="F542" s="621"/>
      <c r="G542" s="621"/>
      <c r="H542" s="621"/>
      <c r="I542" s="621"/>
      <c r="J542" s="621"/>
      <c r="K542" s="621"/>
      <c r="L542" s="621"/>
      <c r="M542" s="621"/>
      <c r="N542" s="621"/>
      <c r="O542" s="621"/>
      <c r="P542" s="621"/>
      <c r="Q542" s="621"/>
      <c r="R542" s="621"/>
      <c r="S542" s="621"/>
      <c r="T542" s="621"/>
      <c r="U542" s="621"/>
      <c r="V542" s="621"/>
      <c r="W542" s="621"/>
      <c r="X542" s="621"/>
      <c r="Y542" s="580">
        <f t="shared" si="13"/>
        <v>0</v>
      </c>
      <c r="Z542" s="581"/>
      <c r="AA542" s="581"/>
      <c r="AC542" s="581"/>
    </row>
    <row r="543" spans="1:29" s="478" customFormat="1" ht="18" customHeight="1" hidden="1">
      <c r="A543" s="387" t="s">
        <v>747</v>
      </c>
      <c r="B543" s="623"/>
      <c r="C543" s="623"/>
      <c r="D543" s="623"/>
      <c r="E543" s="623"/>
      <c r="F543" s="623"/>
      <c r="G543" s="623"/>
      <c r="H543" s="623"/>
      <c r="I543" s="623"/>
      <c r="J543" s="623"/>
      <c r="K543" s="623"/>
      <c r="L543" s="623"/>
      <c r="M543" s="623"/>
      <c r="N543" s="623"/>
      <c r="O543" s="623"/>
      <c r="P543" s="623"/>
      <c r="Q543" s="623"/>
      <c r="R543" s="623"/>
      <c r="S543" s="623"/>
      <c r="T543" s="623"/>
      <c r="U543" s="623"/>
      <c r="V543" s="623"/>
      <c r="W543" s="623"/>
      <c r="X543" s="623"/>
      <c r="Y543" s="580">
        <f t="shared" si="13"/>
        <v>0</v>
      </c>
      <c r="Z543" s="581"/>
      <c r="AA543" s="581"/>
      <c r="AC543" s="581"/>
    </row>
    <row r="544" spans="1:29" s="478" customFormat="1" ht="18" customHeight="1" hidden="1">
      <c r="A544" s="589" t="s">
        <v>748</v>
      </c>
      <c r="B544" s="621"/>
      <c r="C544" s="621"/>
      <c r="D544" s="621"/>
      <c r="E544" s="621"/>
      <c r="F544" s="621"/>
      <c r="G544" s="621"/>
      <c r="H544" s="621"/>
      <c r="I544" s="621"/>
      <c r="J544" s="621"/>
      <c r="K544" s="621"/>
      <c r="L544" s="621"/>
      <c r="M544" s="621"/>
      <c r="N544" s="621"/>
      <c r="O544" s="621"/>
      <c r="P544" s="621"/>
      <c r="Q544" s="621"/>
      <c r="R544" s="621"/>
      <c r="S544" s="621"/>
      <c r="T544" s="621"/>
      <c r="U544" s="621"/>
      <c r="V544" s="621"/>
      <c r="W544" s="621"/>
      <c r="X544" s="621"/>
      <c r="Y544" s="580">
        <f t="shared" si="13"/>
        <v>0</v>
      </c>
      <c r="Z544" s="581"/>
      <c r="AA544" s="581"/>
      <c r="AC544" s="581"/>
    </row>
    <row r="545" spans="1:29" s="478" customFormat="1" ht="18" customHeight="1" hidden="1">
      <c r="A545" s="387" t="s">
        <v>749</v>
      </c>
      <c r="B545" s="623"/>
      <c r="C545" s="623"/>
      <c r="D545" s="623"/>
      <c r="E545" s="623"/>
      <c r="F545" s="623"/>
      <c r="G545" s="623"/>
      <c r="H545" s="623"/>
      <c r="I545" s="623"/>
      <c r="J545" s="623"/>
      <c r="K545" s="623"/>
      <c r="L545" s="623"/>
      <c r="M545" s="623"/>
      <c r="N545" s="623"/>
      <c r="O545" s="623"/>
      <c r="P545" s="623"/>
      <c r="Q545" s="623"/>
      <c r="R545" s="623"/>
      <c r="S545" s="623"/>
      <c r="T545" s="623"/>
      <c r="U545" s="623"/>
      <c r="V545" s="623"/>
      <c r="W545" s="623"/>
      <c r="X545" s="623"/>
      <c r="Y545" s="580">
        <f t="shared" si="13"/>
        <v>0</v>
      </c>
      <c r="Z545" s="581"/>
      <c r="AA545" s="581"/>
      <c r="AC545" s="581"/>
    </row>
    <row r="546" spans="1:29" s="478" customFormat="1" ht="18" customHeight="1" hidden="1">
      <c r="A546" s="589" t="s">
        <v>750</v>
      </c>
      <c r="B546" s="621"/>
      <c r="C546" s="621"/>
      <c r="D546" s="621"/>
      <c r="E546" s="621"/>
      <c r="F546" s="621"/>
      <c r="G546" s="621"/>
      <c r="H546" s="621"/>
      <c r="I546" s="621"/>
      <c r="J546" s="621"/>
      <c r="K546" s="621"/>
      <c r="L546" s="621"/>
      <c r="M546" s="621"/>
      <c r="N546" s="621"/>
      <c r="O546" s="621"/>
      <c r="P546" s="621"/>
      <c r="Q546" s="621"/>
      <c r="R546" s="621"/>
      <c r="S546" s="621"/>
      <c r="T546" s="621"/>
      <c r="U546" s="621"/>
      <c r="V546" s="621"/>
      <c r="W546" s="621"/>
      <c r="X546" s="621"/>
      <c r="Y546" s="580">
        <f t="shared" si="13"/>
        <v>0</v>
      </c>
      <c r="Z546" s="581"/>
      <c r="AA546" s="581"/>
      <c r="AC546" s="581"/>
    </row>
    <row r="547" spans="1:29" s="478" customFormat="1" ht="18" customHeight="1" hidden="1">
      <c r="A547" s="387" t="s">
        <v>751</v>
      </c>
      <c r="B547" s="623"/>
      <c r="C547" s="623"/>
      <c r="D547" s="623"/>
      <c r="E547" s="623"/>
      <c r="F547" s="623"/>
      <c r="G547" s="623"/>
      <c r="H547" s="623"/>
      <c r="I547" s="623"/>
      <c r="J547" s="623"/>
      <c r="K547" s="623"/>
      <c r="L547" s="623"/>
      <c r="M547" s="623"/>
      <c r="N547" s="623"/>
      <c r="O547" s="623"/>
      <c r="P547" s="623"/>
      <c r="Q547" s="623"/>
      <c r="R547" s="623"/>
      <c r="S547" s="623"/>
      <c r="T547" s="623"/>
      <c r="U547" s="623"/>
      <c r="V547" s="623"/>
      <c r="W547" s="623"/>
      <c r="X547" s="623"/>
      <c r="Y547" s="580">
        <f aca="true" t="shared" si="14" ref="Y547:Y577">SUM(B547:X547)</f>
        <v>0</v>
      </c>
      <c r="Z547" s="581"/>
      <c r="AA547" s="581"/>
      <c r="AC547" s="581"/>
    </row>
    <row r="548" spans="1:29" s="478" customFormat="1" ht="18" customHeight="1" hidden="1">
      <c r="A548" s="589" t="s">
        <v>11</v>
      </c>
      <c r="B548" s="621"/>
      <c r="C548" s="621"/>
      <c r="D548" s="621"/>
      <c r="E548" s="621"/>
      <c r="F548" s="621"/>
      <c r="G548" s="621"/>
      <c r="H548" s="621"/>
      <c r="I548" s="621"/>
      <c r="J548" s="621"/>
      <c r="K548" s="621"/>
      <c r="L548" s="621"/>
      <c r="M548" s="621"/>
      <c r="N548" s="621"/>
      <c r="O548" s="621"/>
      <c r="P548" s="621"/>
      <c r="Q548" s="621"/>
      <c r="R548" s="621"/>
      <c r="S548" s="621"/>
      <c r="T548" s="621"/>
      <c r="U548" s="621"/>
      <c r="V548" s="621"/>
      <c r="W548" s="621"/>
      <c r="X548" s="621"/>
      <c r="Y548" s="580">
        <f t="shared" si="14"/>
        <v>0</v>
      </c>
      <c r="Z548" s="581"/>
      <c r="AA548" s="581"/>
      <c r="AC548" s="581"/>
    </row>
    <row r="549" spans="1:29" s="478" customFormat="1" ht="18" customHeight="1" hidden="1">
      <c r="A549" s="387" t="s">
        <v>12</v>
      </c>
      <c r="B549" s="623"/>
      <c r="C549" s="623"/>
      <c r="D549" s="623"/>
      <c r="E549" s="623"/>
      <c r="F549" s="623"/>
      <c r="G549" s="623"/>
      <c r="H549" s="623"/>
      <c r="I549" s="623"/>
      <c r="J549" s="623"/>
      <c r="K549" s="623"/>
      <c r="L549" s="623"/>
      <c r="M549" s="623"/>
      <c r="N549" s="623"/>
      <c r="O549" s="623"/>
      <c r="P549" s="623"/>
      <c r="Q549" s="623"/>
      <c r="R549" s="623"/>
      <c r="S549" s="623"/>
      <c r="T549" s="623"/>
      <c r="U549" s="623"/>
      <c r="V549" s="623"/>
      <c r="W549" s="623"/>
      <c r="X549" s="623"/>
      <c r="Y549" s="580">
        <f t="shared" si="14"/>
        <v>0</v>
      </c>
      <c r="Z549" s="581"/>
      <c r="AA549" s="581"/>
      <c r="AC549" s="581"/>
    </row>
    <row r="550" spans="1:29" s="478" customFormat="1" ht="18" customHeight="1" hidden="1">
      <c r="A550" s="387" t="s">
        <v>767</v>
      </c>
      <c r="B550" s="623"/>
      <c r="C550" s="623"/>
      <c r="D550" s="623"/>
      <c r="E550" s="623"/>
      <c r="F550" s="623"/>
      <c r="G550" s="623"/>
      <c r="H550" s="623"/>
      <c r="I550" s="623"/>
      <c r="J550" s="623"/>
      <c r="K550" s="623"/>
      <c r="L550" s="623"/>
      <c r="M550" s="623"/>
      <c r="N550" s="623"/>
      <c r="O550" s="623"/>
      <c r="P550" s="623"/>
      <c r="Q550" s="623"/>
      <c r="R550" s="623"/>
      <c r="S550" s="623"/>
      <c r="T550" s="623"/>
      <c r="U550" s="623"/>
      <c r="V550" s="623"/>
      <c r="W550" s="623"/>
      <c r="X550" s="623"/>
      <c r="Y550" s="580">
        <f t="shared" si="14"/>
        <v>0</v>
      </c>
      <c r="Z550" s="581"/>
      <c r="AA550" s="581"/>
      <c r="AC550" s="581"/>
    </row>
    <row r="551" spans="1:29" s="478" customFormat="1" ht="18" customHeight="1" hidden="1">
      <c r="A551" s="387" t="s">
        <v>80</v>
      </c>
      <c r="B551" s="623"/>
      <c r="C551" s="623"/>
      <c r="D551" s="623"/>
      <c r="E551" s="623"/>
      <c r="F551" s="623"/>
      <c r="G551" s="623"/>
      <c r="H551" s="623"/>
      <c r="I551" s="623"/>
      <c r="J551" s="623"/>
      <c r="K551" s="623"/>
      <c r="L551" s="623"/>
      <c r="M551" s="623"/>
      <c r="N551" s="623"/>
      <c r="O551" s="623"/>
      <c r="P551" s="623"/>
      <c r="Q551" s="623"/>
      <c r="R551" s="623"/>
      <c r="S551" s="623"/>
      <c r="T551" s="623"/>
      <c r="U551" s="623"/>
      <c r="V551" s="623"/>
      <c r="W551" s="623"/>
      <c r="X551" s="623"/>
      <c r="Y551" s="580">
        <f t="shared" si="14"/>
        <v>0</v>
      </c>
      <c r="Z551" s="581"/>
      <c r="AA551" s="581"/>
      <c r="AC551" s="581"/>
    </row>
    <row r="552" spans="1:29" s="478" customFormat="1" ht="18" customHeight="1" hidden="1">
      <c r="A552" s="387" t="s">
        <v>330</v>
      </c>
      <c r="B552" s="623"/>
      <c r="C552" s="623"/>
      <c r="D552" s="623"/>
      <c r="E552" s="623"/>
      <c r="F552" s="623"/>
      <c r="G552" s="623"/>
      <c r="H552" s="623"/>
      <c r="I552" s="623"/>
      <c r="J552" s="623"/>
      <c r="K552" s="623"/>
      <c r="L552" s="623"/>
      <c r="M552" s="623"/>
      <c r="N552" s="623"/>
      <c r="O552" s="623"/>
      <c r="P552" s="623"/>
      <c r="Q552" s="623"/>
      <c r="R552" s="623"/>
      <c r="S552" s="623"/>
      <c r="T552" s="623"/>
      <c r="U552" s="623"/>
      <c r="V552" s="623"/>
      <c r="W552" s="623"/>
      <c r="X552" s="623"/>
      <c r="Y552" s="580">
        <f t="shared" si="14"/>
        <v>0</v>
      </c>
      <c r="Z552" s="581"/>
      <c r="AA552" s="581"/>
      <c r="AC552" s="581"/>
    </row>
    <row r="553" spans="1:29" s="478" customFormat="1" ht="18" customHeight="1" hidden="1">
      <c r="A553" s="589" t="s">
        <v>313</v>
      </c>
      <c r="B553" s="389"/>
      <c r="C553" s="389"/>
      <c r="D553" s="389"/>
      <c r="E553" s="389"/>
      <c r="F553" s="389"/>
      <c r="G553" s="389"/>
      <c r="H553" s="389"/>
      <c r="I553" s="389"/>
      <c r="J553" s="389"/>
      <c r="K553" s="389"/>
      <c r="L553" s="389"/>
      <c r="M553" s="389"/>
      <c r="N553" s="389"/>
      <c r="O553" s="389"/>
      <c r="P553" s="389"/>
      <c r="Q553" s="389"/>
      <c r="R553" s="389"/>
      <c r="S553" s="389"/>
      <c r="T553" s="389"/>
      <c r="U553" s="389"/>
      <c r="V553" s="389"/>
      <c r="W553" s="389"/>
      <c r="X553" s="389"/>
      <c r="Y553" s="580">
        <f t="shared" si="14"/>
        <v>0</v>
      </c>
      <c r="Z553" s="581"/>
      <c r="AA553" s="581"/>
      <c r="AC553" s="581"/>
    </row>
    <row r="554" spans="1:29" s="478" customFormat="1" ht="18" customHeight="1" hidden="1">
      <c r="A554" s="387" t="s">
        <v>42</v>
      </c>
      <c r="B554" s="623"/>
      <c r="C554" s="623"/>
      <c r="D554" s="623"/>
      <c r="E554" s="623"/>
      <c r="F554" s="623"/>
      <c r="G554" s="623"/>
      <c r="H554" s="623"/>
      <c r="I554" s="623"/>
      <c r="J554" s="623"/>
      <c r="K554" s="623"/>
      <c r="L554" s="623"/>
      <c r="M554" s="623"/>
      <c r="N554" s="623"/>
      <c r="O554" s="623"/>
      <c r="P554" s="623"/>
      <c r="Q554" s="623"/>
      <c r="R554" s="623"/>
      <c r="S554" s="623"/>
      <c r="T554" s="623"/>
      <c r="U554" s="623"/>
      <c r="V554" s="623"/>
      <c r="W554" s="623"/>
      <c r="X554" s="623"/>
      <c r="Y554" s="580">
        <f t="shared" si="14"/>
        <v>0</v>
      </c>
      <c r="Z554" s="581"/>
      <c r="AA554" s="581"/>
      <c r="AC554" s="581"/>
    </row>
    <row r="555" spans="1:29" s="478" customFormat="1" ht="18" customHeight="1" hidden="1">
      <c r="A555" s="589" t="s">
        <v>45</v>
      </c>
      <c r="B555" s="621"/>
      <c r="C555" s="621"/>
      <c r="D555" s="621"/>
      <c r="E555" s="621"/>
      <c r="F555" s="621"/>
      <c r="G555" s="621"/>
      <c r="H555" s="621"/>
      <c r="I555" s="621"/>
      <c r="J555" s="621"/>
      <c r="K555" s="621"/>
      <c r="L555" s="621"/>
      <c r="M555" s="621"/>
      <c r="N555" s="621"/>
      <c r="O555" s="621"/>
      <c r="P555" s="621"/>
      <c r="Q555" s="621"/>
      <c r="R555" s="621"/>
      <c r="S555" s="621"/>
      <c r="T555" s="621"/>
      <c r="U555" s="621"/>
      <c r="V555" s="621"/>
      <c r="W555" s="621"/>
      <c r="X555" s="621"/>
      <c r="Y555" s="580">
        <f t="shared" si="14"/>
        <v>0</v>
      </c>
      <c r="Z555" s="581"/>
      <c r="AA555" s="581"/>
      <c r="AC555" s="581"/>
    </row>
    <row r="556" spans="1:29" s="478" customFormat="1" ht="18" customHeight="1" hidden="1">
      <c r="A556" s="589" t="s">
        <v>329</v>
      </c>
      <c r="B556" s="621"/>
      <c r="C556" s="621"/>
      <c r="D556" s="621"/>
      <c r="E556" s="621"/>
      <c r="F556" s="621"/>
      <c r="G556" s="621"/>
      <c r="H556" s="621"/>
      <c r="I556" s="621"/>
      <c r="J556" s="621"/>
      <c r="K556" s="621"/>
      <c r="L556" s="621"/>
      <c r="M556" s="621"/>
      <c r="N556" s="621"/>
      <c r="O556" s="621"/>
      <c r="P556" s="621"/>
      <c r="Q556" s="621"/>
      <c r="R556" s="621"/>
      <c r="S556" s="621"/>
      <c r="T556" s="621"/>
      <c r="U556" s="621"/>
      <c r="V556" s="621"/>
      <c r="W556" s="621"/>
      <c r="X556" s="621"/>
      <c r="Y556" s="580">
        <f t="shared" si="14"/>
        <v>0</v>
      </c>
      <c r="Z556" s="581"/>
      <c r="AA556" s="581"/>
      <c r="AC556" s="581"/>
    </row>
    <row r="557" spans="1:29" s="478" customFormat="1" ht="18" customHeight="1" hidden="1">
      <c r="A557" s="589" t="s">
        <v>66</v>
      </c>
      <c r="B557" s="621"/>
      <c r="C557" s="621"/>
      <c r="D557" s="621"/>
      <c r="E557" s="621"/>
      <c r="F557" s="621"/>
      <c r="G557" s="621"/>
      <c r="H557" s="621"/>
      <c r="I557" s="621"/>
      <c r="J557" s="621"/>
      <c r="K557" s="621"/>
      <c r="L557" s="621"/>
      <c r="M557" s="621"/>
      <c r="N557" s="621"/>
      <c r="O557" s="621"/>
      <c r="P557" s="621"/>
      <c r="Q557" s="621"/>
      <c r="R557" s="621"/>
      <c r="S557" s="621"/>
      <c r="T557" s="621"/>
      <c r="U557" s="621"/>
      <c r="V557" s="621"/>
      <c r="W557" s="621"/>
      <c r="X557" s="621"/>
      <c r="Y557" s="580">
        <f t="shared" si="14"/>
        <v>0</v>
      </c>
      <c r="Z557" s="581"/>
      <c r="AA557" s="581"/>
      <c r="AC557" s="581"/>
    </row>
    <row r="558" spans="1:29" s="478" customFormat="1" ht="18" customHeight="1" hidden="1">
      <c r="A558" s="589" t="s">
        <v>325</v>
      </c>
      <c r="B558" s="621"/>
      <c r="C558" s="621"/>
      <c r="D558" s="621"/>
      <c r="E558" s="621"/>
      <c r="F558" s="621"/>
      <c r="G558" s="621"/>
      <c r="H558" s="621"/>
      <c r="I558" s="621"/>
      <c r="J558" s="621"/>
      <c r="K558" s="621"/>
      <c r="L558" s="621"/>
      <c r="M558" s="621"/>
      <c r="N558" s="621"/>
      <c r="O558" s="621"/>
      <c r="P558" s="621"/>
      <c r="Q558" s="621"/>
      <c r="R558" s="621"/>
      <c r="S558" s="621"/>
      <c r="T558" s="621"/>
      <c r="U558" s="621"/>
      <c r="V558" s="621"/>
      <c r="W558" s="621"/>
      <c r="X558" s="621"/>
      <c r="Y558" s="580">
        <f t="shared" si="14"/>
        <v>0</v>
      </c>
      <c r="Z558" s="581"/>
      <c r="AA558" s="581"/>
      <c r="AC558" s="581"/>
    </row>
    <row r="559" spans="1:29" s="478" customFormat="1" ht="18" customHeight="1" hidden="1">
      <c r="A559" s="387" t="s">
        <v>326</v>
      </c>
      <c r="B559" s="623"/>
      <c r="C559" s="623"/>
      <c r="D559" s="623"/>
      <c r="E559" s="623"/>
      <c r="F559" s="623"/>
      <c r="G559" s="623"/>
      <c r="H559" s="623"/>
      <c r="I559" s="623"/>
      <c r="J559" s="623"/>
      <c r="K559" s="623"/>
      <c r="L559" s="623"/>
      <c r="M559" s="623"/>
      <c r="N559" s="623"/>
      <c r="O559" s="623"/>
      <c r="P559" s="623"/>
      <c r="Q559" s="623"/>
      <c r="R559" s="623"/>
      <c r="S559" s="623"/>
      <c r="T559" s="623"/>
      <c r="U559" s="623"/>
      <c r="V559" s="623"/>
      <c r="W559" s="623"/>
      <c r="X559" s="623"/>
      <c r="Y559" s="580">
        <f t="shared" si="14"/>
        <v>0</v>
      </c>
      <c r="Z559" s="581"/>
      <c r="AA559" s="581"/>
      <c r="AC559" s="581"/>
    </row>
    <row r="560" spans="1:29" s="478" customFormat="1" ht="18" customHeight="1" hidden="1">
      <c r="A560" s="589" t="s">
        <v>327</v>
      </c>
      <c r="B560" s="621"/>
      <c r="C560" s="621"/>
      <c r="D560" s="621"/>
      <c r="E560" s="621"/>
      <c r="F560" s="621"/>
      <c r="G560" s="621"/>
      <c r="H560" s="621"/>
      <c r="I560" s="621"/>
      <c r="J560" s="621"/>
      <c r="K560" s="621"/>
      <c r="L560" s="621"/>
      <c r="M560" s="621"/>
      <c r="N560" s="621"/>
      <c r="O560" s="621"/>
      <c r="P560" s="621"/>
      <c r="Q560" s="621"/>
      <c r="R560" s="621"/>
      <c r="S560" s="621"/>
      <c r="T560" s="621"/>
      <c r="U560" s="621"/>
      <c r="V560" s="621"/>
      <c r="W560" s="621"/>
      <c r="X560" s="621"/>
      <c r="Y560" s="580">
        <f t="shared" si="14"/>
        <v>0</v>
      </c>
      <c r="Z560" s="581"/>
      <c r="AA560" s="581"/>
      <c r="AC560" s="581"/>
    </row>
    <row r="561" spans="1:29" s="478" customFormat="1" ht="18" customHeight="1" hidden="1">
      <c r="A561" s="387" t="s">
        <v>328</v>
      </c>
      <c r="B561" s="623"/>
      <c r="C561" s="623"/>
      <c r="D561" s="623"/>
      <c r="E561" s="623"/>
      <c r="F561" s="623"/>
      <c r="G561" s="623"/>
      <c r="H561" s="623"/>
      <c r="I561" s="623"/>
      <c r="J561" s="623"/>
      <c r="K561" s="623"/>
      <c r="L561" s="623"/>
      <c r="M561" s="623"/>
      <c r="N561" s="623"/>
      <c r="O561" s="623"/>
      <c r="P561" s="623"/>
      <c r="Q561" s="623"/>
      <c r="R561" s="623"/>
      <c r="S561" s="623"/>
      <c r="T561" s="623"/>
      <c r="U561" s="623"/>
      <c r="V561" s="623"/>
      <c r="W561" s="623"/>
      <c r="X561" s="623"/>
      <c r="Y561" s="580">
        <f t="shared" si="14"/>
        <v>0</v>
      </c>
      <c r="Z561" s="581"/>
      <c r="AA561" s="581"/>
      <c r="AC561" s="581"/>
    </row>
    <row r="562" spans="1:29" s="478" customFormat="1" ht="25.5" hidden="1">
      <c r="A562" s="620" t="s">
        <v>763</v>
      </c>
      <c r="B562" s="621"/>
      <c r="C562" s="621"/>
      <c r="D562" s="621"/>
      <c r="E562" s="621"/>
      <c r="F562" s="621"/>
      <c r="G562" s="621"/>
      <c r="H562" s="621"/>
      <c r="I562" s="621"/>
      <c r="J562" s="621"/>
      <c r="K562" s="621"/>
      <c r="L562" s="621"/>
      <c r="M562" s="621"/>
      <c r="N562" s="621"/>
      <c r="O562" s="621"/>
      <c r="P562" s="621"/>
      <c r="Q562" s="621"/>
      <c r="R562" s="621"/>
      <c r="S562" s="621"/>
      <c r="T562" s="621"/>
      <c r="U562" s="621"/>
      <c r="V562" s="621"/>
      <c r="W562" s="621"/>
      <c r="X562" s="621"/>
      <c r="Y562" s="580">
        <f t="shared" si="14"/>
        <v>0</v>
      </c>
      <c r="Z562" s="581"/>
      <c r="AA562" s="581"/>
      <c r="AC562" s="581"/>
    </row>
    <row r="563" spans="1:29" s="478" customFormat="1" ht="25.5" hidden="1">
      <c r="A563" s="622" t="s">
        <v>762</v>
      </c>
      <c r="B563" s="623"/>
      <c r="C563" s="623"/>
      <c r="D563" s="623"/>
      <c r="E563" s="623"/>
      <c r="F563" s="623"/>
      <c r="G563" s="623"/>
      <c r="H563" s="623"/>
      <c r="I563" s="623"/>
      <c r="J563" s="623"/>
      <c r="K563" s="623"/>
      <c r="L563" s="623"/>
      <c r="M563" s="623"/>
      <c r="N563" s="623"/>
      <c r="O563" s="623"/>
      <c r="P563" s="623"/>
      <c r="Q563" s="623"/>
      <c r="R563" s="623"/>
      <c r="S563" s="623"/>
      <c r="T563" s="623"/>
      <c r="U563" s="623"/>
      <c r="V563" s="623"/>
      <c r="W563" s="623"/>
      <c r="X563" s="623"/>
      <c r="Y563" s="580">
        <f t="shared" si="14"/>
        <v>0</v>
      </c>
      <c r="Z563" s="581"/>
      <c r="AA563" s="581"/>
      <c r="AC563" s="581"/>
    </row>
    <row r="564" spans="1:29" s="478" customFormat="1" ht="18" customHeight="1" hidden="1">
      <c r="A564" s="589" t="s">
        <v>64</v>
      </c>
      <c r="B564" s="621"/>
      <c r="C564" s="621"/>
      <c r="D564" s="621"/>
      <c r="E564" s="621"/>
      <c r="F564" s="621"/>
      <c r="G564" s="621"/>
      <c r="H564" s="621"/>
      <c r="I564" s="621"/>
      <c r="J564" s="621"/>
      <c r="K564" s="621"/>
      <c r="L564" s="621"/>
      <c r="M564" s="621"/>
      <c r="N564" s="621"/>
      <c r="O564" s="621"/>
      <c r="P564" s="621"/>
      <c r="Q564" s="621"/>
      <c r="R564" s="621"/>
      <c r="S564" s="621"/>
      <c r="T564" s="621"/>
      <c r="U564" s="621"/>
      <c r="V564" s="621"/>
      <c r="W564" s="621"/>
      <c r="X564" s="621"/>
      <c r="Y564" s="580">
        <f t="shared" si="14"/>
        <v>0</v>
      </c>
      <c r="Z564" s="581"/>
      <c r="AA564" s="581"/>
      <c r="AC564" s="581"/>
    </row>
    <row r="565" spans="1:29" s="478" customFormat="1" ht="18" customHeight="1" hidden="1">
      <c r="A565" s="387" t="s">
        <v>21</v>
      </c>
      <c r="B565" s="623"/>
      <c r="C565" s="623"/>
      <c r="D565" s="623"/>
      <c r="E565" s="623"/>
      <c r="F565" s="623"/>
      <c r="G565" s="623"/>
      <c r="H565" s="623"/>
      <c r="I565" s="623"/>
      <c r="J565" s="623"/>
      <c r="K565" s="623"/>
      <c r="L565" s="623"/>
      <c r="M565" s="623"/>
      <c r="N565" s="623"/>
      <c r="O565" s="623"/>
      <c r="P565" s="623"/>
      <c r="Q565" s="623"/>
      <c r="R565" s="623"/>
      <c r="S565" s="623"/>
      <c r="T565" s="623"/>
      <c r="U565" s="623"/>
      <c r="V565" s="623"/>
      <c r="W565" s="623"/>
      <c r="X565" s="623"/>
      <c r="Y565" s="580">
        <f t="shared" si="14"/>
        <v>0</v>
      </c>
      <c r="Z565" s="581"/>
      <c r="AA565" s="581"/>
      <c r="AC565" s="581"/>
    </row>
    <row r="566" spans="1:29" s="478" customFormat="1" ht="18" customHeight="1" hidden="1" thickBot="1">
      <c r="A566" s="589" t="s">
        <v>766</v>
      </c>
      <c r="B566" s="621"/>
      <c r="C566" s="621"/>
      <c r="D566" s="621"/>
      <c r="E566" s="621"/>
      <c r="F566" s="621"/>
      <c r="G566" s="621"/>
      <c r="H566" s="621"/>
      <c r="I566" s="621"/>
      <c r="J566" s="621"/>
      <c r="K566" s="621"/>
      <c r="L566" s="621"/>
      <c r="M566" s="621"/>
      <c r="N566" s="621"/>
      <c r="O566" s="621"/>
      <c r="P566" s="621"/>
      <c r="Q566" s="621"/>
      <c r="R566" s="621"/>
      <c r="S566" s="621"/>
      <c r="T566" s="621"/>
      <c r="U566" s="621"/>
      <c r="V566" s="621"/>
      <c r="W566" s="621"/>
      <c r="X566" s="621"/>
      <c r="Y566" s="605">
        <f t="shared" si="14"/>
        <v>0</v>
      </c>
      <c r="Z566" s="581"/>
      <c r="AA566" s="581"/>
      <c r="AC566" s="581"/>
    </row>
    <row r="567" spans="1:27" s="478" customFormat="1" ht="25.5" customHeight="1" thickBot="1" thickTop="1">
      <c r="A567" s="665" t="s">
        <v>411</v>
      </c>
      <c r="B567" s="666"/>
      <c r="C567" s="666"/>
      <c r="D567" s="666">
        <f>D568</f>
        <v>-4</v>
      </c>
      <c r="E567" s="666">
        <f>E568</f>
        <v>3</v>
      </c>
      <c r="F567" s="666">
        <f>F568</f>
        <v>1</v>
      </c>
      <c r="G567" s="666"/>
      <c r="H567" s="666"/>
      <c r="I567" s="666"/>
      <c r="J567" s="666"/>
      <c r="K567" s="666"/>
      <c r="L567" s="666"/>
      <c r="M567" s="666"/>
      <c r="N567" s="666"/>
      <c r="O567" s="666"/>
      <c r="P567" s="666"/>
      <c r="Q567" s="666"/>
      <c r="R567" s="666"/>
      <c r="S567" s="666"/>
      <c r="T567" s="666"/>
      <c r="U567" s="666"/>
      <c r="V567" s="666"/>
      <c r="W567" s="666"/>
      <c r="X567" s="666"/>
      <c r="Y567" s="891">
        <f t="shared" si="14"/>
        <v>0</v>
      </c>
      <c r="Z567" s="581"/>
      <c r="AA567" s="581"/>
    </row>
    <row r="568" spans="1:25" ht="34.5" customHeight="1" thickBot="1" thickTop="1">
      <c r="A568" s="667" t="s">
        <v>157</v>
      </c>
      <c r="B568" s="384"/>
      <c r="C568" s="384"/>
      <c r="D568" s="384">
        <f>D596</f>
        <v>-4</v>
      </c>
      <c r="E568" s="384">
        <f>E596</f>
        <v>3</v>
      </c>
      <c r="F568" s="384">
        <f>F596</f>
        <v>1</v>
      </c>
      <c r="G568" s="384"/>
      <c r="H568" s="384"/>
      <c r="I568" s="384"/>
      <c r="J568" s="384"/>
      <c r="K568" s="384"/>
      <c r="L568" s="384"/>
      <c r="M568" s="384"/>
      <c r="N568" s="384"/>
      <c r="O568" s="384"/>
      <c r="P568" s="384"/>
      <c r="Q568" s="384"/>
      <c r="R568" s="384"/>
      <c r="S568" s="384"/>
      <c r="T568" s="384"/>
      <c r="U568" s="384"/>
      <c r="V568" s="384"/>
      <c r="W568" s="384"/>
      <c r="X568" s="384"/>
      <c r="Y568" s="894">
        <f t="shared" si="14"/>
        <v>0</v>
      </c>
    </row>
    <row r="569" spans="1:25" ht="18" customHeight="1" hidden="1">
      <c r="A569" s="387" t="s">
        <v>719</v>
      </c>
      <c r="B569" s="385"/>
      <c r="C569" s="385"/>
      <c r="D569" s="385"/>
      <c r="E569" s="385"/>
      <c r="F569" s="385"/>
      <c r="G569" s="385"/>
      <c r="H569" s="385"/>
      <c r="I569" s="385"/>
      <c r="J569" s="385"/>
      <c r="K569" s="385"/>
      <c r="L569" s="385"/>
      <c r="M569" s="385"/>
      <c r="N569" s="385"/>
      <c r="O569" s="385"/>
      <c r="P569" s="385"/>
      <c r="Q569" s="385"/>
      <c r="R569" s="385"/>
      <c r="S569" s="385"/>
      <c r="T569" s="385"/>
      <c r="U569" s="385"/>
      <c r="V569" s="385"/>
      <c r="W569" s="385"/>
      <c r="X569" s="385"/>
      <c r="Y569" s="676">
        <f t="shared" si="14"/>
        <v>0</v>
      </c>
    </row>
    <row r="570" spans="1:25" ht="18" customHeight="1" hidden="1">
      <c r="A570" s="589" t="s">
        <v>720</v>
      </c>
      <c r="B570" s="389"/>
      <c r="C570" s="389"/>
      <c r="D570" s="389"/>
      <c r="E570" s="389"/>
      <c r="F570" s="389"/>
      <c r="G570" s="389"/>
      <c r="H570" s="389"/>
      <c r="I570" s="389"/>
      <c r="J570" s="389"/>
      <c r="K570" s="389"/>
      <c r="L570" s="389"/>
      <c r="M570" s="389"/>
      <c r="N570" s="389"/>
      <c r="O570" s="389"/>
      <c r="P570" s="389"/>
      <c r="Q570" s="389"/>
      <c r="R570" s="389"/>
      <c r="S570" s="389"/>
      <c r="T570" s="389"/>
      <c r="U570" s="389"/>
      <c r="V570" s="389"/>
      <c r="W570" s="389"/>
      <c r="X570" s="389"/>
      <c r="Y570" s="580">
        <f t="shared" si="14"/>
        <v>0</v>
      </c>
    </row>
    <row r="571" spans="1:25" ht="18" customHeight="1" hidden="1">
      <c r="A571" s="387" t="s">
        <v>721</v>
      </c>
      <c r="B571" s="385"/>
      <c r="C571" s="385"/>
      <c r="D571" s="385"/>
      <c r="E571" s="385"/>
      <c r="F571" s="385"/>
      <c r="G571" s="385"/>
      <c r="H571" s="385"/>
      <c r="I571" s="385"/>
      <c r="J571" s="385"/>
      <c r="K571" s="385"/>
      <c r="L571" s="385"/>
      <c r="M571" s="385"/>
      <c r="N571" s="385"/>
      <c r="O571" s="385"/>
      <c r="P571" s="385"/>
      <c r="Q571" s="385"/>
      <c r="R571" s="385"/>
      <c r="S571" s="385"/>
      <c r="T571" s="385"/>
      <c r="U571" s="385"/>
      <c r="V571" s="385"/>
      <c r="W571" s="385"/>
      <c r="X571" s="385"/>
      <c r="Y571" s="580">
        <f t="shared" si="14"/>
        <v>0</v>
      </c>
    </row>
    <row r="572" spans="1:25" ht="18" customHeight="1" hidden="1">
      <c r="A572" s="387" t="s">
        <v>722</v>
      </c>
      <c r="B572" s="385"/>
      <c r="C572" s="385"/>
      <c r="D572" s="385"/>
      <c r="E572" s="385"/>
      <c r="F572" s="385"/>
      <c r="G572" s="385"/>
      <c r="H572" s="385"/>
      <c r="I572" s="385"/>
      <c r="J572" s="385"/>
      <c r="K572" s="385"/>
      <c r="L572" s="385"/>
      <c r="M572" s="385"/>
      <c r="N572" s="385"/>
      <c r="O572" s="385"/>
      <c r="P572" s="385"/>
      <c r="Q572" s="385"/>
      <c r="R572" s="385"/>
      <c r="S572" s="385"/>
      <c r="T572" s="385"/>
      <c r="U572" s="385"/>
      <c r="V572" s="385"/>
      <c r="W572" s="385"/>
      <c r="X572" s="385"/>
      <c r="Y572" s="580">
        <f t="shared" si="14"/>
        <v>0</v>
      </c>
    </row>
    <row r="573" spans="1:25" ht="18" customHeight="1" hidden="1">
      <c r="A573" s="589" t="s">
        <v>723</v>
      </c>
      <c r="B573" s="389"/>
      <c r="C573" s="389"/>
      <c r="D573" s="389"/>
      <c r="E573" s="389"/>
      <c r="F573" s="389"/>
      <c r="G573" s="389"/>
      <c r="H573" s="389"/>
      <c r="I573" s="389"/>
      <c r="J573" s="389"/>
      <c r="K573" s="389"/>
      <c r="L573" s="389"/>
      <c r="M573" s="389"/>
      <c r="N573" s="389"/>
      <c r="O573" s="389"/>
      <c r="P573" s="389"/>
      <c r="Q573" s="389"/>
      <c r="R573" s="389"/>
      <c r="S573" s="389"/>
      <c r="T573" s="389"/>
      <c r="U573" s="389"/>
      <c r="V573" s="389"/>
      <c r="W573" s="389"/>
      <c r="X573" s="389"/>
      <c r="Y573" s="580">
        <f t="shared" si="14"/>
        <v>0</v>
      </c>
    </row>
    <row r="574" spans="1:25" ht="18" customHeight="1" hidden="1">
      <c r="A574" s="589" t="s">
        <v>724</v>
      </c>
      <c r="B574" s="389"/>
      <c r="C574" s="389"/>
      <c r="D574" s="389"/>
      <c r="E574" s="389"/>
      <c r="F574" s="389"/>
      <c r="G574" s="389"/>
      <c r="H574" s="389"/>
      <c r="I574" s="389"/>
      <c r="J574" s="389"/>
      <c r="K574" s="389"/>
      <c r="L574" s="389"/>
      <c r="M574" s="389"/>
      <c r="N574" s="389"/>
      <c r="O574" s="389"/>
      <c r="P574" s="389"/>
      <c r="Q574" s="389"/>
      <c r="R574" s="389"/>
      <c r="S574" s="389"/>
      <c r="T574" s="389"/>
      <c r="U574" s="389"/>
      <c r="V574" s="389"/>
      <c r="W574" s="389"/>
      <c r="X574" s="389"/>
      <c r="Y574" s="580">
        <f t="shared" si="14"/>
        <v>0</v>
      </c>
    </row>
    <row r="575" spans="1:25" ht="18" customHeight="1" hidden="1">
      <c r="A575" s="589" t="s">
        <v>725</v>
      </c>
      <c r="B575" s="389"/>
      <c r="C575" s="389"/>
      <c r="D575" s="389"/>
      <c r="E575" s="389"/>
      <c r="F575" s="389"/>
      <c r="G575" s="389"/>
      <c r="H575" s="389"/>
      <c r="I575" s="389"/>
      <c r="J575" s="389"/>
      <c r="K575" s="389"/>
      <c r="L575" s="389"/>
      <c r="M575" s="389"/>
      <c r="N575" s="389"/>
      <c r="O575" s="389"/>
      <c r="P575" s="389"/>
      <c r="Q575" s="389"/>
      <c r="R575" s="389"/>
      <c r="S575" s="389"/>
      <c r="T575" s="389"/>
      <c r="U575" s="389"/>
      <c r="V575" s="389"/>
      <c r="W575" s="389"/>
      <c r="X575" s="389"/>
      <c r="Y575" s="580">
        <f t="shared" si="14"/>
        <v>0</v>
      </c>
    </row>
    <row r="576" spans="1:25" ht="18" customHeight="1" hidden="1">
      <c r="A576" s="589" t="s">
        <v>726</v>
      </c>
      <c r="B576" s="389"/>
      <c r="C576" s="389"/>
      <c r="D576" s="389"/>
      <c r="E576" s="389"/>
      <c r="F576" s="389"/>
      <c r="G576" s="389"/>
      <c r="H576" s="389"/>
      <c r="I576" s="389"/>
      <c r="J576" s="389"/>
      <c r="K576" s="389"/>
      <c r="L576" s="389"/>
      <c r="M576" s="389"/>
      <c r="N576" s="389"/>
      <c r="O576" s="389"/>
      <c r="P576" s="389"/>
      <c r="Q576" s="389"/>
      <c r="R576" s="389"/>
      <c r="S576" s="389"/>
      <c r="T576" s="389"/>
      <c r="U576" s="389"/>
      <c r="V576" s="389"/>
      <c r="W576" s="389"/>
      <c r="X576" s="389"/>
      <c r="Y576" s="580">
        <f t="shared" si="14"/>
        <v>0</v>
      </c>
    </row>
    <row r="577" spans="1:25" ht="18" customHeight="1" hidden="1">
      <c r="A577" s="387" t="s">
        <v>727</v>
      </c>
      <c r="B577" s="385"/>
      <c r="C577" s="385"/>
      <c r="D577" s="385"/>
      <c r="E577" s="385"/>
      <c r="F577" s="385"/>
      <c r="G577" s="385"/>
      <c r="H577" s="385"/>
      <c r="I577" s="385"/>
      <c r="J577" s="385"/>
      <c r="K577" s="385"/>
      <c r="L577" s="385"/>
      <c r="M577" s="385"/>
      <c r="N577" s="385"/>
      <c r="O577" s="385"/>
      <c r="P577" s="385"/>
      <c r="Q577" s="385"/>
      <c r="R577" s="385"/>
      <c r="S577" s="385"/>
      <c r="T577" s="385"/>
      <c r="U577" s="385"/>
      <c r="V577" s="385"/>
      <c r="W577" s="385"/>
      <c r="X577" s="385"/>
      <c r="Y577" s="580">
        <f t="shared" si="14"/>
        <v>0</v>
      </c>
    </row>
    <row r="578" spans="1:25" ht="18" customHeight="1" hidden="1">
      <c r="A578" s="387" t="s">
        <v>728</v>
      </c>
      <c r="B578" s="385"/>
      <c r="C578" s="385"/>
      <c r="D578" s="385"/>
      <c r="E578" s="385"/>
      <c r="F578" s="385"/>
      <c r="G578" s="385"/>
      <c r="H578" s="385"/>
      <c r="I578" s="385"/>
      <c r="J578" s="385"/>
      <c r="K578" s="385"/>
      <c r="L578" s="385"/>
      <c r="M578" s="385"/>
      <c r="N578" s="385"/>
      <c r="O578" s="385"/>
      <c r="P578" s="385"/>
      <c r="Q578" s="385"/>
      <c r="R578" s="385"/>
      <c r="S578" s="385"/>
      <c r="T578" s="385"/>
      <c r="U578" s="385"/>
      <c r="V578" s="385"/>
      <c r="W578" s="385"/>
      <c r="X578" s="385"/>
      <c r="Y578" s="580">
        <f aca="true" t="shared" si="15" ref="Y578:Y641">SUM(B578:X578)</f>
        <v>0</v>
      </c>
    </row>
    <row r="579" spans="1:25" ht="18" customHeight="1" hidden="1">
      <c r="A579" s="589" t="s">
        <v>729</v>
      </c>
      <c r="B579" s="389"/>
      <c r="C579" s="389"/>
      <c r="D579" s="389"/>
      <c r="E579" s="389"/>
      <c r="F579" s="389"/>
      <c r="G579" s="389"/>
      <c r="H579" s="389"/>
      <c r="I579" s="389"/>
      <c r="J579" s="389"/>
      <c r="K579" s="389"/>
      <c r="L579" s="389"/>
      <c r="M579" s="389"/>
      <c r="N579" s="389"/>
      <c r="O579" s="389"/>
      <c r="P579" s="389"/>
      <c r="Q579" s="389"/>
      <c r="R579" s="389"/>
      <c r="S579" s="389"/>
      <c r="T579" s="389"/>
      <c r="U579" s="389"/>
      <c r="V579" s="389"/>
      <c r="W579" s="389"/>
      <c r="X579" s="389"/>
      <c r="Y579" s="580">
        <f t="shared" si="15"/>
        <v>0</v>
      </c>
    </row>
    <row r="580" spans="1:25" ht="18" customHeight="1" hidden="1">
      <c r="A580" s="387" t="s">
        <v>730</v>
      </c>
      <c r="B580" s="385"/>
      <c r="C580" s="385"/>
      <c r="D580" s="385"/>
      <c r="E580" s="385"/>
      <c r="F580" s="385"/>
      <c r="G580" s="385"/>
      <c r="H580" s="385"/>
      <c r="I580" s="385"/>
      <c r="J580" s="385"/>
      <c r="K580" s="385"/>
      <c r="L580" s="385"/>
      <c r="M580" s="385"/>
      <c r="N580" s="385"/>
      <c r="O580" s="385"/>
      <c r="P580" s="385"/>
      <c r="Q580" s="385"/>
      <c r="R580" s="385"/>
      <c r="S580" s="385"/>
      <c r="T580" s="385"/>
      <c r="U580" s="385"/>
      <c r="V580" s="385"/>
      <c r="W580" s="385"/>
      <c r="X580" s="385"/>
      <c r="Y580" s="580">
        <f t="shared" si="15"/>
        <v>0</v>
      </c>
    </row>
    <row r="581" spans="1:25" ht="18" customHeight="1" hidden="1">
      <c r="A581" s="589" t="s">
        <v>731</v>
      </c>
      <c r="B581" s="389"/>
      <c r="C581" s="389"/>
      <c r="D581" s="389"/>
      <c r="E581" s="389"/>
      <c r="F581" s="389"/>
      <c r="G581" s="389"/>
      <c r="H581" s="389"/>
      <c r="I581" s="389"/>
      <c r="J581" s="389"/>
      <c r="K581" s="389"/>
      <c r="L581" s="389"/>
      <c r="M581" s="389"/>
      <c r="N581" s="389"/>
      <c r="O581" s="389"/>
      <c r="P581" s="389"/>
      <c r="Q581" s="389"/>
      <c r="R581" s="389"/>
      <c r="S581" s="389"/>
      <c r="T581" s="389"/>
      <c r="U581" s="389"/>
      <c r="V581" s="389"/>
      <c r="W581" s="389"/>
      <c r="X581" s="389"/>
      <c r="Y581" s="580">
        <f t="shared" si="15"/>
        <v>0</v>
      </c>
    </row>
    <row r="582" spans="1:25" ht="18" customHeight="1" hidden="1">
      <c r="A582" s="387" t="s">
        <v>732</v>
      </c>
      <c r="B582" s="385"/>
      <c r="C582" s="385"/>
      <c r="D582" s="385"/>
      <c r="E582" s="385"/>
      <c r="F582" s="385"/>
      <c r="G582" s="385"/>
      <c r="H582" s="385"/>
      <c r="I582" s="385"/>
      <c r="J582" s="385"/>
      <c r="K582" s="385"/>
      <c r="L582" s="385"/>
      <c r="M582" s="385"/>
      <c r="N582" s="385"/>
      <c r="O582" s="385"/>
      <c r="P582" s="385"/>
      <c r="Q582" s="385"/>
      <c r="R582" s="385"/>
      <c r="S582" s="385"/>
      <c r="T582" s="385"/>
      <c r="U582" s="385"/>
      <c r="V582" s="385"/>
      <c r="W582" s="385"/>
      <c r="X582" s="385"/>
      <c r="Y582" s="580">
        <f t="shared" si="15"/>
        <v>0</v>
      </c>
    </row>
    <row r="583" spans="1:25" ht="18" customHeight="1" hidden="1">
      <c r="A583" s="589" t="s">
        <v>733</v>
      </c>
      <c r="B583" s="389"/>
      <c r="C583" s="389"/>
      <c r="D583" s="389"/>
      <c r="E583" s="389"/>
      <c r="F583" s="389"/>
      <c r="G583" s="389"/>
      <c r="H583" s="389"/>
      <c r="I583" s="389"/>
      <c r="J583" s="389"/>
      <c r="K583" s="389"/>
      <c r="L583" s="389"/>
      <c r="M583" s="389"/>
      <c r="N583" s="389"/>
      <c r="O583" s="389"/>
      <c r="P583" s="389"/>
      <c r="Q583" s="389"/>
      <c r="R583" s="389"/>
      <c r="S583" s="389"/>
      <c r="T583" s="389"/>
      <c r="U583" s="389"/>
      <c r="V583" s="389"/>
      <c r="W583" s="389"/>
      <c r="X583" s="389"/>
      <c r="Y583" s="580">
        <f t="shared" si="15"/>
        <v>0</v>
      </c>
    </row>
    <row r="584" spans="1:25" ht="18" customHeight="1" hidden="1">
      <c r="A584" s="387" t="s">
        <v>734</v>
      </c>
      <c r="B584" s="385"/>
      <c r="C584" s="385"/>
      <c r="D584" s="385"/>
      <c r="E584" s="385"/>
      <c r="F584" s="385"/>
      <c r="G584" s="385"/>
      <c r="H584" s="385"/>
      <c r="I584" s="385"/>
      <c r="J584" s="385"/>
      <c r="K584" s="385"/>
      <c r="L584" s="385"/>
      <c r="M584" s="385"/>
      <c r="N584" s="385"/>
      <c r="O584" s="385"/>
      <c r="P584" s="385"/>
      <c r="Q584" s="385"/>
      <c r="R584" s="385"/>
      <c r="S584" s="385"/>
      <c r="T584" s="385"/>
      <c r="U584" s="385"/>
      <c r="V584" s="385"/>
      <c r="W584" s="385"/>
      <c r="X584" s="385"/>
      <c r="Y584" s="580">
        <f t="shared" si="15"/>
        <v>0</v>
      </c>
    </row>
    <row r="585" spans="1:25" ht="18" customHeight="1" hidden="1">
      <c r="A585" s="589" t="s">
        <v>735</v>
      </c>
      <c r="B585" s="389"/>
      <c r="C585" s="389"/>
      <c r="D585" s="389"/>
      <c r="E585" s="389"/>
      <c r="F585" s="389"/>
      <c r="G585" s="389"/>
      <c r="H585" s="389"/>
      <c r="I585" s="389"/>
      <c r="J585" s="389"/>
      <c r="K585" s="389"/>
      <c r="L585" s="389"/>
      <c r="M585" s="389"/>
      <c r="N585" s="389"/>
      <c r="O585" s="389"/>
      <c r="P585" s="389"/>
      <c r="Q585" s="389"/>
      <c r="R585" s="389"/>
      <c r="S585" s="389"/>
      <c r="T585" s="389"/>
      <c r="U585" s="389"/>
      <c r="V585" s="389"/>
      <c r="W585" s="389"/>
      <c r="X585" s="389"/>
      <c r="Y585" s="580">
        <f t="shared" si="15"/>
        <v>0</v>
      </c>
    </row>
    <row r="586" spans="1:25" ht="18" customHeight="1" hidden="1">
      <c r="A586" s="387" t="s">
        <v>736</v>
      </c>
      <c r="B586" s="385"/>
      <c r="C586" s="385"/>
      <c r="D586" s="385"/>
      <c r="E586" s="385"/>
      <c r="F586" s="385"/>
      <c r="G586" s="385"/>
      <c r="H586" s="385"/>
      <c r="I586" s="385"/>
      <c r="J586" s="385"/>
      <c r="K586" s="385"/>
      <c r="L586" s="385"/>
      <c r="M586" s="385"/>
      <c r="N586" s="385"/>
      <c r="O586" s="385"/>
      <c r="P586" s="385"/>
      <c r="Q586" s="385"/>
      <c r="R586" s="385"/>
      <c r="S586" s="385"/>
      <c r="T586" s="385"/>
      <c r="U586" s="385"/>
      <c r="V586" s="385"/>
      <c r="W586" s="385"/>
      <c r="X586" s="385"/>
      <c r="Y586" s="580">
        <f t="shared" si="15"/>
        <v>0</v>
      </c>
    </row>
    <row r="587" spans="1:25" ht="18" customHeight="1" hidden="1">
      <c r="A587" s="387" t="s">
        <v>737</v>
      </c>
      <c r="B587" s="385"/>
      <c r="C587" s="385"/>
      <c r="D587" s="385"/>
      <c r="E587" s="385"/>
      <c r="F587" s="385"/>
      <c r="G587" s="385"/>
      <c r="H587" s="385"/>
      <c r="I587" s="385"/>
      <c r="J587" s="385"/>
      <c r="K587" s="385"/>
      <c r="L587" s="385"/>
      <c r="M587" s="385"/>
      <c r="N587" s="385"/>
      <c r="O587" s="385"/>
      <c r="P587" s="385"/>
      <c r="Q587" s="385"/>
      <c r="R587" s="385"/>
      <c r="S587" s="385"/>
      <c r="T587" s="385"/>
      <c r="U587" s="385"/>
      <c r="V587" s="385"/>
      <c r="W587" s="385"/>
      <c r="X587" s="385"/>
      <c r="Y587" s="580">
        <f t="shared" si="15"/>
        <v>0</v>
      </c>
    </row>
    <row r="588" spans="1:25" ht="18" customHeight="1" hidden="1">
      <c r="A588" s="387" t="s">
        <v>738</v>
      </c>
      <c r="B588" s="385"/>
      <c r="C588" s="385"/>
      <c r="D588" s="385"/>
      <c r="E588" s="385"/>
      <c r="F588" s="385"/>
      <c r="G588" s="385"/>
      <c r="H588" s="385"/>
      <c r="I588" s="385"/>
      <c r="J588" s="385"/>
      <c r="K588" s="385"/>
      <c r="L588" s="385"/>
      <c r="M588" s="385"/>
      <c r="N588" s="385"/>
      <c r="O588" s="385"/>
      <c r="P588" s="385"/>
      <c r="Q588" s="385"/>
      <c r="R588" s="385"/>
      <c r="S588" s="385"/>
      <c r="T588" s="385"/>
      <c r="U588" s="385"/>
      <c r="V588" s="385"/>
      <c r="W588" s="385"/>
      <c r="X588" s="385"/>
      <c r="Y588" s="580">
        <f t="shared" si="15"/>
        <v>0</v>
      </c>
    </row>
    <row r="589" spans="1:25" ht="18" customHeight="1" hidden="1">
      <c r="A589" s="589" t="s">
        <v>739</v>
      </c>
      <c r="B589" s="389"/>
      <c r="C589" s="389"/>
      <c r="D589" s="389"/>
      <c r="E589" s="389"/>
      <c r="F589" s="389"/>
      <c r="G589" s="389"/>
      <c r="H589" s="389"/>
      <c r="I589" s="389"/>
      <c r="J589" s="389"/>
      <c r="K589" s="389"/>
      <c r="L589" s="389"/>
      <c r="M589" s="389"/>
      <c r="N589" s="389"/>
      <c r="O589" s="389"/>
      <c r="P589" s="389"/>
      <c r="Q589" s="389"/>
      <c r="R589" s="389"/>
      <c r="S589" s="389"/>
      <c r="T589" s="389"/>
      <c r="U589" s="389"/>
      <c r="V589" s="389"/>
      <c r="W589" s="389"/>
      <c r="X589" s="389"/>
      <c r="Y589" s="580">
        <f t="shared" si="15"/>
        <v>0</v>
      </c>
    </row>
    <row r="590" spans="1:25" ht="18" customHeight="1" hidden="1">
      <c r="A590" s="387" t="s">
        <v>740</v>
      </c>
      <c r="B590" s="385"/>
      <c r="C590" s="385"/>
      <c r="D590" s="385"/>
      <c r="E590" s="385"/>
      <c r="F590" s="385"/>
      <c r="G590" s="385"/>
      <c r="H590" s="385"/>
      <c r="I590" s="385"/>
      <c r="J590" s="385"/>
      <c r="K590" s="385"/>
      <c r="L590" s="385"/>
      <c r="M590" s="385"/>
      <c r="N590" s="385"/>
      <c r="O590" s="385"/>
      <c r="P590" s="385"/>
      <c r="Q590" s="385"/>
      <c r="R590" s="385"/>
      <c r="S590" s="385"/>
      <c r="T590" s="385"/>
      <c r="U590" s="385"/>
      <c r="V590" s="385"/>
      <c r="W590" s="385"/>
      <c r="X590" s="385"/>
      <c r="Y590" s="580">
        <f t="shared" si="15"/>
        <v>0</v>
      </c>
    </row>
    <row r="591" spans="1:25" ht="18" customHeight="1" hidden="1">
      <c r="A591" s="589" t="s">
        <v>741</v>
      </c>
      <c r="B591" s="389"/>
      <c r="C591" s="389"/>
      <c r="D591" s="389"/>
      <c r="E591" s="389"/>
      <c r="F591" s="389"/>
      <c r="G591" s="389"/>
      <c r="H591" s="389"/>
      <c r="I591" s="389"/>
      <c r="J591" s="389"/>
      <c r="K591" s="389"/>
      <c r="L591" s="389"/>
      <c r="M591" s="389"/>
      <c r="N591" s="389"/>
      <c r="O591" s="389"/>
      <c r="P591" s="389"/>
      <c r="Q591" s="389"/>
      <c r="R591" s="389"/>
      <c r="S591" s="389"/>
      <c r="T591" s="389"/>
      <c r="U591" s="389"/>
      <c r="V591" s="389"/>
      <c r="W591" s="389"/>
      <c r="X591" s="389"/>
      <c r="Y591" s="580">
        <f t="shared" si="15"/>
        <v>0</v>
      </c>
    </row>
    <row r="592" spans="1:25" ht="18" customHeight="1" hidden="1">
      <c r="A592" s="387" t="s">
        <v>742</v>
      </c>
      <c r="B592" s="385"/>
      <c r="C592" s="385"/>
      <c r="D592" s="385"/>
      <c r="E592" s="385"/>
      <c r="F592" s="385"/>
      <c r="G592" s="385"/>
      <c r="H592" s="385"/>
      <c r="I592" s="385"/>
      <c r="J592" s="385"/>
      <c r="K592" s="385"/>
      <c r="L592" s="385"/>
      <c r="M592" s="385"/>
      <c r="N592" s="385"/>
      <c r="O592" s="385"/>
      <c r="P592" s="385"/>
      <c r="Q592" s="385"/>
      <c r="R592" s="385"/>
      <c r="S592" s="385"/>
      <c r="T592" s="385"/>
      <c r="U592" s="385"/>
      <c r="V592" s="385"/>
      <c r="W592" s="385"/>
      <c r="X592" s="385"/>
      <c r="Y592" s="580">
        <f t="shared" si="15"/>
        <v>0</v>
      </c>
    </row>
    <row r="593" spans="1:25" ht="18" customHeight="1" hidden="1">
      <c r="A593" s="589" t="s">
        <v>746</v>
      </c>
      <c r="B593" s="389"/>
      <c r="C593" s="389"/>
      <c r="D593" s="389"/>
      <c r="E593" s="389"/>
      <c r="F593" s="389"/>
      <c r="G593" s="389"/>
      <c r="H593" s="389"/>
      <c r="I593" s="389"/>
      <c r="J593" s="389"/>
      <c r="K593" s="389"/>
      <c r="L593" s="389"/>
      <c r="M593" s="389"/>
      <c r="N593" s="389"/>
      <c r="O593" s="389"/>
      <c r="P593" s="389"/>
      <c r="Q593" s="389"/>
      <c r="R593" s="389"/>
      <c r="S593" s="389"/>
      <c r="T593" s="389"/>
      <c r="U593" s="389"/>
      <c r="V593" s="389"/>
      <c r="W593" s="389"/>
      <c r="X593" s="389"/>
      <c r="Y593" s="580">
        <f t="shared" si="15"/>
        <v>0</v>
      </c>
    </row>
    <row r="594" spans="1:25" ht="18" customHeight="1" hidden="1">
      <c r="A594" s="387" t="s">
        <v>747</v>
      </c>
      <c r="B594" s="385"/>
      <c r="C594" s="385"/>
      <c r="D594" s="385"/>
      <c r="E594" s="385"/>
      <c r="F594" s="385"/>
      <c r="G594" s="385"/>
      <c r="H594" s="385"/>
      <c r="I594" s="385"/>
      <c r="J594" s="385"/>
      <c r="K594" s="385"/>
      <c r="L594" s="385"/>
      <c r="M594" s="385"/>
      <c r="N594" s="385"/>
      <c r="O594" s="385"/>
      <c r="P594" s="385"/>
      <c r="Q594" s="385"/>
      <c r="R594" s="385"/>
      <c r="S594" s="385"/>
      <c r="T594" s="385"/>
      <c r="U594" s="385"/>
      <c r="V594" s="385"/>
      <c r="W594" s="385"/>
      <c r="X594" s="385"/>
      <c r="Y594" s="580">
        <f t="shared" si="15"/>
        <v>0</v>
      </c>
    </row>
    <row r="595" spans="1:25" ht="21" customHeight="1" hidden="1">
      <c r="A595" s="589" t="s">
        <v>748</v>
      </c>
      <c r="B595" s="389"/>
      <c r="C595" s="389"/>
      <c r="D595" s="389"/>
      <c r="E595" s="389"/>
      <c r="F595" s="389"/>
      <c r="G595" s="389"/>
      <c r="H595" s="389"/>
      <c r="I595" s="389"/>
      <c r="J595" s="389"/>
      <c r="K595" s="389"/>
      <c r="L595" s="389"/>
      <c r="M595" s="389"/>
      <c r="N595" s="389"/>
      <c r="O595" s="389"/>
      <c r="P595" s="389"/>
      <c r="Q595" s="389"/>
      <c r="R595" s="389"/>
      <c r="S595" s="389"/>
      <c r="T595" s="389"/>
      <c r="U595" s="389"/>
      <c r="V595" s="389"/>
      <c r="W595" s="389"/>
      <c r="X595" s="389"/>
      <c r="Y595" s="580">
        <f t="shared" si="15"/>
        <v>0</v>
      </c>
    </row>
    <row r="596" spans="1:25" ht="15" customHeight="1">
      <c r="A596" s="387" t="s">
        <v>174</v>
      </c>
      <c r="B596" s="385"/>
      <c r="C596" s="385"/>
      <c r="D596" s="385">
        <f>SUM(D597:D623)</f>
        <v>-4</v>
      </c>
      <c r="E596" s="385">
        <f>SUM(E597:E623)</f>
        <v>3</v>
      </c>
      <c r="F596" s="385">
        <f>SUM(F597:F623)</f>
        <v>1</v>
      </c>
      <c r="G596" s="385"/>
      <c r="H596" s="385"/>
      <c r="I596" s="385"/>
      <c r="J596" s="385"/>
      <c r="K596" s="385"/>
      <c r="L596" s="385"/>
      <c r="M596" s="385"/>
      <c r="N596" s="385"/>
      <c r="O596" s="385"/>
      <c r="P596" s="385"/>
      <c r="Q596" s="385"/>
      <c r="R596" s="385"/>
      <c r="S596" s="385"/>
      <c r="T596" s="385"/>
      <c r="U596" s="385"/>
      <c r="V596" s="385"/>
      <c r="W596" s="385"/>
      <c r="X596" s="385"/>
      <c r="Y596" s="580">
        <f t="shared" si="15"/>
        <v>0</v>
      </c>
    </row>
    <row r="597" spans="1:25" ht="18" customHeight="1">
      <c r="A597" s="589" t="s">
        <v>750</v>
      </c>
      <c r="B597" s="389"/>
      <c r="C597" s="389"/>
      <c r="D597" s="389">
        <v>-2</v>
      </c>
      <c r="E597" s="389">
        <v>2</v>
      </c>
      <c r="F597" s="389"/>
      <c r="G597" s="389"/>
      <c r="H597" s="389"/>
      <c r="I597" s="389"/>
      <c r="J597" s="389"/>
      <c r="K597" s="389"/>
      <c r="L597" s="389"/>
      <c r="M597" s="389"/>
      <c r="N597" s="389"/>
      <c r="O597" s="389"/>
      <c r="P597" s="389"/>
      <c r="Q597" s="389"/>
      <c r="R597" s="389"/>
      <c r="S597" s="389"/>
      <c r="T597" s="389"/>
      <c r="U597" s="389"/>
      <c r="V597" s="389"/>
      <c r="W597" s="389"/>
      <c r="X597" s="389"/>
      <c r="Y597" s="580">
        <f t="shared" si="15"/>
        <v>0</v>
      </c>
    </row>
    <row r="598" spans="1:25" ht="18" customHeight="1" hidden="1">
      <c r="A598" s="589" t="s">
        <v>751</v>
      </c>
      <c r="B598" s="385"/>
      <c r="C598" s="385"/>
      <c r="D598" s="385"/>
      <c r="E598" s="385"/>
      <c r="F598" s="385"/>
      <c r="G598" s="385"/>
      <c r="H598" s="385"/>
      <c r="I598" s="385"/>
      <c r="J598" s="385"/>
      <c r="K598" s="385"/>
      <c r="L598" s="385"/>
      <c r="M598" s="385"/>
      <c r="N598" s="385"/>
      <c r="O598" s="385"/>
      <c r="P598" s="385"/>
      <c r="Q598" s="385"/>
      <c r="R598" s="385"/>
      <c r="S598" s="385"/>
      <c r="T598" s="385"/>
      <c r="U598" s="385"/>
      <c r="V598" s="385"/>
      <c r="W598" s="385"/>
      <c r="X598" s="385"/>
      <c r="Y598" s="580">
        <f t="shared" si="15"/>
        <v>0</v>
      </c>
    </row>
    <row r="599" spans="1:25" ht="18" customHeight="1" hidden="1">
      <c r="A599" s="387" t="s">
        <v>2</v>
      </c>
      <c r="B599" s="385"/>
      <c r="C599" s="385"/>
      <c r="D599" s="385"/>
      <c r="E599" s="385"/>
      <c r="F599" s="385"/>
      <c r="G599" s="385"/>
      <c r="H599" s="385"/>
      <c r="I599" s="385"/>
      <c r="J599" s="385"/>
      <c r="K599" s="385"/>
      <c r="L599" s="385"/>
      <c r="M599" s="385"/>
      <c r="N599" s="385"/>
      <c r="O599" s="385"/>
      <c r="P599" s="385"/>
      <c r="Q599" s="385"/>
      <c r="R599" s="385"/>
      <c r="S599" s="385"/>
      <c r="T599" s="385"/>
      <c r="U599" s="385"/>
      <c r="V599" s="385"/>
      <c r="W599" s="385"/>
      <c r="X599" s="385"/>
      <c r="Y599" s="580">
        <f t="shared" si="15"/>
        <v>0</v>
      </c>
    </row>
    <row r="600" spans="1:25" ht="18" customHeight="1" hidden="1">
      <c r="A600" s="589" t="s">
        <v>3</v>
      </c>
      <c r="B600" s="389"/>
      <c r="C600" s="389"/>
      <c r="D600" s="389"/>
      <c r="E600" s="389"/>
      <c r="F600" s="389"/>
      <c r="G600" s="389"/>
      <c r="H600" s="389"/>
      <c r="I600" s="389"/>
      <c r="J600" s="389"/>
      <c r="K600" s="389"/>
      <c r="L600" s="389"/>
      <c r="M600" s="389"/>
      <c r="N600" s="389"/>
      <c r="O600" s="389"/>
      <c r="P600" s="389"/>
      <c r="Q600" s="389"/>
      <c r="R600" s="389"/>
      <c r="S600" s="389"/>
      <c r="T600" s="389"/>
      <c r="U600" s="389"/>
      <c r="V600" s="389"/>
      <c r="W600" s="389"/>
      <c r="X600" s="389"/>
      <c r="Y600" s="580">
        <f t="shared" si="15"/>
        <v>0</v>
      </c>
    </row>
    <row r="601" spans="1:25" ht="18" customHeight="1" hidden="1">
      <c r="A601" s="387" t="s">
        <v>4</v>
      </c>
      <c r="B601" s="385"/>
      <c r="C601" s="385"/>
      <c r="D601" s="385"/>
      <c r="E601" s="385"/>
      <c r="F601" s="385"/>
      <c r="G601" s="385"/>
      <c r="H601" s="385"/>
      <c r="I601" s="385"/>
      <c r="J601" s="385"/>
      <c r="K601" s="385"/>
      <c r="L601" s="385"/>
      <c r="M601" s="385"/>
      <c r="N601" s="385"/>
      <c r="O601" s="385"/>
      <c r="P601" s="385"/>
      <c r="Q601" s="385"/>
      <c r="R601" s="385"/>
      <c r="S601" s="385"/>
      <c r="T601" s="385"/>
      <c r="U601" s="385"/>
      <c r="V601" s="385"/>
      <c r="W601" s="385"/>
      <c r="X601" s="385"/>
      <c r="Y601" s="580">
        <f t="shared" si="15"/>
        <v>0</v>
      </c>
    </row>
    <row r="602" spans="1:25" ht="18" customHeight="1" hidden="1">
      <c r="A602" s="589" t="s">
        <v>5</v>
      </c>
      <c r="B602" s="389"/>
      <c r="C602" s="389"/>
      <c r="D602" s="389"/>
      <c r="E602" s="389"/>
      <c r="F602" s="389"/>
      <c r="G602" s="389"/>
      <c r="H602" s="389"/>
      <c r="I602" s="389"/>
      <c r="J602" s="389"/>
      <c r="K602" s="389"/>
      <c r="L602" s="389"/>
      <c r="M602" s="389"/>
      <c r="N602" s="389"/>
      <c r="O602" s="389"/>
      <c r="P602" s="389"/>
      <c r="Q602" s="389"/>
      <c r="R602" s="389"/>
      <c r="S602" s="389"/>
      <c r="T602" s="389"/>
      <c r="U602" s="389"/>
      <c r="V602" s="389"/>
      <c r="W602" s="389"/>
      <c r="X602" s="389"/>
      <c r="Y602" s="580">
        <f t="shared" si="15"/>
        <v>0</v>
      </c>
    </row>
    <row r="603" spans="1:25" ht="18" customHeight="1" hidden="1">
      <c r="A603" s="589" t="s">
        <v>6</v>
      </c>
      <c r="B603" s="389"/>
      <c r="C603" s="389"/>
      <c r="D603" s="389"/>
      <c r="E603" s="389"/>
      <c r="F603" s="389"/>
      <c r="G603" s="389"/>
      <c r="H603" s="389"/>
      <c r="I603" s="389"/>
      <c r="J603" s="389"/>
      <c r="K603" s="389"/>
      <c r="L603" s="389"/>
      <c r="M603" s="389"/>
      <c r="N603" s="389"/>
      <c r="O603" s="389"/>
      <c r="P603" s="389"/>
      <c r="Q603" s="389"/>
      <c r="R603" s="389"/>
      <c r="S603" s="389"/>
      <c r="T603" s="389"/>
      <c r="U603" s="389"/>
      <c r="V603" s="389"/>
      <c r="W603" s="389"/>
      <c r="X603" s="389"/>
      <c r="Y603" s="580">
        <f t="shared" si="15"/>
        <v>0</v>
      </c>
    </row>
    <row r="604" spans="1:25" ht="18" customHeight="1" hidden="1">
      <c r="A604" s="387" t="s">
        <v>7</v>
      </c>
      <c r="B604" s="385"/>
      <c r="C604" s="385"/>
      <c r="D604" s="385"/>
      <c r="E604" s="385"/>
      <c r="F604" s="385"/>
      <c r="G604" s="385"/>
      <c r="H604" s="385"/>
      <c r="I604" s="385"/>
      <c r="J604" s="385"/>
      <c r="K604" s="385"/>
      <c r="L604" s="385"/>
      <c r="M604" s="385"/>
      <c r="N604" s="385"/>
      <c r="O604" s="385"/>
      <c r="P604" s="385"/>
      <c r="Q604" s="385"/>
      <c r="R604" s="385"/>
      <c r="S604" s="385"/>
      <c r="T604" s="385"/>
      <c r="U604" s="385"/>
      <c r="V604" s="385"/>
      <c r="W604" s="385"/>
      <c r="X604" s="385"/>
      <c r="Y604" s="580">
        <f t="shared" si="15"/>
        <v>0</v>
      </c>
    </row>
    <row r="605" spans="1:25" ht="18" customHeight="1" hidden="1">
      <c r="A605" s="589" t="s">
        <v>8</v>
      </c>
      <c r="B605" s="389"/>
      <c r="C605" s="389"/>
      <c r="D605" s="389"/>
      <c r="E605" s="389"/>
      <c r="F605" s="389"/>
      <c r="G605" s="389"/>
      <c r="H605" s="389"/>
      <c r="I605" s="389"/>
      <c r="J605" s="389"/>
      <c r="K605" s="389"/>
      <c r="L605" s="389"/>
      <c r="M605" s="389"/>
      <c r="N605" s="389"/>
      <c r="O605" s="389"/>
      <c r="P605" s="389"/>
      <c r="Q605" s="389"/>
      <c r="R605" s="389"/>
      <c r="S605" s="389"/>
      <c r="T605" s="389"/>
      <c r="U605" s="389"/>
      <c r="V605" s="389"/>
      <c r="W605" s="389"/>
      <c r="X605" s="389"/>
      <c r="Y605" s="580">
        <f t="shared" si="15"/>
        <v>0</v>
      </c>
    </row>
    <row r="606" spans="1:25" ht="18" customHeight="1" hidden="1">
      <c r="A606" s="387" t="s">
        <v>9</v>
      </c>
      <c r="B606" s="385"/>
      <c r="C606" s="385"/>
      <c r="D606" s="385"/>
      <c r="E606" s="385"/>
      <c r="F606" s="385"/>
      <c r="G606" s="385"/>
      <c r="H606" s="385"/>
      <c r="I606" s="385"/>
      <c r="J606" s="385"/>
      <c r="K606" s="385"/>
      <c r="L606" s="385"/>
      <c r="M606" s="385"/>
      <c r="N606" s="385"/>
      <c r="O606" s="385"/>
      <c r="P606" s="385"/>
      <c r="Q606" s="385"/>
      <c r="R606" s="385"/>
      <c r="S606" s="385"/>
      <c r="T606" s="385"/>
      <c r="U606" s="385"/>
      <c r="V606" s="385"/>
      <c r="W606" s="385"/>
      <c r="X606" s="385"/>
      <c r="Y606" s="580">
        <f t="shared" si="15"/>
        <v>0</v>
      </c>
    </row>
    <row r="607" spans="1:25" ht="18" customHeight="1" hidden="1">
      <c r="A607" s="589" t="s">
        <v>10</v>
      </c>
      <c r="B607" s="389"/>
      <c r="C607" s="389"/>
      <c r="D607" s="389"/>
      <c r="E607" s="389"/>
      <c r="F607" s="389"/>
      <c r="G607" s="389"/>
      <c r="H607" s="389"/>
      <c r="I607" s="389"/>
      <c r="J607" s="389"/>
      <c r="K607" s="389"/>
      <c r="L607" s="389"/>
      <c r="M607" s="389"/>
      <c r="N607" s="389"/>
      <c r="O607" s="389"/>
      <c r="P607" s="389"/>
      <c r="Q607" s="389"/>
      <c r="R607" s="389"/>
      <c r="S607" s="389"/>
      <c r="T607" s="389"/>
      <c r="U607" s="389"/>
      <c r="V607" s="389"/>
      <c r="W607" s="389"/>
      <c r="X607" s="389"/>
      <c r="Y607" s="580">
        <f t="shared" si="15"/>
        <v>0</v>
      </c>
    </row>
    <row r="608" spans="1:25" ht="18" customHeight="1" hidden="1">
      <c r="A608" s="387" t="s">
        <v>11</v>
      </c>
      <c r="B608" s="385"/>
      <c r="C608" s="385"/>
      <c r="D608" s="385"/>
      <c r="E608" s="385"/>
      <c r="F608" s="385"/>
      <c r="G608" s="385"/>
      <c r="H608" s="385"/>
      <c r="I608" s="385"/>
      <c r="J608" s="385"/>
      <c r="K608" s="385"/>
      <c r="L608" s="385"/>
      <c r="M608" s="385"/>
      <c r="N608" s="385"/>
      <c r="O608" s="385"/>
      <c r="P608" s="385"/>
      <c r="Q608" s="385"/>
      <c r="R608" s="385"/>
      <c r="S608" s="385"/>
      <c r="T608" s="385"/>
      <c r="U608" s="385"/>
      <c r="V608" s="385"/>
      <c r="W608" s="385"/>
      <c r="X608" s="385"/>
      <c r="Y608" s="580">
        <f t="shared" si="15"/>
        <v>0</v>
      </c>
    </row>
    <row r="609" spans="1:25" ht="18" customHeight="1" hidden="1">
      <c r="A609" s="589" t="s">
        <v>12</v>
      </c>
      <c r="B609" s="389"/>
      <c r="C609" s="389"/>
      <c r="D609" s="389"/>
      <c r="E609" s="389"/>
      <c r="F609" s="389"/>
      <c r="G609" s="389"/>
      <c r="H609" s="389"/>
      <c r="I609" s="389"/>
      <c r="J609" s="389"/>
      <c r="K609" s="389"/>
      <c r="L609" s="389"/>
      <c r="M609" s="389"/>
      <c r="N609" s="389"/>
      <c r="O609" s="389"/>
      <c r="P609" s="389"/>
      <c r="Q609" s="389"/>
      <c r="R609" s="389"/>
      <c r="S609" s="389"/>
      <c r="T609" s="389"/>
      <c r="U609" s="389"/>
      <c r="V609" s="389"/>
      <c r="W609" s="389"/>
      <c r="X609" s="389"/>
      <c r="Y609" s="580">
        <f t="shared" si="15"/>
        <v>0</v>
      </c>
    </row>
    <row r="610" spans="1:25" ht="18" customHeight="1" hidden="1">
      <c r="A610" s="387" t="s">
        <v>13</v>
      </c>
      <c r="B610" s="385"/>
      <c r="C610" s="385"/>
      <c r="D610" s="385"/>
      <c r="E610" s="385"/>
      <c r="F610" s="385"/>
      <c r="G610" s="385"/>
      <c r="H610" s="385"/>
      <c r="I610" s="385"/>
      <c r="J610" s="385"/>
      <c r="K610" s="385"/>
      <c r="L610" s="385"/>
      <c r="M610" s="385"/>
      <c r="N610" s="385"/>
      <c r="O610" s="385"/>
      <c r="P610" s="385"/>
      <c r="Q610" s="385"/>
      <c r="R610" s="385"/>
      <c r="S610" s="385"/>
      <c r="T610" s="385"/>
      <c r="U610" s="385"/>
      <c r="V610" s="385"/>
      <c r="W610" s="385"/>
      <c r="X610" s="385"/>
      <c r="Y610" s="580">
        <f t="shared" si="15"/>
        <v>0</v>
      </c>
    </row>
    <row r="611" spans="1:25" ht="18" customHeight="1" hidden="1">
      <c r="A611" s="589" t="s">
        <v>14</v>
      </c>
      <c r="B611" s="389"/>
      <c r="C611" s="389"/>
      <c r="D611" s="389"/>
      <c r="E611" s="389"/>
      <c r="F611" s="389"/>
      <c r="G611" s="389"/>
      <c r="H611" s="389"/>
      <c r="I611" s="389"/>
      <c r="J611" s="389"/>
      <c r="K611" s="389"/>
      <c r="L611" s="389"/>
      <c r="M611" s="389"/>
      <c r="N611" s="389"/>
      <c r="O611" s="389"/>
      <c r="P611" s="389"/>
      <c r="Q611" s="389"/>
      <c r="R611" s="389"/>
      <c r="S611" s="389"/>
      <c r="T611" s="389"/>
      <c r="U611" s="389"/>
      <c r="V611" s="389"/>
      <c r="W611" s="389"/>
      <c r="X611" s="389"/>
      <c r="Y611" s="580">
        <f t="shared" si="15"/>
        <v>0</v>
      </c>
    </row>
    <row r="612" spans="1:25" ht="18" customHeight="1" hidden="1">
      <c r="A612" s="387" t="s">
        <v>15</v>
      </c>
      <c r="B612" s="385"/>
      <c r="C612" s="385"/>
      <c r="D612" s="385"/>
      <c r="E612" s="385"/>
      <c r="F612" s="385"/>
      <c r="G612" s="385"/>
      <c r="H612" s="385"/>
      <c r="I612" s="385"/>
      <c r="J612" s="385"/>
      <c r="K612" s="385"/>
      <c r="L612" s="385"/>
      <c r="M612" s="385"/>
      <c r="N612" s="385"/>
      <c r="O612" s="385"/>
      <c r="P612" s="385"/>
      <c r="Q612" s="385"/>
      <c r="R612" s="385"/>
      <c r="S612" s="385"/>
      <c r="T612" s="385"/>
      <c r="U612" s="385"/>
      <c r="V612" s="385"/>
      <c r="W612" s="385"/>
      <c r="X612" s="385"/>
      <c r="Y612" s="580">
        <f t="shared" si="15"/>
        <v>0</v>
      </c>
    </row>
    <row r="613" spans="1:25" ht="18" customHeight="1" hidden="1">
      <c r="A613" s="589" t="s">
        <v>16</v>
      </c>
      <c r="B613" s="389"/>
      <c r="C613" s="389"/>
      <c r="D613" s="389"/>
      <c r="E613" s="389"/>
      <c r="F613" s="389"/>
      <c r="G613" s="389"/>
      <c r="H613" s="389"/>
      <c r="I613" s="389"/>
      <c r="J613" s="389"/>
      <c r="K613" s="389"/>
      <c r="L613" s="389"/>
      <c r="M613" s="389"/>
      <c r="N613" s="389"/>
      <c r="O613" s="389"/>
      <c r="P613" s="389"/>
      <c r="Q613" s="389"/>
      <c r="R613" s="389"/>
      <c r="S613" s="389"/>
      <c r="T613" s="389"/>
      <c r="U613" s="389"/>
      <c r="V613" s="389"/>
      <c r="W613" s="389"/>
      <c r="X613" s="389"/>
      <c r="Y613" s="580">
        <f t="shared" si="15"/>
        <v>0</v>
      </c>
    </row>
    <row r="614" spans="1:25" ht="18" customHeight="1" hidden="1">
      <c r="A614" s="387" t="s">
        <v>17</v>
      </c>
      <c r="B614" s="385"/>
      <c r="C614" s="385"/>
      <c r="D614" s="385"/>
      <c r="E614" s="385"/>
      <c r="F614" s="385"/>
      <c r="G614" s="385"/>
      <c r="H614" s="385"/>
      <c r="I614" s="385"/>
      <c r="J614" s="385"/>
      <c r="K614" s="385"/>
      <c r="L614" s="385"/>
      <c r="M614" s="385"/>
      <c r="N614" s="385"/>
      <c r="O614" s="385"/>
      <c r="P614" s="385"/>
      <c r="Q614" s="385"/>
      <c r="R614" s="385"/>
      <c r="S614" s="385"/>
      <c r="T614" s="385"/>
      <c r="U614" s="385"/>
      <c r="V614" s="385"/>
      <c r="W614" s="385"/>
      <c r="X614" s="385"/>
      <c r="Y614" s="580">
        <f t="shared" si="15"/>
        <v>0</v>
      </c>
    </row>
    <row r="615" spans="1:25" ht="18" customHeight="1" hidden="1">
      <c r="A615" s="589" t="s">
        <v>18</v>
      </c>
      <c r="B615" s="389"/>
      <c r="C615" s="389"/>
      <c r="D615" s="389"/>
      <c r="E615" s="389"/>
      <c r="F615" s="389"/>
      <c r="G615" s="389"/>
      <c r="H615" s="389"/>
      <c r="I615" s="389"/>
      <c r="J615" s="389"/>
      <c r="K615" s="389"/>
      <c r="L615" s="389"/>
      <c r="M615" s="389"/>
      <c r="N615" s="389"/>
      <c r="O615" s="389"/>
      <c r="P615" s="389"/>
      <c r="Q615" s="389"/>
      <c r="R615" s="389"/>
      <c r="S615" s="389"/>
      <c r="T615" s="389"/>
      <c r="U615" s="389"/>
      <c r="V615" s="389"/>
      <c r="W615" s="389"/>
      <c r="X615" s="389"/>
      <c r="Y615" s="580">
        <f t="shared" si="15"/>
        <v>0</v>
      </c>
    </row>
    <row r="616" spans="1:25" ht="18" customHeight="1" hidden="1">
      <c r="A616" s="387" t="s">
        <v>26</v>
      </c>
      <c r="B616" s="385"/>
      <c r="C616" s="385"/>
      <c r="D616" s="385"/>
      <c r="E616" s="385"/>
      <c r="F616" s="385"/>
      <c r="G616" s="385"/>
      <c r="H616" s="385"/>
      <c r="I616" s="385"/>
      <c r="J616" s="385"/>
      <c r="K616" s="385"/>
      <c r="L616" s="385"/>
      <c r="M616" s="385"/>
      <c r="N616" s="385"/>
      <c r="O616" s="385"/>
      <c r="P616" s="385"/>
      <c r="Q616" s="385"/>
      <c r="R616" s="385"/>
      <c r="S616" s="385"/>
      <c r="T616" s="385"/>
      <c r="U616" s="385"/>
      <c r="V616" s="385"/>
      <c r="W616" s="385"/>
      <c r="X616" s="385"/>
      <c r="Y616" s="580">
        <f t="shared" si="15"/>
        <v>0</v>
      </c>
    </row>
    <row r="617" spans="1:25" ht="18" customHeight="1" hidden="1">
      <c r="A617" s="589" t="s">
        <v>27</v>
      </c>
      <c r="B617" s="389"/>
      <c r="C617" s="389"/>
      <c r="D617" s="389"/>
      <c r="E617" s="389"/>
      <c r="F617" s="389"/>
      <c r="G617" s="389"/>
      <c r="H617" s="389"/>
      <c r="I617" s="389"/>
      <c r="J617" s="389"/>
      <c r="K617" s="389"/>
      <c r="L617" s="389"/>
      <c r="M617" s="389"/>
      <c r="N617" s="389"/>
      <c r="O617" s="389"/>
      <c r="P617" s="389"/>
      <c r="Q617" s="389"/>
      <c r="R617" s="389"/>
      <c r="S617" s="389"/>
      <c r="T617" s="389"/>
      <c r="U617" s="389"/>
      <c r="V617" s="389"/>
      <c r="W617" s="389"/>
      <c r="X617" s="389"/>
      <c r="Y617" s="580">
        <f t="shared" si="15"/>
        <v>0</v>
      </c>
    </row>
    <row r="618" spans="1:25" ht="18" customHeight="1" hidden="1">
      <c r="A618" s="387" t="s">
        <v>28</v>
      </c>
      <c r="B618" s="385"/>
      <c r="C618" s="385"/>
      <c r="D618" s="385"/>
      <c r="E618" s="385"/>
      <c r="F618" s="385"/>
      <c r="G618" s="385"/>
      <c r="H618" s="385"/>
      <c r="I618" s="385"/>
      <c r="J618" s="385"/>
      <c r="K618" s="385"/>
      <c r="L618" s="385"/>
      <c r="M618" s="385"/>
      <c r="N618" s="385"/>
      <c r="O618" s="385"/>
      <c r="P618" s="385"/>
      <c r="Q618" s="385"/>
      <c r="R618" s="385"/>
      <c r="S618" s="385"/>
      <c r="T618" s="385"/>
      <c r="U618" s="385"/>
      <c r="V618" s="385"/>
      <c r="W618" s="385"/>
      <c r="X618" s="385"/>
      <c r="Y618" s="580">
        <f t="shared" si="15"/>
        <v>0</v>
      </c>
    </row>
    <row r="619" spans="1:25" ht="18" customHeight="1" hidden="1">
      <c r="A619" s="589" t="s">
        <v>29</v>
      </c>
      <c r="B619" s="389"/>
      <c r="C619" s="389"/>
      <c r="D619" s="389"/>
      <c r="E619" s="389"/>
      <c r="F619" s="389"/>
      <c r="G619" s="389"/>
      <c r="H619" s="389"/>
      <c r="I619" s="389"/>
      <c r="J619" s="389"/>
      <c r="K619" s="389"/>
      <c r="L619" s="389"/>
      <c r="M619" s="389"/>
      <c r="N619" s="389"/>
      <c r="O619" s="389"/>
      <c r="P619" s="389"/>
      <c r="Q619" s="389"/>
      <c r="R619" s="389"/>
      <c r="S619" s="389"/>
      <c r="T619" s="389"/>
      <c r="U619" s="389"/>
      <c r="V619" s="389"/>
      <c r="W619" s="389"/>
      <c r="X619" s="389"/>
      <c r="Y619" s="580">
        <f t="shared" si="15"/>
        <v>0</v>
      </c>
    </row>
    <row r="620" spans="1:25" ht="18" customHeight="1" hidden="1">
      <c r="A620" s="387" t="s">
        <v>30</v>
      </c>
      <c r="B620" s="385"/>
      <c r="C620" s="385"/>
      <c r="D620" s="385"/>
      <c r="E620" s="385"/>
      <c r="F620" s="385"/>
      <c r="G620" s="385"/>
      <c r="H620" s="385"/>
      <c r="I620" s="385"/>
      <c r="J620" s="385"/>
      <c r="K620" s="385"/>
      <c r="L620" s="385"/>
      <c r="M620" s="385"/>
      <c r="N620" s="385"/>
      <c r="O620" s="385"/>
      <c r="P620" s="385"/>
      <c r="Q620" s="385"/>
      <c r="R620" s="385"/>
      <c r="S620" s="385"/>
      <c r="T620" s="385"/>
      <c r="U620" s="385"/>
      <c r="V620" s="385"/>
      <c r="W620" s="385"/>
      <c r="X620" s="385"/>
      <c r="Y620" s="580">
        <f t="shared" si="15"/>
        <v>0</v>
      </c>
    </row>
    <row r="621" spans="1:25" ht="18" customHeight="1" hidden="1">
      <c r="A621" s="589" t="s">
        <v>31</v>
      </c>
      <c r="B621" s="389"/>
      <c r="C621" s="389"/>
      <c r="D621" s="389"/>
      <c r="E621" s="389"/>
      <c r="F621" s="389"/>
      <c r="G621" s="389"/>
      <c r="H621" s="389"/>
      <c r="I621" s="389"/>
      <c r="J621" s="389"/>
      <c r="K621" s="389"/>
      <c r="L621" s="389"/>
      <c r="M621" s="389"/>
      <c r="N621" s="389"/>
      <c r="O621" s="389"/>
      <c r="P621" s="389"/>
      <c r="Q621" s="389"/>
      <c r="R621" s="389"/>
      <c r="S621" s="389"/>
      <c r="T621" s="389"/>
      <c r="U621" s="389"/>
      <c r="V621" s="389"/>
      <c r="W621" s="389"/>
      <c r="X621" s="389"/>
      <c r="Y621" s="580">
        <f t="shared" si="15"/>
        <v>0</v>
      </c>
    </row>
    <row r="622" spans="1:25" ht="18" customHeight="1" hidden="1">
      <c r="A622" s="387" t="s">
        <v>32</v>
      </c>
      <c r="B622" s="385"/>
      <c r="C622" s="385"/>
      <c r="D622" s="385"/>
      <c r="E622" s="385"/>
      <c r="F622" s="385"/>
      <c r="G622" s="385"/>
      <c r="H622" s="385"/>
      <c r="I622" s="385"/>
      <c r="J622" s="385"/>
      <c r="K622" s="385"/>
      <c r="L622" s="385"/>
      <c r="M622" s="385"/>
      <c r="N622" s="385"/>
      <c r="O622" s="385"/>
      <c r="P622" s="385"/>
      <c r="Q622" s="385"/>
      <c r="R622" s="385"/>
      <c r="S622" s="385"/>
      <c r="T622" s="385"/>
      <c r="U622" s="385"/>
      <c r="V622" s="385"/>
      <c r="W622" s="385"/>
      <c r="X622" s="385"/>
      <c r="Y622" s="580">
        <f t="shared" si="15"/>
        <v>0</v>
      </c>
    </row>
    <row r="623" spans="1:25" ht="18" customHeight="1">
      <c r="A623" s="589" t="s">
        <v>33</v>
      </c>
      <c r="B623" s="389"/>
      <c r="C623" s="389"/>
      <c r="D623" s="389">
        <v>-2</v>
      </c>
      <c r="E623" s="389">
        <v>1</v>
      </c>
      <c r="F623" s="389">
        <v>1</v>
      </c>
      <c r="G623" s="389"/>
      <c r="H623" s="389"/>
      <c r="I623" s="389"/>
      <c r="J623" s="389"/>
      <c r="K623" s="389"/>
      <c r="L623" s="389"/>
      <c r="M623" s="389"/>
      <c r="N623" s="389"/>
      <c r="O623" s="389"/>
      <c r="P623" s="389"/>
      <c r="Q623" s="389"/>
      <c r="R623" s="389"/>
      <c r="S623" s="389"/>
      <c r="T623" s="389"/>
      <c r="U623" s="389"/>
      <c r="V623" s="389"/>
      <c r="W623" s="389"/>
      <c r="X623" s="389"/>
      <c r="Y623" s="580">
        <f t="shared" si="15"/>
        <v>0</v>
      </c>
    </row>
    <row r="624" spans="1:25" ht="18" customHeight="1" hidden="1">
      <c r="A624" s="387" t="s">
        <v>34</v>
      </c>
      <c r="B624" s="385"/>
      <c r="C624" s="385"/>
      <c r="D624" s="385"/>
      <c r="E624" s="385"/>
      <c r="F624" s="385"/>
      <c r="G624" s="385"/>
      <c r="H624" s="385"/>
      <c r="I624" s="385"/>
      <c r="J624" s="385"/>
      <c r="K624" s="385"/>
      <c r="L624" s="385"/>
      <c r="M624" s="385"/>
      <c r="N624" s="385"/>
      <c r="O624" s="385"/>
      <c r="P624" s="385"/>
      <c r="Q624" s="385"/>
      <c r="R624" s="385"/>
      <c r="S624" s="385"/>
      <c r="T624" s="385"/>
      <c r="U624" s="385"/>
      <c r="V624" s="385"/>
      <c r="W624" s="385"/>
      <c r="X624" s="385"/>
      <c r="Y624" s="580">
        <f t="shared" si="15"/>
        <v>0</v>
      </c>
    </row>
    <row r="625" spans="1:25" ht="18" customHeight="1" hidden="1">
      <c r="A625" s="589" t="s">
        <v>78</v>
      </c>
      <c r="B625" s="389"/>
      <c r="C625" s="389"/>
      <c r="D625" s="389"/>
      <c r="E625" s="389"/>
      <c r="F625" s="389"/>
      <c r="G625" s="389"/>
      <c r="H625" s="389"/>
      <c r="I625" s="389"/>
      <c r="J625" s="389"/>
      <c r="K625" s="389"/>
      <c r="L625" s="389"/>
      <c r="M625" s="389"/>
      <c r="N625" s="389"/>
      <c r="O625" s="389"/>
      <c r="P625" s="389"/>
      <c r="Q625" s="389"/>
      <c r="R625" s="389"/>
      <c r="S625" s="389"/>
      <c r="T625" s="389"/>
      <c r="U625" s="389"/>
      <c r="V625" s="389"/>
      <c r="W625" s="389"/>
      <c r="X625" s="389"/>
      <c r="Y625" s="580">
        <f t="shared" si="15"/>
        <v>0</v>
      </c>
    </row>
    <row r="626" spans="1:25" ht="18" customHeight="1" hidden="1">
      <c r="A626" s="387" t="s">
        <v>767</v>
      </c>
      <c r="B626" s="385"/>
      <c r="C626" s="385"/>
      <c r="D626" s="385"/>
      <c r="E626" s="385"/>
      <c r="F626" s="385"/>
      <c r="G626" s="385"/>
      <c r="H626" s="385"/>
      <c r="I626" s="385"/>
      <c r="J626" s="385"/>
      <c r="K626" s="385"/>
      <c r="L626" s="385"/>
      <c r="M626" s="385"/>
      <c r="N626" s="385"/>
      <c r="O626" s="385"/>
      <c r="P626" s="385"/>
      <c r="Q626" s="385"/>
      <c r="R626" s="385"/>
      <c r="S626" s="385"/>
      <c r="T626" s="385"/>
      <c r="U626" s="385"/>
      <c r="V626" s="385"/>
      <c r="W626" s="385"/>
      <c r="X626" s="385"/>
      <c r="Y626" s="580">
        <f t="shared" si="15"/>
        <v>0</v>
      </c>
    </row>
    <row r="627" spans="1:25" ht="18" customHeight="1" hidden="1">
      <c r="A627" s="387" t="s">
        <v>79</v>
      </c>
      <c r="B627" s="385"/>
      <c r="C627" s="385"/>
      <c r="D627" s="385"/>
      <c r="E627" s="385"/>
      <c r="F627" s="385"/>
      <c r="G627" s="385"/>
      <c r="H627" s="385"/>
      <c r="I627" s="385"/>
      <c r="J627" s="385"/>
      <c r="K627" s="385"/>
      <c r="L627" s="385"/>
      <c r="M627" s="385"/>
      <c r="N627" s="385"/>
      <c r="O627" s="385"/>
      <c r="P627" s="385"/>
      <c r="Q627" s="385"/>
      <c r="R627" s="385"/>
      <c r="S627" s="385"/>
      <c r="T627" s="385"/>
      <c r="U627" s="385"/>
      <c r="V627" s="385"/>
      <c r="W627" s="385"/>
      <c r="X627" s="385"/>
      <c r="Y627" s="580">
        <f t="shared" si="15"/>
        <v>0</v>
      </c>
    </row>
    <row r="628" spans="1:25" ht="18" customHeight="1" hidden="1">
      <c r="A628" s="589" t="s">
        <v>768</v>
      </c>
      <c r="B628" s="389"/>
      <c r="C628" s="389"/>
      <c r="D628" s="389"/>
      <c r="E628" s="389"/>
      <c r="F628" s="389"/>
      <c r="G628" s="389"/>
      <c r="H628" s="389"/>
      <c r="I628" s="389"/>
      <c r="J628" s="389"/>
      <c r="K628" s="389"/>
      <c r="L628" s="389"/>
      <c r="M628" s="389"/>
      <c r="N628" s="389"/>
      <c r="O628" s="389"/>
      <c r="P628" s="389"/>
      <c r="Q628" s="389"/>
      <c r="R628" s="389"/>
      <c r="S628" s="389"/>
      <c r="T628" s="389"/>
      <c r="U628" s="389"/>
      <c r="V628" s="389"/>
      <c r="W628" s="389"/>
      <c r="X628" s="389"/>
      <c r="Y628" s="580">
        <f t="shared" si="15"/>
        <v>0</v>
      </c>
    </row>
    <row r="629" spans="1:25" ht="18" customHeight="1" hidden="1">
      <c r="A629" s="589" t="s">
        <v>80</v>
      </c>
      <c r="B629" s="389"/>
      <c r="C629" s="389"/>
      <c r="D629" s="389"/>
      <c r="E629" s="389"/>
      <c r="F629" s="389"/>
      <c r="G629" s="389"/>
      <c r="H629" s="389"/>
      <c r="I629" s="389"/>
      <c r="J629" s="389"/>
      <c r="K629" s="389"/>
      <c r="L629" s="389"/>
      <c r="M629" s="389"/>
      <c r="N629" s="389"/>
      <c r="O629" s="389"/>
      <c r="P629" s="389"/>
      <c r="Q629" s="389"/>
      <c r="R629" s="389"/>
      <c r="S629" s="389"/>
      <c r="T629" s="389"/>
      <c r="U629" s="389"/>
      <c r="V629" s="389"/>
      <c r="W629" s="389"/>
      <c r="X629" s="389"/>
      <c r="Y629" s="580">
        <f t="shared" si="15"/>
        <v>0</v>
      </c>
    </row>
    <row r="630" spans="1:25" ht="18" customHeight="1" hidden="1">
      <c r="A630" s="387" t="s">
        <v>427</v>
      </c>
      <c r="B630" s="385"/>
      <c r="C630" s="385"/>
      <c r="D630" s="385"/>
      <c r="E630" s="385"/>
      <c r="F630" s="385"/>
      <c r="G630" s="385"/>
      <c r="H630" s="385"/>
      <c r="I630" s="385"/>
      <c r="J630" s="385"/>
      <c r="K630" s="385"/>
      <c r="L630" s="385"/>
      <c r="M630" s="385"/>
      <c r="N630" s="385"/>
      <c r="O630" s="385"/>
      <c r="P630" s="385"/>
      <c r="Q630" s="385"/>
      <c r="R630" s="385"/>
      <c r="S630" s="385"/>
      <c r="T630" s="385"/>
      <c r="U630" s="385"/>
      <c r="V630" s="385"/>
      <c r="W630" s="385"/>
      <c r="X630" s="385"/>
      <c r="Y630" s="580">
        <f t="shared" si="15"/>
        <v>0</v>
      </c>
    </row>
    <row r="631" spans="1:25" ht="18" customHeight="1" hidden="1">
      <c r="A631" s="387" t="s">
        <v>330</v>
      </c>
      <c r="B631" s="385"/>
      <c r="C631" s="385"/>
      <c r="D631" s="385"/>
      <c r="E631" s="385"/>
      <c r="F631" s="385"/>
      <c r="G631" s="385"/>
      <c r="H631" s="385"/>
      <c r="I631" s="385"/>
      <c r="J631" s="385"/>
      <c r="K631" s="385"/>
      <c r="L631" s="385"/>
      <c r="M631" s="385"/>
      <c r="N631" s="385"/>
      <c r="O631" s="385"/>
      <c r="P631" s="385"/>
      <c r="Q631" s="385"/>
      <c r="R631" s="385"/>
      <c r="S631" s="385"/>
      <c r="T631" s="385"/>
      <c r="U631" s="385"/>
      <c r="V631" s="385"/>
      <c r="W631" s="385"/>
      <c r="X631" s="385"/>
      <c r="Y631" s="580">
        <f t="shared" si="15"/>
        <v>0</v>
      </c>
    </row>
    <row r="632" spans="1:25" ht="18" customHeight="1" hidden="1">
      <c r="A632" s="589" t="s">
        <v>392</v>
      </c>
      <c r="B632" s="389"/>
      <c r="C632" s="389"/>
      <c r="D632" s="389"/>
      <c r="E632" s="389"/>
      <c r="F632" s="389"/>
      <c r="G632" s="389"/>
      <c r="H632" s="389"/>
      <c r="I632" s="389"/>
      <c r="J632" s="389"/>
      <c r="K632" s="389"/>
      <c r="L632" s="389"/>
      <c r="M632" s="389"/>
      <c r="N632" s="389"/>
      <c r="O632" s="389"/>
      <c r="P632" s="389"/>
      <c r="Q632" s="389"/>
      <c r="R632" s="389"/>
      <c r="S632" s="389"/>
      <c r="T632" s="389"/>
      <c r="U632" s="389"/>
      <c r="V632" s="389"/>
      <c r="W632" s="389"/>
      <c r="X632" s="389"/>
      <c r="Y632" s="580">
        <f t="shared" si="15"/>
        <v>0</v>
      </c>
    </row>
    <row r="633" spans="1:25" ht="18" customHeight="1" hidden="1">
      <c r="A633" s="387" t="s">
        <v>414</v>
      </c>
      <c r="B633" s="385"/>
      <c r="C633" s="385"/>
      <c r="D633" s="385"/>
      <c r="E633" s="385"/>
      <c r="F633" s="385"/>
      <c r="G633" s="385"/>
      <c r="H633" s="385"/>
      <c r="I633" s="385"/>
      <c r="J633" s="385"/>
      <c r="K633" s="385"/>
      <c r="L633" s="385"/>
      <c r="M633" s="385"/>
      <c r="N633" s="385"/>
      <c r="O633" s="385"/>
      <c r="P633" s="385"/>
      <c r="Q633" s="385"/>
      <c r="R633" s="385"/>
      <c r="S633" s="385"/>
      <c r="T633" s="385"/>
      <c r="U633" s="385"/>
      <c r="V633" s="385"/>
      <c r="W633" s="385"/>
      <c r="X633" s="385"/>
      <c r="Y633" s="580">
        <f t="shared" si="15"/>
        <v>0</v>
      </c>
    </row>
    <row r="634" spans="1:25" ht="18" customHeight="1" hidden="1">
      <c r="A634" s="387" t="s">
        <v>397</v>
      </c>
      <c r="B634" s="385"/>
      <c r="C634" s="385"/>
      <c r="D634" s="385"/>
      <c r="E634" s="385"/>
      <c r="F634" s="385"/>
      <c r="G634" s="385"/>
      <c r="H634" s="385"/>
      <c r="I634" s="385"/>
      <c r="J634" s="385"/>
      <c r="K634" s="385"/>
      <c r="L634" s="385"/>
      <c r="M634" s="385"/>
      <c r="N634" s="385"/>
      <c r="O634" s="385"/>
      <c r="P634" s="385"/>
      <c r="Q634" s="385"/>
      <c r="R634" s="385"/>
      <c r="S634" s="385"/>
      <c r="T634" s="385"/>
      <c r="U634" s="385"/>
      <c r="V634" s="385"/>
      <c r="W634" s="385"/>
      <c r="X634" s="385"/>
      <c r="Y634" s="580">
        <f t="shared" si="15"/>
        <v>0</v>
      </c>
    </row>
    <row r="635" spans="1:25" ht="18" customHeight="1" hidden="1">
      <c r="A635" s="589" t="s">
        <v>423</v>
      </c>
      <c r="B635" s="389"/>
      <c r="C635" s="389"/>
      <c r="D635" s="389"/>
      <c r="E635" s="389"/>
      <c r="F635" s="389"/>
      <c r="G635" s="389"/>
      <c r="H635" s="389"/>
      <c r="I635" s="389"/>
      <c r="J635" s="389"/>
      <c r="K635" s="389"/>
      <c r="L635" s="389"/>
      <c r="M635" s="389"/>
      <c r="N635" s="389"/>
      <c r="O635" s="389"/>
      <c r="P635" s="389"/>
      <c r="Q635" s="389"/>
      <c r="R635" s="389"/>
      <c r="S635" s="389"/>
      <c r="T635" s="389"/>
      <c r="U635" s="389"/>
      <c r="V635" s="389"/>
      <c r="W635" s="389"/>
      <c r="X635" s="389"/>
      <c r="Y635" s="580">
        <f t="shared" si="15"/>
        <v>0</v>
      </c>
    </row>
    <row r="636" spans="1:25" ht="18" customHeight="1" hidden="1">
      <c r="A636" s="387" t="s">
        <v>398</v>
      </c>
      <c r="B636" s="385"/>
      <c r="C636" s="385"/>
      <c r="D636" s="385"/>
      <c r="E636" s="385"/>
      <c r="F636" s="385"/>
      <c r="G636" s="385"/>
      <c r="H636" s="385"/>
      <c r="I636" s="385"/>
      <c r="J636" s="385"/>
      <c r="K636" s="385"/>
      <c r="L636" s="385"/>
      <c r="M636" s="385"/>
      <c r="N636" s="385"/>
      <c r="O636" s="385"/>
      <c r="P636" s="385"/>
      <c r="Q636" s="385"/>
      <c r="R636" s="385"/>
      <c r="S636" s="385"/>
      <c r="T636" s="385"/>
      <c r="U636" s="385"/>
      <c r="V636" s="385"/>
      <c r="W636" s="385"/>
      <c r="X636" s="385"/>
      <c r="Y636" s="580">
        <f t="shared" si="15"/>
        <v>0</v>
      </c>
    </row>
    <row r="637" spans="1:25" ht="18" customHeight="1" hidden="1">
      <c r="A637" s="589" t="s">
        <v>393</v>
      </c>
      <c r="B637" s="389"/>
      <c r="C637" s="389"/>
      <c r="D637" s="389"/>
      <c r="E637" s="389"/>
      <c r="F637" s="389"/>
      <c r="G637" s="389"/>
      <c r="H637" s="389"/>
      <c r="I637" s="389"/>
      <c r="J637" s="389"/>
      <c r="K637" s="389"/>
      <c r="L637" s="389"/>
      <c r="M637" s="389"/>
      <c r="N637" s="389"/>
      <c r="O637" s="389"/>
      <c r="P637" s="389"/>
      <c r="Q637" s="389"/>
      <c r="R637" s="389"/>
      <c r="S637" s="389"/>
      <c r="T637" s="389"/>
      <c r="U637" s="389"/>
      <c r="V637" s="389"/>
      <c r="W637" s="389"/>
      <c r="X637" s="389"/>
      <c r="Y637" s="580">
        <f t="shared" si="15"/>
        <v>0</v>
      </c>
    </row>
    <row r="638" spans="1:25" ht="18" customHeight="1" hidden="1">
      <c r="A638" s="387" t="s">
        <v>46</v>
      </c>
      <c r="B638" s="385"/>
      <c r="C638" s="385"/>
      <c r="D638" s="385"/>
      <c r="E638" s="385"/>
      <c r="F638" s="385"/>
      <c r="G638" s="385"/>
      <c r="H638" s="385"/>
      <c r="I638" s="385"/>
      <c r="J638" s="385"/>
      <c r="K638" s="385"/>
      <c r="L638" s="385"/>
      <c r="M638" s="385"/>
      <c r="N638" s="385"/>
      <c r="O638" s="385"/>
      <c r="P638" s="385"/>
      <c r="Q638" s="385"/>
      <c r="R638" s="385"/>
      <c r="S638" s="385"/>
      <c r="T638" s="385"/>
      <c r="U638" s="385"/>
      <c r="V638" s="385"/>
      <c r="W638" s="385"/>
      <c r="X638" s="385"/>
      <c r="Y638" s="580">
        <f t="shared" si="15"/>
        <v>0</v>
      </c>
    </row>
    <row r="639" spans="1:25" ht="18" customHeight="1" hidden="1">
      <c r="A639" s="589" t="s">
        <v>50</v>
      </c>
      <c r="B639" s="389"/>
      <c r="C639" s="389"/>
      <c r="D639" s="389"/>
      <c r="E639" s="389"/>
      <c r="F639" s="389"/>
      <c r="G639" s="389"/>
      <c r="H639" s="389"/>
      <c r="I639" s="389"/>
      <c r="J639" s="389"/>
      <c r="K639" s="389"/>
      <c r="L639" s="389"/>
      <c r="M639" s="389"/>
      <c r="N639" s="389"/>
      <c r="O639" s="389"/>
      <c r="P639" s="389"/>
      <c r="Q639" s="389"/>
      <c r="R639" s="389"/>
      <c r="S639" s="389"/>
      <c r="T639" s="389"/>
      <c r="U639" s="389"/>
      <c r="V639" s="389"/>
      <c r="W639" s="389"/>
      <c r="X639" s="389"/>
      <c r="Y639" s="580">
        <f t="shared" si="15"/>
        <v>0</v>
      </c>
    </row>
    <row r="640" spans="1:25" ht="18" customHeight="1" hidden="1">
      <c r="A640" s="387" t="s">
        <v>49</v>
      </c>
      <c r="B640" s="385"/>
      <c r="C640" s="385"/>
      <c r="D640" s="385"/>
      <c r="E640" s="385"/>
      <c r="F640" s="385"/>
      <c r="G640" s="385"/>
      <c r="H640" s="385"/>
      <c r="I640" s="385"/>
      <c r="J640" s="385"/>
      <c r="K640" s="385"/>
      <c r="L640" s="385"/>
      <c r="M640" s="385"/>
      <c r="N640" s="385"/>
      <c r="O640" s="385"/>
      <c r="P640" s="385"/>
      <c r="Q640" s="385"/>
      <c r="R640" s="385"/>
      <c r="S640" s="385"/>
      <c r="T640" s="385"/>
      <c r="U640" s="385"/>
      <c r="V640" s="385"/>
      <c r="W640" s="385"/>
      <c r="X640" s="385"/>
      <c r="Y640" s="580">
        <f t="shared" si="15"/>
        <v>0</v>
      </c>
    </row>
    <row r="641" spans="1:25" ht="18" customHeight="1" hidden="1">
      <c r="A641" s="589" t="s">
        <v>412</v>
      </c>
      <c r="B641" s="389"/>
      <c r="C641" s="389"/>
      <c r="D641" s="389"/>
      <c r="E641" s="389"/>
      <c r="F641" s="389"/>
      <c r="G641" s="389"/>
      <c r="H641" s="389"/>
      <c r="I641" s="389"/>
      <c r="J641" s="389"/>
      <c r="K641" s="389"/>
      <c r="L641" s="389"/>
      <c r="M641" s="389"/>
      <c r="N641" s="389"/>
      <c r="O641" s="389"/>
      <c r="P641" s="389"/>
      <c r="Q641" s="389"/>
      <c r="R641" s="389"/>
      <c r="S641" s="389"/>
      <c r="T641" s="389"/>
      <c r="U641" s="389"/>
      <c r="V641" s="389"/>
      <c r="W641" s="389"/>
      <c r="X641" s="389"/>
      <c r="Y641" s="580">
        <f t="shared" si="15"/>
        <v>0</v>
      </c>
    </row>
    <row r="642" spans="1:25" ht="18" customHeight="1" hidden="1">
      <c r="A642" s="387" t="s">
        <v>52</v>
      </c>
      <c r="B642" s="385"/>
      <c r="C642" s="385"/>
      <c r="D642" s="385"/>
      <c r="E642" s="385"/>
      <c r="F642" s="385"/>
      <c r="G642" s="385"/>
      <c r="H642" s="385"/>
      <c r="I642" s="385"/>
      <c r="J642" s="385"/>
      <c r="K642" s="385"/>
      <c r="L642" s="385"/>
      <c r="M642" s="385"/>
      <c r="N642" s="385"/>
      <c r="O642" s="385"/>
      <c r="P642" s="385"/>
      <c r="Q642" s="385"/>
      <c r="R642" s="385"/>
      <c r="S642" s="385"/>
      <c r="T642" s="385"/>
      <c r="U642" s="385"/>
      <c r="V642" s="385"/>
      <c r="W642" s="385"/>
      <c r="X642" s="385"/>
      <c r="Y642" s="580">
        <f aca="true" t="shared" si="16" ref="Y642:Y652">SUM(B642:X642)</f>
        <v>0</v>
      </c>
    </row>
    <row r="643" spans="1:25" ht="18" customHeight="1" hidden="1">
      <c r="A643" s="589" t="s">
        <v>53</v>
      </c>
      <c r="B643" s="389"/>
      <c r="C643" s="389"/>
      <c r="D643" s="389"/>
      <c r="E643" s="389"/>
      <c r="F643" s="389"/>
      <c r="G643" s="389"/>
      <c r="H643" s="389"/>
      <c r="I643" s="389"/>
      <c r="J643" s="389"/>
      <c r="K643" s="389"/>
      <c r="L643" s="389"/>
      <c r="M643" s="389"/>
      <c r="N643" s="389"/>
      <c r="O643" s="389"/>
      <c r="P643" s="389"/>
      <c r="Q643" s="389"/>
      <c r="R643" s="389"/>
      <c r="S643" s="389"/>
      <c r="T643" s="389"/>
      <c r="U643" s="389"/>
      <c r="V643" s="389"/>
      <c r="W643" s="389"/>
      <c r="X643" s="389"/>
      <c r="Y643" s="580">
        <f t="shared" si="16"/>
        <v>0</v>
      </c>
    </row>
    <row r="644" spans="1:25" ht="18" customHeight="1" hidden="1">
      <c r="A644" s="387" t="s">
        <v>329</v>
      </c>
      <c r="B644" s="385"/>
      <c r="C644" s="385"/>
      <c r="D644" s="385"/>
      <c r="E644" s="385"/>
      <c r="F644" s="385"/>
      <c r="G644" s="385"/>
      <c r="H644" s="385"/>
      <c r="I644" s="385"/>
      <c r="J644" s="385"/>
      <c r="K644" s="385"/>
      <c r="L644" s="385"/>
      <c r="M644" s="385"/>
      <c r="N644" s="385"/>
      <c r="O644" s="385"/>
      <c r="P644" s="385"/>
      <c r="Q644" s="385"/>
      <c r="R644" s="385"/>
      <c r="S644" s="385"/>
      <c r="T644" s="385"/>
      <c r="U644" s="385"/>
      <c r="V644" s="385"/>
      <c r="W644" s="385"/>
      <c r="X644" s="385"/>
      <c r="Y644" s="580">
        <f t="shared" si="16"/>
        <v>0</v>
      </c>
    </row>
    <row r="645" spans="1:25" ht="18" customHeight="1" hidden="1">
      <c r="A645" s="387" t="s">
        <v>54</v>
      </c>
      <c r="B645" s="385"/>
      <c r="C645" s="385"/>
      <c r="D645" s="385"/>
      <c r="E645" s="385"/>
      <c r="F645" s="385"/>
      <c r="G645" s="385"/>
      <c r="H645" s="385"/>
      <c r="I645" s="385"/>
      <c r="J645" s="385"/>
      <c r="K645" s="385"/>
      <c r="L645" s="385"/>
      <c r="M645" s="385"/>
      <c r="N645" s="385"/>
      <c r="O645" s="385"/>
      <c r="P645" s="385"/>
      <c r="Q645" s="385"/>
      <c r="R645" s="385"/>
      <c r="S645" s="385"/>
      <c r="T645" s="385"/>
      <c r="U645" s="385"/>
      <c r="V645" s="385"/>
      <c r="W645" s="385"/>
      <c r="X645" s="385"/>
      <c r="Y645" s="580">
        <f t="shared" si="16"/>
        <v>0</v>
      </c>
    </row>
    <row r="646" spans="1:25" ht="19.5" customHeight="1" hidden="1">
      <c r="A646" s="620" t="s">
        <v>426</v>
      </c>
      <c r="B646" s="389"/>
      <c r="C646" s="389"/>
      <c r="D646" s="389"/>
      <c r="E646" s="389"/>
      <c r="F646" s="389"/>
      <c r="G646" s="389"/>
      <c r="H646" s="389"/>
      <c r="I646" s="389"/>
      <c r="J646" s="389"/>
      <c r="K646" s="389"/>
      <c r="L646" s="389"/>
      <c r="M646" s="389"/>
      <c r="N646" s="389"/>
      <c r="O646" s="389"/>
      <c r="P646" s="389"/>
      <c r="Q646" s="389"/>
      <c r="R646" s="389"/>
      <c r="S646" s="389"/>
      <c r="T646" s="389"/>
      <c r="U646" s="389"/>
      <c r="V646" s="389"/>
      <c r="W646" s="389"/>
      <c r="X646" s="389"/>
      <c r="Y646" s="580">
        <f t="shared" si="16"/>
        <v>0</v>
      </c>
    </row>
    <row r="647" spans="1:25" ht="18" customHeight="1" hidden="1">
      <c r="A647" s="589" t="s">
        <v>66</v>
      </c>
      <c r="B647" s="389"/>
      <c r="C647" s="389"/>
      <c r="D647" s="389"/>
      <c r="E647" s="389"/>
      <c r="F647" s="389"/>
      <c r="G647" s="389"/>
      <c r="H647" s="389"/>
      <c r="I647" s="389"/>
      <c r="J647" s="389"/>
      <c r="K647" s="389"/>
      <c r="L647" s="389"/>
      <c r="M647" s="389"/>
      <c r="N647" s="389"/>
      <c r="O647" s="389"/>
      <c r="P647" s="389"/>
      <c r="Q647" s="389"/>
      <c r="R647" s="389"/>
      <c r="S647" s="389"/>
      <c r="T647" s="389"/>
      <c r="U647" s="389"/>
      <c r="V647" s="389"/>
      <c r="W647" s="389"/>
      <c r="X647" s="389"/>
      <c r="Y647" s="580">
        <f t="shared" si="16"/>
        <v>0</v>
      </c>
    </row>
    <row r="648" spans="1:25" ht="37.5" customHeight="1" hidden="1" thickBot="1">
      <c r="A648" s="668" t="s">
        <v>413</v>
      </c>
      <c r="B648" s="386"/>
      <c r="C648" s="386"/>
      <c r="D648" s="386"/>
      <c r="E648" s="386"/>
      <c r="F648" s="386"/>
      <c r="G648" s="386"/>
      <c r="H648" s="386"/>
      <c r="I648" s="386"/>
      <c r="J648" s="669"/>
      <c r="K648" s="386"/>
      <c r="L648" s="386"/>
      <c r="M648" s="386"/>
      <c r="N648" s="386"/>
      <c r="O648" s="386"/>
      <c r="P648" s="386"/>
      <c r="Q648" s="386"/>
      <c r="R648" s="386"/>
      <c r="S648" s="386"/>
      <c r="T648" s="386"/>
      <c r="U648" s="386"/>
      <c r="V648" s="386"/>
      <c r="W648" s="386"/>
      <c r="X648" s="386"/>
      <c r="Y648" s="670">
        <f t="shared" si="16"/>
        <v>0</v>
      </c>
    </row>
    <row r="649" spans="1:25" ht="25.5" customHeight="1" hidden="1" thickBot="1" thickTop="1">
      <c r="A649" s="671" t="s">
        <v>424</v>
      </c>
      <c r="B649" s="672"/>
      <c r="C649" s="672"/>
      <c r="D649" s="672"/>
      <c r="E649" s="672"/>
      <c r="F649" s="672"/>
      <c r="G649" s="672"/>
      <c r="H649" s="672"/>
      <c r="I649" s="672"/>
      <c r="J649" s="672"/>
      <c r="K649" s="672"/>
      <c r="L649" s="672"/>
      <c r="M649" s="672"/>
      <c r="N649" s="672"/>
      <c r="O649" s="672"/>
      <c r="P649" s="672"/>
      <c r="Q649" s="672"/>
      <c r="R649" s="672"/>
      <c r="S649" s="672"/>
      <c r="T649" s="672"/>
      <c r="U649" s="672"/>
      <c r="V649" s="672"/>
      <c r="W649" s="672"/>
      <c r="X649" s="672"/>
      <c r="Y649" s="673">
        <f t="shared" si="16"/>
        <v>0</v>
      </c>
    </row>
    <row r="650" spans="1:25" ht="39.75" hidden="1" thickBot="1" thickTop="1">
      <c r="A650" s="674" t="s">
        <v>428</v>
      </c>
      <c r="B650" s="675"/>
      <c r="C650" s="675"/>
      <c r="D650" s="675"/>
      <c r="E650" s="675"/>
      <c r="F650" s="675"/>
      <c r="G650" s="675"/>
      <c r="H650" s="675"/>
      <c r="I650" s="675"/>
      <c r="J650" s="675"/>
      <c r="K650" s="675"/>
      <c r="L650" s="675"/>
      <c r="M650" s="675"/>
      <c r="N650" s="675"/>
      <c r="O650" s="675"/>
      <c r="P650" s="675"/>
      <c r="Q650" s="675"/>
      <c r="R650" s="675"/>
      <c r="S650" s="675"/>
      <c r="T650" s="675"/>
      <c r="U650" s="675"/>
      <c r="V650" s="675"/>
      <c r="W650" s="675"/>
      <c r="X650" s="675"/>
      <c r="Y650" s="676">
        <f t="shared" si="16"/>
        <v>0</v>
      </c>
    </row>
    <row r="651" spans="1:25" ht="18" customHeight="1" hidden="1">
      <c r="A651" s="387" t="s">
        <v>427</v>
      </c>
      <c r="B651" s="677"/>
      <c r="C651" s="677"/>
      <c r="D651" s="677"/>
      <c r="E651" s="677"/>
      <c r="F651" s="677"/>
      <c r="G651" s="677"/>
      <c r="H651" s="677"/>
      <c r="I651" s="677"/>
      <c r="J651" s="677"/>
      <c r="K651" s="677"/>
      <c r="L651" s="677"/>
      <c r="M651" s="677"/>
      <c r="N651" s="677"/>
      <c r="O651" s="677"/>
      <c r="P651" s="677"/>
      <c r="Q651" s="677"/>
      <c r="R651" s="677"/>
      <c r="S651" s="677"/>
      <c r="T651" s="677"/>
      <c r="U651" s="677"/>
      <c r="V651" s="677"/>
      <c r="W651" s="677"/>
      <c r="X651" s="677"/>
      <c r="Y651" s="580">
        <f t="shared" si="16"/>
        <v>0</v>
      </c>
    </row>
    <row r="652" spans="1:25" ht="18" customHeight="1" hidden="1">
      <c r="A652" s="387" t="s">
        <v>44</v>
      </c>
      <c r="B652" s="678"/>
      <c r="C652" s="678"/>
      <c r="D652" s="678"/>
      <c r="E652" s="678"/>
      <c r="F652" s="678"/>
      <c r="G652" s="678"/>
      <c r="H652" s="678"/>
      <c r="I652" s="678"/>
      <c r="J652" s="678"/>
      <c r="K652" s="678"/>
      <c r="L652" s="678"/>
      <c r="M652" s="678"/>
      <c r="N652" s="678"/>
      <c r="O652" s="678"/>
      <c r="P652" s="678"/>
      <c r="Q652" s="678"/>
      <c r="R652" s="678"/>
      <c r="S652" s="678"/>
      <c r="T652" s="678"/>
      <c r="U652" s="678"/>
      <c r="V652" s="678"/>
      <c r="W652" s="678"/>
      <c r="X652" s="678"/>
      <c r="Y652" s="580">
        <f t="shared" si="16"/>
        <v>0</v>
      </c>
    </row>
    <row r="653" ht="12.75">
      <c r="Y653" s="540"/>
    </row>
    <row r="654" ht="12.75">
      <c r="Y654" s="540"/>
    </row>
    <row r="655" ht="12.75">
      <c r="Y655" s="540"/>
    </row>
    <row r="656" ht="12.75">
      <c r="Y656" s="540"/>
    </row>
    <row r="657" ht="12.75">
      <c r="Y657" s="540"/>
    </row>
    <row r="658" ht="12.75">
      <c r="Y658" s="540"/>
    </row>
    <row r="659" ht="12.75">
      <c r="Y659" s="540"/>
    </row>
    <row r="660" ht="12.75">
      <c r="Y660" s="540"/>
    </row>
    <row r="661" spans="5:25" ht="12.75">
      <c r="E661" s="17" t="s">
        <v>24</v>
      </c>
      <c r="Y661" s="540"/>
    </row>
    <row r="662" spans="5:25" ht="12.75">
      <c r="E662" s="17" t="s">
        <v>23</v>
      </c>
      <c r="Y662" s="540"/>
    </row>
    <row r="663" spans="5:25" ht="12.75">
      <c r="E663" s="17" t="s">
        <v>22</v>
      </c>
      <c r="Y663" s="540"/>
    </row>
    <row r="664" ht="12.75">
      <c r="Y664" s="540"/>
    </row>
    <row r="665" ht="12.75">
      <c r="Y665" s="540"/>
    </row>
    <row r="666" ht="12.75">
      <c r="Y666" s="540"/>
    </row>
    <row r="667" ht="12.75">
      <c r="Y667" s="540"/>
    </row>
    <row r="668" ht="12.75">
      <c r="Y668" s="540"/>
    </row>
    <row r="669" ht="12.75">
      <c r="Y669" s="540"/>
    </row>
    <row r="670" ht="12.75">
      <c r="Y670" s="540"/>
    </row>
    <row r="671" ht="12.75">
      <c r="Y671" s="540"/>
    </row>
    <row r="672" ht="12.75">
      <c r="Y672" s="540"/>
    </row>
    <row r="673" ht="12.75">
      <c r="Y673" s="540"/>
    </row>
    <row r="674" ht="12.75">
      <c r="Y674" s="540"/>
    </row>
    <row r="675" ht="12.75">
      <c r="Y675" s="540"/>
    </row>
    <row r="676" ht="12.75">
      <c r="Y676" s="540"/>
    </row>
    <row r="677" ht="12.75">
      <c r="Y677" s="540"/>
    </row>
    <row r="678" ht="12.75">
      <c r="Y678" s="540"/>
    </row>
    <row r="679" ht="12.75">
      <c r="Y679" s="540"/>
    </row>
    <row r="680" ht="12.75">
      <c r="Y680" s="540"/>
    </row>
    <row r="681" ht="12.75">
      <c r="Y681" s="540"/>
    </row>
    <row r="682" ht="12.75">
      <c r="Y682" s="540"/>
    </row>
    <row r="683" ht="12.75">
      <c r="Y683" s="540"/>
    </row>
    <row r="684" ht="12.75">
      <c r="Y684" s="540"/>
    </row>
    <row r="685" ht="12.75">
      <c r="Y685" s="540"/>
    </row>
    <row r="686" ht="12.75">
      <c r="Y686" s="540"/>
    </row>
    <row r="687" ht="12.75">
      <c r="Y687" s="540"/>
    </row>
    <row r="688" ht="12.75">
      <c r="Y688" s="540"/>
    </row>
    <row r="689" ht="12.75">
      <c r="Y689" s="540"/>
    </row>
    <row r="690" ht="12.75">
      <c r="Y690" s="540"/>
    </row>
    <row r="691" ht="12.75">
      <c r="Y691" s="540"/>
    </row>
    <row r="692" ht="12.75">
      <c r="Y692" s="540"/>
    </row>
    <row r="693" ht="12.75">
      <c r="Y693" s="540"/>
    </row>
    <row r="694" ht="12.75">
      <c r="Y694" s="540"/>
    </row>
    <row r="695" ht="12.75">
      <c r="Y695" s="540"/>
    </row>
    <row r="696" ht="12.75">
      <c r="Y696" s="540"/>
    </row>
    <row r="697" ht="12.75">
      <c r="Y697" s="540"/>
    </row>
    <row r="698" ht="12.75">
      <c r="Y698" s="540"/>
    </row>
    <row r="699" ht="12.75">
      <c r="Y699" s="540"/>
    </row>
    <row r="700" ht="12.75">
      <c r="Y700" s="540"/>
    </row>
    <row r="701" ht="12.75">
      <c r="Y701" s="540"/>
    </row>
    <row r="702" ht="12.75">
      <c r="Y702" s="540"/>
    </row>
    <row r="703" ht="12.75">
      <c r="Y703" s="540"/>
    </row>
    <row r="704" ht="12.75">
      <c r="Y704" s="540"/>
    </row>
    <row r="705" ht="12.75">
      <c r="Y705" s="540"/>
    </row>
    <row r="706" ht="12.75">
      <c r="Y706" s="540"/>
    </row>
    <row r="707" ht="12.75">
      <c r="Y707" s="540"/>
    </row>
    <row r="708" ht="12.75">
      <c r="Y708" s="540"/>
    </row>
    <row r="709" ht="12.75">
      <c r="Y709" s="540"/>
    </row>
    <row r="710" ht="12.75">
      <c r="Y710" s="540"/>
    </row>
    <row r="711" ht="12.75">
      <c r="Y711" s="540"/>
    </row>
    <row r="712" ht="12.75">
      <c r="Y712" s="540"/>
    </row>
    <row r="713" ht="12.75">
      <c r="Y713" s="540"/>
    </row>
    <row r="714" ht="12.75">
      <c r="Y714" s="540"/>
    </row>
    <row r="715" ht="12.75">
      <c r="Y715" s="540"/>
    </row>
    <row r="716" ht="12.75">
      <c r="Y716" s="540"/>
    </row>
    <row r="717" ht="12.75">
      <c r="Y717" s="540"/>
    </row>
    <row r="718" ht="12.75">
      <c r="Y718" s="540"/>
    </row>
    <row r="719" ht="12.75">
      <c r="Y719" s="540"/>
    </row>
    <row r="720" ht="12.75">
      <c r="Y720" s="540"/>
    </row>
    <row r="721" ht="12.75">
      <c r="Y721" s="540"/>
    </row>
    <row r="722" ht="12.75">
      <c r="Y722" s="540"/>
    </row>
    <row r="723" ht="12.75">
      <c r="Y723" s="540"/>
    </row>
    <row r="724" ht="12.75">
      <c r="Y724" s="540"/>
    </row>
    <row r="725" ht="12.75">
      <c r="Y725" s="540"/>
    </row>
    <row r="726" ht="12.75">
      <c r="Y726" s="540"/>
    </row>
    <row r="727" ht="12.75">
      <c r="Y727" s="540"/>
    </row>
    <row r="728" ht="12.75">
      <c r="Y728" s="540"/>
    </row>
    <row r="729" ht="12.75">
      <c r="Y729" s="540"/>
    </row>
    <row r="730" ht="12.75">
      <c r="Y730" s="540"/>
    </row>
    <row r="731" ht="12.75">
      <c r="Y731" s="540"/>
    </row>
    <row r="732" ht="12.75">
      <c r="Y732" s="540"/>
    </row>
    <row r="733" ht="12.75">
      <c r="Y733" s="540"/>
    </row>
    <row r="734" ht="12.75">
      <c r="Y734" s="540"/>
    </row>
    <row r="735" ht="12.75">
      <c r="Y735" s="540"/>
    </row>
    <row r="736" ht="12.75">
      <c r="Y736" s="540"/>
    </row>
    <row r="737" ht="12.75">
      <c r="Y737" s="540"/>
    </row>
    <row r="738" ht="12.75">
      <c r="Y738" s="540"/>
    </row>
    <row r="739" ht="12.75">
      <c r="Y739" s="540"/>
    </row>
    <row r="740" ht="12.75">
      <c r="Y740" s="540"/>
    </row>
    <row r="741" ht="12.75">
      <c r="Y741" s="540"/>
    </row>
    <row r="742" ht="12.75">
      <c r="Y742" s="540"/>
    </row>
    <row r="743" ht="12.75">
      <c r="Y743" s="540"/>
    </row>
    <row r="744" ht="12.75">
      <c r="Y744" s="540"/>
    </row>
    <row r="745" ht="12.75">
      <c r="Y745" s="540"/>
    </row>
    <row r="746" ht="12.75">
      <c r="Y746" s="540"/>
    </row>
    <row r="747" ht="12.75">
      <c r="Y747" s="540"/>
    </row>
    <row r="748" ht="12.75">
      <c r="Y748" s="540"/>
    </row>
    <row r="749" ht="12.75">
      <c r="Y749" s="540"/>
    </row>
    <row r="750" ht="12.75">
      <c r="Y750" s="540"/>
    </row>
    <row r="751" ht="12.75">
      <c r="Y751" s="540"/>
    </row>
    <row r="752" ht="12.75">
      <c r="Y752" s="540"/>
    </row>
    <row r="753" ht="12.75">
      <c r="Y753" s="540"/>
    </row>
    <row r="754" ht="12.75">
      <c r="Y754" s="540"/>
    </row>
    <row r="755" ht="12.75">
      <c r="Y755" s="540"/>
    </row>
    <row r="756" ht="12.75">
      <c r="Y756" s="540"/>
    </row>
    <row r="757" ht="12.75">
      <c r="Y757" s="540"/>
    </row>
    <row r="758" ht="12.75">
      <c r="Y758" s="540"/>
    </row>
    <row r="759" ht="12.75">
      <c r="Y759" s="540"/>
    </row>
    <row r="760" ht="12.75">
      <c r="Y760" s="540"/>
    </row>
    <row r="761" ht="12.75">
      <c r="Y761" s="540"/>
    </row>
    <row r="762" ht="12.75">
      <c r="Y762" s="540"/>
    </row>
    <row r="763" ht="12.75">
      <c r="Y763" s="540"/>
    </row>
  </sheetData>
  <printOptions horizontalCentered="1"/>
  <pageMargins left="0.3937007874015748" right="0.3937007874015748" top="0.6692913385826772" bottom="0.6692913385826772" header="0.5118110236220472" footer="0.5118110236220472"/>
  <pageSetup firstPageNumber="49" useFirstPageNumber="1" horizontalDpi="600" verticalDpi="600" orientation="landscape" paperSize="9" scale="6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D31" sqref="D31"/>
    </sheetView>
  </sheetViews>
  <sheetFormatPr defaultColWidth="9.00390625" defaultRowHeight="12.75"/>
  <cols>
    <col min="1" max="1" width="6.625" style="960" customWidth="1"/>
    <col min="2" max="2" width="8.125" style="960" customWidth="1"/>
    <col min="3" max="3" width="7.625" style="960" customWidth="1"/>
    <col min="4" max="4" width="68.375" style="960" customWidth="1"/>
    <col min="5" max="5" width="18.875" style="961" customWidth="1"/>
    <col min="6" max="7" width="16.00390625" style="961" customWidth="1"/>
    <col min="8" max="8" width="17.75390625" style="961" customWidth="1"/>
    <col min="9" max="10" width="14.125" style="0" customWidth="1"/>
  </cols>
  <sheetData>
    <row r="1" spans="1:8" ht="12" customHeight="1">
      <c r="A1" s="958"/>
      <c r="B1" s="958"/>
      <c r="C1" s="958"/>
      <c r="D1" s="959"/>
      <c r="E1" s="789"/>
      <c r="F1" s="789"/>
      <c r="G1" s="789" t="s">
        <v>587</v>
      </c>
      <c r="H1" s="1"/>
    </row>
    <row r="2" spans="2:8" ht="17.25" customHeight="1">
      <c r="B2" s="1126" t="s">
        <v>211</v>
      </c>
      <c r="C2" s="789"/>
      <c r="D2" s="789"/>
      <c r="E2" s="789"/>
      <c r="F2" s="789"/>
      <c r="G2" s="789" t="s">
        <v>186</v>
      </c>
      <c r="H2" s="1"/>
    </row>
    <row r="3" spans="2:8" ht="18" customHeight="1">
      <c r="B3" s="1126" t="s">
        <v>209</v>
      </c>
      <c r="C3" s="789"/>
      <c r="D3" s="789"/>
      <c r="G3" s="961" t="s">
        <v>512</v>
      </c>
      <c r="H3" s="1"/>
    </row>
    <row r="4" spans="1:8" ht="18" customHeight="1">
      <c r="A4" s="1177"/>
      <c r="B4" s="1178"/>
      <c r="C4" s="1178"/>
      <c r="D4" s="1178"/>
      <c r="E4" s="789"/>
      <c r="F4" s="789"/>
      <c r="G4" s="789" t="s">
        <v>265</v>
      </c>
      <c r="H4" s="1"/>
    </row>
    <row r="5" spans="1:8" ht="9.75" customHeight="1">
      <c r="A5" s="963"/>
      <c r="B5" s="962"/>
      <c r="C5" s="962"/>
      <c r="D5" s="962"/>
      <c r="E5" s="962"/>
      <c r="F5" s="962"/>
      <c r="G5" s="962"/>
      <c r="H5" s="962"/>
    </row>
    <row r="6" spans="1:8" ht="12" customHeight="1" thickBot="1">
      <c r="A6" s="964"/>
      <c r="B6" s="964"/>
      <c r="C6" s="964"/>
      <c r="D6" s="959"/>
      <c r="E6" s="964"/>
      <c r="F6" s="964"/>
      <c r="G6" s="964"/>
      <c r="H6" s="1124" t="s">
        <v>514</v>
      </c>
    </row>
    <row r="7" spans="1:8" ht="82.5" customHeight="1" thickBot="1" thickTop="1">
      <c r="A7" s="965" t="s">
        <v>549</v>
      </c>
      <c r="B7" s="965" t="s">
        <v>516</v>
      </c>
      <c r="C7" s="965" t="s">
        <v>517</v>
      </c>
      <c r="D7" s="965" t="s">
        <v>499</v>
      </c>
      <c r="E7" s="966" t="s">
        <v>215</v>
      </c>
      <c r="F7" s="966" t="s">
        <v>552</v>
      </c>
      <c r="G7" s="966" t="s">
        <v>542</v>
      </c>
      <c r="H7" s="966" t="s">
        <v>520</v>
      </c>
    </row>
    <row r="8" spans="1:8" ht="15" customHeight="1" thickBot="1" thickTop="1">
      <c r="A8" s="967">
        <v>1</v>
      </c>
      <c r="B8" s="967">
        <v>2</v>
      </c>
      <c r="C8" s="967">
        <v>3</v>
      </c>
      <c r="D8" s="19">
        <v>4</v>
      </c>
      <c r="E8" s="967">
        <v>5</v>
      </c>
      <c r="F8" s="967">
        <v>6</v>
      </c>
      <c r="G8" s="967">
        <v>7</v>
      </c>
      <c r="H8" s="967">
        <v>8</v>
      </c>
    </row>
    <row r="9" spans="1:8" ht="29.25" customHeight="1" thickBot="1" thickTop="1">
      <c r="A9" s="968"/>
      <c r="B9" s="968"/>
      <c r="C9" s="968"/>
      <c r="D9" s="969" t="s">
        <v>216</v>
      </c>
      <c r="E9" s="970">
        <v>409000</v>
      </c>
      <c r="F9" s="970">
        <f>F10+F14+F18</f>
        <v>2500</v>
      </c>
      <c r="G9" s="970">
        <f>G10+G14+G18</f>
        <v>2500</v>
      </c>
      <c r="H9" s="970">
        <f>E9+G9-F9</f>
        <v>409000</v>
      </c>
    </row>
    <row r="10" spans="1:8" ht="19.5" customHeight="1">
      <c r="A10" s="971"/>
      <c r="B10" s="971"/>
      <c r="C10" s="971"/>
      <c r="D10" s="972" t="s">
        <v>212</v>
      </c>
      <c r="E10" s="973">
        <v>12000</v>
      </c>
      <c r="F10" s="973"/>
      <c r="G10" s="973">
        <f>G11</f>
        <v>1500</v>
      </c>
      <c r="H10" s="973">
        <f aca="true" t="shared" si="0" ref="H10:H22">E10+G10-F10</f>
        <v>13500</v>
      </c>
    </row>
    <row r="11" spans="1:8" ht="16.5" customHeight="1">
      <c r="A11" s="974">
        <v>750</v>
      </c>
      <c r="B11" s="975"/>
      <c r="C11" s="975"/>
      <c r="D11" s="976" t="s">
        <v>526</v>
      </c>
      <c r="E11" s="974">
        <v>12000</v>
      </c>
      <c r="F11" s="974"/>
      <c r="G11" s="974">
        <f>G12</f>
        <v>1500</v>
      </c>
      <c r="H11" s="974">
        <f t="shared" si="0"/>
        <v>13500</v>
      </c>
    </row>
    <row r="12" spans="1:8" ht="19.5" customHeight="1">
      <c r="A12" s="977"/>
      <c r="B12" s="978">
        <v>75022</v>
      </c>
      <c r="C12" s="978"/>
      <c r="D12" s="979" t="s">
        <v>631</v>
      </c>
      <c r="E12" s="973">
        <v>12000</v>
      </c>
      <c r="F12" s="973"/>
      <c r="G12" s="973">
        <f>G13</f>
        <v>1500</v>
      </c>
      <c r="H12" s="973">
        <f t="shared" si="0"/>
        <v>13500</v>
      </c>
    </row>
    <row r="13" spans="1:8" ht="19.5" customHeight="1">
      <c r="A13" s="980"/>
      <c r="B13" s="981"/>
      <c r="C13" s="982">
        <v>4300</v>
      </c>
      <c r="D13" s="983" t="s">
        <v>524</v>
      </c>
      <c r="E13" s="984">
        <v>800</v>
      </c>
      <c r="F13" s="984"/>
      <c r="G13" s="984">
        <v>1500</v>
      </c>
      <c r="H13" s="984">
        <f t="shared" si="0"/>
        <v>2300</v>
      </c>
    </row>
    <row r="14" spans="1:8" ht="19.5" customHeight="1">
      <c r="A14" s="971"/>
      <c r="B14" s="971"/>
      <c r="C14" s="971"/>
      <c r="D14" s="972" t="s">
        <v>213</v>
      </c>
      <c r="E14" s="973">
        <v>17400</v>
      </c>
      <c r="F14" s="973"/>
      <c r="G14" s="973">
        <f>G15</f>
        <v>1000</v>
      </c>
      <c r="H14" s="973">
        <f t="shared" si="0"/>
        <v>18400</v>
      </c>
    </row>
    <row r="15" spans="1:8" ht="15.75" customHeight="1">
      <c r="A15" s="974">
        <v>750</v>
      </c>
      <c r="B15" s="975"/>
      <c r="C15" s="975"/>
      <c r="D15" s="976" t="s">
        <v>526</v>
      </c>
      <c r="E15" s="974">
        <v>17400</v>
      </c>
      <c r="F15" s="974"/>
      <c r="G15" s="974">
        <f>G16</f>
        <v>1000</v>
      </c>
      <c r="H15" s="974">
        <f t="shared" si="0"/>
        <v>18400</v>
      </c>
    </row>
    <row r="16" spans="1:8" ht="19.5" customHeight="1">
      <c r="A16" s="977"/>
      <c r="B16" s="978">
        <v>75022</v>
      </c>
      <c r="C16" s="978"/>
      <c r="D16" s="979" t="s">
        <v>631</v>
      </c>
      <c r="E16" s="973">
        <v>17400</v>
      </c>
      <c r="F16" s="973"/>
      <c r="G16" s="973">
        <f>G17</f>
        <v>1000</v>
      </c>
      <c r="H16" s="973">
        <f t="shared" si="0"/>
        <v>18400</v>
      </c>
    </row>
    <row r="17" spans="1:8" ht="19.5" customHeight="1">
      <c r="A17" s="980"/>
      <c r="B17" s="981"/>
      <c r="C17" s="982">
        <v>4260</v>
      </c>
      <c r="D17" s="983" t="s">
        <v>528</v>
      </c>
      <c r="E17" s="984">
        <v>5200</v>
      </c>
      <c r="F17" s="984"/>
      <c r="G17" s="984">
        <v>1000</v>
      </c>
      <c r="H17" s="984">
        <f t="shared" si="0"/>
        <v>6200</v>
      </c>
    </row>
    <row r="18" spans="1:8" ht="19.5" customHeight="1">
      <c r="A18" s="971"/>
      <c r="B18" s="971"/>
      <c r="C18" s="971"/>
      <c r="D18" s="972" t="s">
        <v>214</v>
      </c>
      <c r="E18" s="973">
        <v>20000</v>
      </c>
      <c r="F18" s="973">
        <f>F19</f>
        <v>2500</v>
      </c>
      <c r="G18" s="973"/>
      <c r="H18" s="973">
        <f t="shared" si="0"/>
        <v>17500</v>
      </c>
    </row>
    <row r="19" spans="1:8" ht="19.5" customHeight="1">
      <c r="A19" s="974">
        <v>750</v>
      </c>
      <c r="B19" s="975"/>
      <c r="C19" s="975"/>
      <c r="D19" s="976" t="s">
        <v>526</v>
      </c>
      <c r="E19" s="974">
        <v>20000</v>
      </c>
      <c r="F19" s="974">
        <f>F20</f>
        <v>2500</v>
      </c>
      <c r="G19" s="974"/>
      <c r="H19" s="974">
        <f t="shared" si="0"/>
        <v>17500</v>
      </c>
    </row>
    <row r="20" spans="1:8" ht="19.5" customHeight="1">
      <c r="A20" s="977"/>
      <c r="B20" s="978">
        <v>75022</v>
      </c>
      <c r="C20" s="978"/>
      <c r="D20" s="979" t="s">
        <v>631</v>
      </c>
      <c r="E20" s="973">
        <v>20000</v>
      </c>
      <c r="F20" s="973">
        <f>F21</f>
        <v>2500</v>
      </c>
      <c r="G20" s="973"/>
      <c r="H20" s="973">
        <f t="shared" si="0"/>
        <v>17500</v>
      </c>
    </row>
    <row r="21" spans="1:8" ht="19.5" customHeight="1">
      <c r="A21" s="980"/>
      <c r="B21" s="981"/>
      <c r="C21" s="982">
        <v>4270</v>
      </c>
      <c r="D21" s="983" t="s">
        <v>630</v>
      </c>
      <c r="E21" s="984">
        <v>20000</v>
      </c>
      <c r="F21" s="984">
        <f>F22</f>
        <v>2500</v>
      </c>
      <c r="G21" s="984"/>
      <c r="H21" s="984">
        <f t="shared" si="0"/>
        <v>17500</v>
      </c>
    </row>
    <row r="22" spans="1:8" ht="28.5" customHeight="1">
      <c r="A22" s="985"/>
      <c r="B22" s="986"/>
      <c r="C22" s="987"/>
      <c r="D22" s="988" t="s">
        <v>141</v>
      </c>
      <c r="E22" s="986">
        <v>20000</v>
      </c>
      <c r="F22" s="986">
        <v>2500</v>
      </c>
      <c r="G22" s="986"/>
      <c r="H22" s="986">
        <f t="shared" si="0"/>
        <v>17500</v>
      </c>
    </row>
    <row r="24" spans="4:7" ht="12.75">
      <c r="D24" s="964"/>
      <c r="F24" s="964"/>
      <c r="G24" s="964"/>
    </row>
    <row r="25" spans="4:7" ht="12.75">
      <c r="D25" s="964"/>
      <c r="F25" s="964"/>
      <c r="G25" s="964"/>
    </row>
    <row r="26" spans="4:7" ht="12.75">
      <c r="D26" s="17" t="s">
        <v>24</v>
      </c>
      <c r="F26" s="964"/>
      <c r="G26" s="964"/>
    </row>
    <row r="27" spans="4:7" ht="12.75">
      <c r="D27" s="17" t="s">
        <v>23</v>
      </c>
      <c r="F27" s="964"/>
      <c r="G27" s="964"/>
    </row>
    <row r="28" spans="4:7" ht="12.75">
      <c r="D28" s="17" t="s">
        <v>22</v>
      </c>
      <c r="F28" s="964"/>
      <c r="G28" s="964"/>
    </row>
    <row r="29" spans="6:7" ht="12.75">
      <c r="F29" s="964"/>
      <c r="G29" s="964"/>
    </row>
  </sheetData>
  <mergeCells count="1">
    <mergeCell ref="A4:D4"/>
  </mergeCells>
  <printOptions horizontalCentered="1"/>
  <pageMargins left="0.4724409448818898" right="0.4724409448818898" top="0.984251968503937" bottom="0.984251968503937" header="0.5118110236220472" footer="0.5118110236220472"/>
  <pageSetup firstPageNumber="54" useFirstPageNumber="1"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6"/>
  <sheetViews>
    <sheetView zoomScaleSheetLayoutView="75" workbookViewId="0" topLeftCell="A77">
      <selection activeCell="E90" sqref="E90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28" t="s">
        <v>130</v>
      </c>
      <c r="H1" s="28"/>
    </row>
    <row r="2" spans="1:7" ht="13.5" customHeight="1">
      <c r="A2" s="153" t="s">
        <v>448</v>
      </c>
      <c r="B2" s="153"/>
      <c r="C2" s="153"/>
      <c r="D2" s="29"/>
      <c r="G2" s="1" t="s">
        <v>186</v>
      </c>
    </row>
    <row r="3" spans="1:7" ht="13.5" customHeight="1">
      <c r="A3" s="153" t="s">
        <v>613</v>
      </c>
      <c r="C3" s="160"/>
      <c r="D3" s="30"/>
      <c r="G3" s="1" t="s">
        <v>512</v>
      </c>
    </row>
    <row r="4" spans="1:7" ht="13.5" customHeight="1">
      <c r="A4" s="153" t="s">
        <v>584</v>
      </c>
      <c r="C4" s="160"/>
      <c r="D4" s="30"/>
      <c r="G4" s="1" t="s">
        <v>265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514</v>
      </c>
    </row>
    <row r="7" spans="1:9" ht="15" customHeight="1" thickTop="1">
      <c r="A7" s="34"/>
      <c r="B7" s="34"/>
      <c r="C7" s="35" t="s">
        <v>551</v>
      </c>
      <c r="D7" s="1166" t="s">
        <v>564</v>
      </c>
      <c r="E7" s="1163" t="s">
        <v>451</v>
      </c>
      <c r="F7" s="134"/>
      <c r="G7" s="1166" t="s">
        <v>565</v>
      </c>
      <c r="H7" s="1163" t="s">
        <v>451</v>
      </c>
      <c r="I7" s="1163" t="s">
        <v>449</v>
      </c>
    </row>
    <row r="8" spans="1:9" ht="83.25" customHeight="1" thickBot="1">
      <c r="A8" s="128" t="s">
        <v>549</v>
      </c>
      <c r="B8" s="36" t="s">
        <v>614</v>
      </c>
      <c r="C8" s="36" t="s">
        <v>472</v>
      </c>
      <c r="D8" s="1167"/>
      <c r="E8" s="1164"/>
      <c r="F8" s="36" t="s">
        <v>561</v>
      </c>
      <c r="G8" s="1169"/>
      <c r="H8" s="1168"/>
      <c r="I8" s="1165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282"/>
      <c r="B10" s="283"/>
      <c r="C10" s="279" t="s">
        <v>452</v>
      </c>
      <c r="D10" s="286">
        <v>86294221</v>
      </c>
      <c r="E10" s="277">
        <f>E12+E24</f>
        <v>657655</v>
      </c>
      <c r="F10" s="277">
        <f>D10+E10</f>
        <v>86951876</v>
      </c>
      <c r="G10" s="277">
        <v>79369821</v>
      </c>
      <c r="H10" s="277">
        <f>H12+H24</f>
        <v>657655</v>
      </c>
      <c r="I10" s="277">
        <f>G10+H10</f>
        <v>80027476</v>
      </c>
    </row>
    <row r="11" spans="1:9" ht="12" customHeight="1">
      <c r="A11" s="253"/>
      <c r="B11" s="163"/>
      <c r="C11" s="280" t="s">
        <v>522</v>
      </c>
      <c r="D11" s="309"/>
      <c r="E11" s="278"/>
      <c r="F11" s="278"/>
      <c r="G11" s="278"/>
      <c r="H11" s="278"/>
      <c r="I11" s="284"/>
    </row>
    <row r="12" spans="1:9" ht="18" customHeight="1" thickBot="1">
      <c r="A12" s="513"/>
      <c r="B12" s="221"/>
      <c r="C12" s="498" t="s">
        <v>471</v>
      </c>
      <c r="D12" s="103">
        <v>60370967</v>
      </c>
      <c r="E12" s="499">
        <f>E13</f>
        <v>-53800</v>
      </c>
      <c r="F12" s="499">
        <f>D12+E12</f>
        <v>60317167</v>
      </c>
      <c r="G12" s="499">
        <v>59006967</v>
      </c>
      <c r="H12" s="499">
        <f>H13</f>
        <v>-53800</v>
      </c>
      <c r="I12" s="103">
        <f aca="true" t="shared" si="0" ref="I12:I19">G12+H12</f>
        <v>58953167</v>
      </c>
    </row>
    <row r="13" spans="1:9" ht="18.75" customHeight="1" thickTop="1">
      <c r="A13" s="154">
        <v>852</v>
      </c>
      <c r="B13" s="196"/>
      <c r="C13" s="132" t="s">
        <v>511</v>
      </c>
      <c r="D13" s="133">
        <v>57484000</v>
      </c>
      <c r="E13" s="133">
        <f>E19</f>
        <v>-53800</v>
      </c>
      <c r="F13" s="133">
        <f>D13+E13</f>
        <v>57430200</v>
      </c>
      <c r="G13" s="133">
        <v>57406000</v>
      </c>
      <c r="H13" s="133">
        <f>H14+H19</f>
        <v>-53800</v>
      </c>
      <c r="I13" s="133">
        <f t="shared" si="0"/>
        <v>57352200</v>
      </c>
    </row>
    <row r="14" spans="1:9" s="49" customFormat="1" ht="27.75" customHeight="1">
      <c r="A14" s="765"/>
      <c r="B14" s="766">
        <v>85212</v>
      </c>
      <c r="C14" s="508" t="s">
        <v>183</v>
      </c>
      <c r="D14" s="767">
        <v>45881000</v>
      </c>
      <c r="E14" s="767"/>
      <c r="F14" s="767">
        <f>D14+E14</f>
        <v>45881000</v>
      </c>
      <c r="G14" s="767">
        <v>45881000</v>
      </c>
      <c r="H14" s="767">
        <f>H15+H17</f>
        <v>0</v>
      </c>
      <c r="I14" s="767">
        <f t="shared" si="0"/>
        <v>45881000</v>
      </c>
    </row>
    <row r="15" spans="1:9" s="51" customFormat="1" ht="18" customHeight="1">
      <c r="A15" s="768"/>
      <c r="B15" s="772"/>
      <c r="C15" s="509" t="s">
        <v>430</v>
      </c>
      <c r="D15" s="775"/>
      <c r="E15" s="775"/>
      <c r="F15" s="775"/>
      <c r="G15" s="775">
        <v>664650</v>
      </c>
      <c r="H15" s="775">
        <f>H16</f>
        <v>145231</v>
      </c>
      <c r="I15" s="775">
        <f t="shared" si="0"/>
        <v>809881</v>
      </c>
    </row>
    <row r="16" spans="1:9" s="50" customFormat="1" ht="18" customHeight="1">
      <c r="A16" s="769"/>
      <c r="B16" s="770">
        <v>4010</v>
      </c>
      <c r="C16" s="397" t="s">
        <v>576</v>
      </c>
      <c r="D16" s="776"/>
      <c r="E16" s="776"/>
      <c r="F16" s="776"/>
      <c r="G16" s="776">
        <v>515000</v>
      </c>
      <c r="H16" s="776">
        <v>145231</v>
      </c>
      <c r="I16" s="776">
        <f t="shared" si="0"/>
        <v>660231</v>
      </c>
    </row>
    <row r="17" spans="1:9" s="773" customFormat="1" ht="18" customHeight="1">
      <c r="A17" s="768"/>
      <c r="B17" s="772"/>
      <c r="C17" s="758" t="s">
        <v>235</v>
      </c>
      <c r="D17" s="777"/>
      <c r="E17" s="777"/>
      <c r="F17" s="777"/>
      <c r="G17" s="777">
        <v>44981360</v>
      </c>
      <c r="H17" s="777">
        <f>H18</f>
        <v>-145231</v>
      </c>
      <c r="I17" s="777">
        <f t="shared" si="0"/>
        <v>44836129</v>
      </c>
    </row>
    <row r="18" spans="1:9" s="774" customFormat="1" ht="18" customHeight="1">
      <c r="A18" s="769"/>
      <c r="B18" s="770">
        <v>3110</v>
      </c>
      <c r="C18" s="708" t="s">
        <v>436</v>
      </c>
      <c r="D18" s="771"/>
      <c r="E18" s="771"/>
      <c r="F18" s="771"/>
      <c r="G18" s="771">
        <v>44281360</v>
      </c>
      <c r="H18" s="771">
        <v>-145231</v>
      </c>
      <c r="I18" s="771">
        <f t="shared" si="0"/>
        <v>44136129</v>
      </c>
    </row>
    <row r="19" spans="1:9" ht="18" customHeight="1">
      <c r="A19" s="197"/>
      <c r="B19" s="172">
        <v>85214</v>
      </c>
      <c r="C19" s="172" t="s">
        <v>474</v>
      </c>
      <c r="D19" s="199">
        <v>9258000</v>
      </c>
      <c r="E19" s="333">
        <f>E20</f>
        <v>-53800</v>
      </c>
      <c r="F19" s="333">
        <f>D19+E19</f>
        <v>9204200</v>
      </c>
      <c r="G19" s="333">
        <v>9258000</v>
      </c>
      <c r="H19" s="333">
        <f>H22</f>
        <v>-53800</v>
      </c>
      <c r="I19" s="333">
        <f t="shared" si="0"/>
        <v>9204200</v>
      </c>
    </row>
    <row r="20" spans="1:9" ht="25.5" customHeight="1">
      <c r="A20" s="92"/>
      <c r="B20" s="399"/>
      <c r="C20" s="505" t="s">
        <v>475</v>
      </c>
      <c r="D20" s="452">
        <v>9258000</v>
      </c>
      <c r="E20" s="452">
        <f>E21</f>
        <v>-53800</v>
      </c>
      <c r="F20" s="452">
        <f>D20+E20</f>
        <v>9204200</v>
      </c>
      <c r="G20" s="452"/>
      <c r="H20" s="452"/>
      <c r="I20" s="452"/>
    </row>
    <row r="21" spans="1:9" ht="25.5" customHeight="1">
      <c r="A21" s="92"/>
      <c r="B21" s="397">
        <v>2010</v>
      </c>
      <c r="C21" s="507" t="s">
        <v>476</v>
      </c>
      <c r="D21" s="453">
        <v>9258000</v>
      </c>
      <c r="E21" s="453">
        <v>-53800</v>
      </c>
      <c r="F21" s="453">
        <f>D21+E21</f>
        <v>9204200</v>
      </c>
      <c r="G21" s="453"/>
      <c r="H21" s="453"/>
      <c r="I21" s="453"/>
    </row>
    <row r="22" spans="1:9" ht="19.5" customHeight="1">
      <c r="A22" s="109"/>
      <c r="B22" s="404"/>
      <c r="C22" s="509" t="s">
        <v>477</v>
      </c>
      <c r="D22" s="466"/>
      <c r="E22" s="466"/>
      <c r="F22" s="466"/>
      <c r="G22" s="466">
        <v>9258000</v>
      </c>
      <c r="H22" s="466">
        <f>H23</f>
        <v>-53800</v>
      </c>
      <c r="I22" s="466">
        <f>SUM(G22:H22)</f>
        <v>9204200</v>
      </c>
    </row>
    <row r="23" spans="1:9" s="1" customFormat="1" ht="18" customHeight="1">
      <c r="A23" s="92"/>
      <c r="B23" s="397">
        <v>3110</v>
      </c>
      <c r="C23" s="397" t="s">
        <v>436</v>
      </c>
      <c r="D23" s="467"/>
      <c r="E23" s="467"/>
      <c r="F23" s="467"/>
      <c r="G23" s="467">
        <v>9256770</v>
      </c>
      <c r="H23" s="467">
        <v>-53800</v>
      </c>
      <c r="I23" s="467">
        <f>G23+H23</f>
        <v>9202970</v>
      </c>
    </row>
    <row r="24" spans="1:9" ht="24.75" customHeight="1" thickBot="1">
      <c r="A24" s="281"/>
      <c r="B24" s="177"/>
      <c r="C24" s="130" t="s">
        <v>556</v>
      </c>
      <c r="D24" s="131">
        <v>25923254</v>
      </c>
      <c r="E24" s="131">
        <f>E25+E31+E41+E48+E85</f>
        <v>711455</v>
      </c>
      <c r="F24" s="131">
        <f>SUM(D24:E24)</f>
        <v>26634709</v>
      </c>
      <c r="G24" s="131">
        <v>20362854</v>
      </c>
      <c r="H24" s="131">
        <f>H25+H31+H41+H48+H85</f>
        <v>711455</v>
      </c>
      <c r="I24" s="131">
        <f>SUM(G24:H24)</f>
        <v>21074309</v>
      </c>
    </row>
    <row r="25" spans="1:9" ht="18" customHeight="1" thickTop="1">
      <c r="A25" s="154">
        <v>700</v>
      </c>
      <c r="B25" s="196"/>
      <c r="C25" s="461" t="s">
        <v>603</v>
      </c>
      <c r="D25" s="133">
        <v>5756000</v>
      </c>
      <c r="E25" s="133">
        <f>E26</f>
        <v>394868</v>
      </c>
      <c r="F25" s="133">
        <f>SUM(D25:E25)</f>
        <v>6150868</v>
      </c>
      <c r="G25" s="133">
        <v>345000</v>
      </c>
      <c r="H25" s="133">
        <f>H26</f>
        <v>394868</v>
      </c>
      <c r="I25" s="133">
        <f>G25+H25</f>
        <v>739868</v>
      </c>
    </row>
    <row r="26" spans="1:9" ht="18" customHeight="1">
      <c r="A26" s="197"/>
      <c r="B26" s="172">
        <v>70005</v>
      </c>
      <c r="C26" s="442" t="s">
        <v>568</v>
      </c>
      <c r="D26" s="199">
        <v>5756000</v>
      </c>
      <c r="E26" s="333">
        <f>E27</f>
        <v>394868</v>
      </c>
      <c r="F26" s="333">
        <f>SUM(D26:E26)</f>
        <v>6150868</v>
      </c>
      <c r="G26" s="333">
        <v>345000</v>
      </c>
      <c r="H26" s="333">
        <f>H29</f>
        <v>394868</v>
      </c>
      <c r="I26" s="333">
        <f>G26+H26</f>
        <v>739868</v>
      </c>
    </row>
    <row r="27" spans="1:9" ht="25.5" customHeight="1">
      <c r="A27" s="92"/>
      <c r="B27" s="399"/>
      <c r="C27" s="445" t="s">
        <v>158</v>
      </c>
      <c r="D27" s="452">
        <v>345000</v>
      </c>
      <c r="E27" s="452">
        <f>E28</f>
        <v>394868</v>
      </c>
      <c r="F27" s="452">
        <f>SUM(D27:E27)</f>
        <v>739868</v>
      </c>
      <c r="G27" s="452"/>
      <c r="H27" s="452"/>
      <c r="I27" s="452"/>
    </row>
    <row r="28" spans="1:9" s="726" customFormat="1" ht="39" customHeight="1">
      <c r="A28" s="725"/>
      <c r="B28" s="136">
        <v>2110</v>
      </c>
      <c r="C28" s="739" t="s">
        <v>442</v>
      </c>
      <c r="D28" s="209">
        <v>345000</v>
      </c>
      <c r="E28" s="209">
        <v>394868</v>
      </c>
      <c r="F28" s="209">
        <f>SUM(D28:E28)</f>
        <v>739868</v>
      </c>
      <c r="G28" s="209"/>
      <c r="H28" s="209"/>
      <c r="I28" s="209"/>
    </row>
    <row r="29" spans="1:9" s="16" customFormat="1" ht="18.75" customHeight="1">
      <c r="A29" s="751"/>
      <c r="B29" s="90"/>
      <c r="C29" s="405" t="s">
        <v>88</v>
      </c>
      <c r="D29" s="204"/>
      <c r="E29" s="204"/>
      <c r="F29" s="204"/>
      <c r="G29" s="204">
        <v>345000</v>
      </c>
      <c r="H29" s="204">
        <f>H30</f>
        <v>394868</v>
      </c>
      <c r="I29" s="204">
        <f>G29+H29</f>
        <v>739868</v>
      </c>
    </row>
    <row r="30" spans="1:9" s="726" customFormat="1" ht="18.75" customHeight="1">
      <c r="A30" s="727"/>
      <c r="B30" s="136">
        <v>4590</v>
      </c>
      <c r="C30" s="708" t="s">
        <v>89</v>
      </c>
      <c r="D30" s="117"/>
      <c r="E30" s="117"/>
      <c r="F30" s="117"/>
      <c r="G30" s="117">
        <v>270000</v>
      </c>
      <c r="H30" s="117">
        <v>394868</v>
      </c>
      <c r="I30" s="117">
        <f>G30+H30</f>
        <v>664868</v>
      </c>
    </row>
    <row r="31" spans="1:9" ht="18.75" customHeight="1">
      <c r="A31" s="154">
        <v>750</v>
      </c>
      <c r="B31" s="196"/>
      <c r="C31" s="132" t="s">
        <v>526</v>
      </c>
      <c r="D31" s="133">
        <v>940144</v>
      </c>
      <c r="E31" s="133"/>
      <c r="F31" s="133">
        <f>SUM(D31:E31)</f>
        <v>940144</v>
      </c>
      <c r="G31" s="133">
        <v>940144</v>
      </c>
      <c r="H31" s="133">
        <f>H32</f>
        <v>0</v>
      </c>
      <c r="I31" s="133">
        <f>G31+H31</f>
        <v>940144</v>
      </c>
    </row>
    <row r="32" spans="1:9" ht="18.75" customHeight="1">
      <c r="A32" s="197"/>
      <c r="B32" s="172">
        <v>75045</v>
      </c>
      <c r="C32" s="491" t="s">
        <v>465</v>
      </c>
      <c r="D32" s="199">
        <v>106000</v>
      </c>
      <c r="E32" s="333"/>
      <c r="F32" s="333">
        <f>SUM(D32:E32)</f>
        <v>106000</v>
      </c>
      <c r="G32" s="333">
        <v>106000</v>
      </c>
      <c r="H32" s="333">
        <f>H33</f>
        <v>0</v>
      </c>
      <c r="I32" s="333">
        <f>G32+H32</f>
        <v>106000</v>
      </c>
    </row>
    <row r="33" spans="1:9" ht="18.75" customHeight="1">
      <c r="A33" s="105"/>
      <c r="B33" s="424"/>
      <c r="C33" s="877" t="s">
        <v>466</v>
      </c>
      <c r="D33" s="464"/>
      <c r="E33" s="464"/>
      <c r="F33" s="464"/>
      <c r="G33" s="464">
        <v>106000</v>
      </c>
      <c r="H33" s="464">
        <f>SUM(H34:H40)</f>
        <v>0</v>
      </c>
      <c r="I33" s="464">
        <f aca="true" t="shared" si="1" ref="I33:I40">G33+H33</f>
        <v>106000</v>
      </c>
    </row>
    <row r="34" spans="1:9" s="726" customFormat="1" ht="18.75" customHeight="1">
      <c r="A34" s="223"/>
      <c r="B34" s="136">
        <v>3030</v>
      </c>
      <c r="C34" s="708" t="s">
        <v>454</v>
      </c>
      <c r="D34" s="117"/>
      <c r="E34" s="117"/>
      <c r="F34" s="117"/>
      <c r="G34" s="117">
        <v>35000</v>
      </c>
      <c r="H34" s="117">
        <f>-3075-31925</f>
        <v>-35000</v>
      </c>
      <c r="I34" s="117">
        <f t="shared" si="1"/>
        <v>0</v>
      </c>
    </row>
    <row r="35" spans="1:9" s="726" customFormat="1" ht="18.75" customHeight="1">
      <c r="A35" s="223"/>
      <c r="B35" s="136">
        <v>4110</v>
      </c>
      <c r="C35" s="708" t="s">
        <v>529</v>
      </c>
      <c r="D35" s="117"/>
      <c r="E35" s="117"/>
      <c r="F35" s="117"/>
      <c r="G35" s="117">
        <v>4400</v>
      </c>
      <c r="H35" s="117">
        <v>-1135</v>
      </c>
      <c r="I35" s="117">
        <f t="shared" si="1"/>
        <v>3265</v>
      </c>
    </row>
    <row r="36" spans="1:9" s="726" customFormat="1" ht="18.75" customHeight="1">
      <c r="A36" s="223"/>
      <c r="B36" s="322">
        <v>4120</v>
      </c>
      <c r="C36" s="719" t="s">
        <v>530</v>
      </c>
      <c r="D36" s="720"/>
      <c r="E36" s="720"/>
      <c r="F36" s="720"/>
      <c r="G36" s="720">
        <v>600</v>
      </c>
      <c r="H36" s="720">
        <v>-135</v>
      </c>
      <c r="I36" s="720">
        <f t="shared" si="1"/>
        <v>465</v>
      </c>
    </row>
    <row r="37" spans="1:9" s="726" customFormat="1" ht="18.75" customHeight="1">
      <c r="A37" s="223"/>
      <c r="B37" s="322">
        <v>4170</v>
      </c>
      <c r="C37" s="719" t="s">
        <v>610</v>
      </c>
      <c r="D37" s="720"/>
      <c r="E37" s="720"/>
      <c r="F37" s="720"/>
      <c r="G37" s="720">
        <v>28000</v>
      </c>
      <c r="H37" s="720">
        <f>-2600+31925</f>
        <v>29325</v>
      </c>
      <c r="I37" s="720">
        <f t="shared" si="1"/>
        <v>57325</v>
      </c>
    </row>
    <row r="38" spans="1:9" s="726" customFormat="1" ht="18.75" customHeight="1">
      <c r="A38" s="223"/>
      <c r="B38" s="322">
        <v>4210</v>
      </c>
      <c r="C38" s="719" t="s">
        <v>525</v>
      </c>
      <c r="D38" s="720"/>
      <c r="E38" s="720"/>
      <c r="F38" s="720"/>
      <c r="G38" s="720">
        <v>6000</v>
      </c>
      <c r="H38" s="720">
        <v>1104</v>
      </c>
      <c r="I38" s="720">
        <f t="shared" si="1"/>
        <v>7104</v>
      </c>
    </row>
    <row r="39" spans="1:9" s="726" customFormat="1" ht="18.75" customHeight="1">
      <c r="A39" s="223"/>
      <c r="B39" s="322">
        <v>4260</v>
      </c>
      <c r="C39" s="719" t="s">
        <v>528</v>
      </c>
      <c r="D39" s="720"/>
      <c r="E39" s="720"/>
      <c r="F39" s="720"/>
      <c r="G39" s="720">
        <v>5000</v>
      </c>
      <c r="H39" s="720">
        <v>-1995</v>
      </c>
      <c r="I39" s="720">
        <f t="shared" si="1"/>
        <v>3005</v>
      </c>
    </row>
    <row r="40" spans="1:9" s="728" customFormat="1" ht="18.75" customHeight="1">
      <c r="A40" s="727"/>
      <c r="B40" s="136">
        <v>4300</v>
      </c>
      <c r="C40" s="710" t="s">
        <v>524</v>
      </c>
      <c r="D40" s="117"/>
      <c r="E40" s="117"/>
      <c r="F40" s="117"/>
      <c r="G40" s="117">
        <v>27000</v>
      </c>
      <c r="H40" s="117">
        <v>7836</v>
      </c>
      <c r="I40" s="117">
        <f t="shared" si="1"/>
        <v>34836</v>
      </c>
    </row>
    <row r="41" spans="1:9" ht="18.75" customHeight="1">
      <c r="A41" s="154">
        <v>752</v>
      </c>
      <c r="B41" s="196"/>
      <c r="C41" s="461" t="s">
        <v>225</v>
      </c>
      <c r="D41" s="133"/>
      <c r="E41" s="133">
        <f>E42</f>
        <v>1200</v>
      </c>
      <c r="F41" s="133">
        <f>SUM(D41:E41)</f>
        <v>1200</v>
      </c>
      <c r="G41" s="133"/>
      <c r="H41" s="133">
        <f>H42</f>
        <v>1200</v>
      </c>
      <c r="I41" s="133">
        <f>G41+H41</f>
        <v>1200</v>
      </c>
    </row>
    <row r="42" spans="1:9" ht="18.75" customHeight="1">
      <c r="A42" s="197"/>
      <c r="B42" s="172">
        <v>75212</v>
      </c>
      <c r="C42" s="442" t="s">
        <v>226</v>
      </c>
      <c r="D42" s="199"/>
      <c r="E42" s="333">
        <f>E43</f>
        <v>1200</v>
      </c>
      <c r="F42" s="333">
        <f>SUM(D42:E42)</f>
        <v>1200</v>
      </c>
      <c r="G42" s="333"/>
      <c r="H42" s="333">
        <f>H45</f>
        <v>1200</v>
      </c>
      <c r="I42" s="333">
        <f>G42+H42</f>
        <v>1200</v>
      </c>
    </row>
    <row r="43" spans="1:9" ht="18.75" customHeight="1">
      <c r="A43" s="92"/>
      <c r="B43" s="399"/>
      <c r="C43" s="445" t="s">
        <v>227</v>
      </c>
      <c r="D43" s="452"/>
      <c r="E43" s="452">
        <f>E44</f>
        <v>1200</v>
      </c>
      <c r="F43" s="452">
        <f>SUM(D43:E43)</f>
        <v>1200</v>
      </c>
      <c r="G43" s="452"/>
      <c r="H43" s="452"/>
      <c r="I43" s="452"/>
    </row>
    <row r="44" spans="1:9" s="726" customFormat="1" ht="40.5" customHeight="1">
      <c r="A44" s="725"/>
      <c r="B44" s="136">
        <v>2110</v>
      </c>
      <c r="C44" s="739" t="s">
        <v>442</v>
      </c>
      <c r="D44" s="209"/>
      <c r="E44" s="209">
        <v>1200</v>
      </c>
      <c r="F44" s="209">
        <f>SUM(D44:E44)</f>
        <v>1200</v>
      </c>
      <c r="G44" s="209"/>
      <c r="H44" s="209"/>
      <c r="I44" s="209"/>
    </row>
    <row r="45" spans="1:9" s="16" customFormat="1" ht="18.75" customHeight="1">
      <c r="A45" s="751"/>
      <c r="B45" s="90"/>
      <c r="C45" s="405" t="s">
        <v>98</v>
      </c>
      <c r="D45" s="204"/>
      <c r="E45" s="204"/>
      <c r="F45" s="204"/>
      <c r="G45" s="204"/>
      <c r="H45" s="204">
        <f>SUM(H46:H47)</f>
        <v>1200</v>
      </c>
      <c r="I45" s="204">
        <f>G45+H45</f>
        <v>1200</v>
      </c>
    </row>
    <row r="46" spans="1:9" s="726" customFormat="1" ht="18.75" customHeight="1">
      <c r="A46" s="223"/>
      <c r="B46" s="136">
        <v>4170</v>
      </c>
      <c r="C46" s="708" t="s">
        <v>610</v>
      </c>
      <c r="D46" s="117"/>
      <c r="E46" s="117"/>
      <c r="F46" s="117"/>
      <c r="G46" s="117"/>
      <c r="H46" s="117">
        <v>500</v>
      </c>
      <c r="I46" s="117">
        <f>G46+H46</f>
        <v>500</v>
      </c>
    </row>
    <row r="47" spans="1:9" s="726" customFormat="1" ht="18.75" customHeight="1">
      <c r="A47" s="727"/>
      <c r="B47" s="136">
        <v>4210</v>
      </c>
      <c r="C47" s="708" t="s">
        <v>525</v>
      </c>
      <c r="D47" s="117"/>
      <c r="E47" s="117"/>
      <c r="F47" s="117"/>
      <c r="G47" s="117"/>
      <c r="H47" s="117">
        <v>700</v>
      </c>
      <c r="I47" s="117">
        <f>G47+H47</f>
        <v>700</v>
      </c>
    </row>
    <row r="48" spans="1:9" ht="18.75" customHeight="1">
      <c r="A48" s="154">
        <v>852</v>
      </c>
      <c r="B48" s="196"/>
      <c r="C48" s="132" t="s">
        <v>511</v>
      </c>
      <c r="D48" s="133">
        <v>2441000</v>
      </c>
      <c r="E48" s="133">
        <f>E49</f>
        <v>292800</v>
      </c>
      <c r="F48" s="133">
        <f aca="true" t="shared" si="2" ref="F48:F53">D48+E48</f>
        <v>2733800</v>
      </c>
      <c r="G48" s="133">
        <v>2374000</v>
      </c>
      <c r="H48" s="133">
        <f>H49</f>
        <v>292800</v>
      </c>
      <c r="I48" s="133">
        <f>G48+H48</f>
        <v>2666800</v>
      </c>
    </row>
    <row r="49" spans="1:9" ht="18.75" customHeight="1">
      <c r="A49" s="197"/>
      <c r="B49" s="172">
        <v>85203</v>
      </c>
      <c r="C49" s="442" t="s">
        <v>485</v>
      </c>
      <c r="D49" s="199">
        <v>2190000</v>
      </c>
      <c r="E49" s="333">
        <f>E50+E52</f>
        <v>292800</v>
      </c>
      <c r="F49" s="333">
        <f t="shared" si="2"/>
        <v>2482800</v>
      </c>
      <c r="G49" s="333">
        <v>2123000</v>
      </c>
      <c r="H49" s="333">
        <f>H54+H69</f>
        <v>292800</v>
      </c>
      <c r="I49" s="333">
        <f>G49+H49</f>
        <v>2415800</v>
      </c>
    </row>
    <row r="50" spans="1:9" ht="26.25" customHeight="1">
      <c r="A50" s="92"/>
      <c r="B50" s="399"/>
      <c r="C50" s="445" t="s">
        <v>486</v>
      </c>
      <c r="D50" s="452">
        <v>2112000</v>
      </c>
      <c r="E50" s="452">
        <f>E51</f>
        <v>123800</v>
      </c>
      <c r="F50" s="452">
        <f t="shared" si="2"/>
        <v>2235800</v>
      </c>
      <c r="G50" s="452"/>
      <c r="H50" s="452"/>
      <c r="I50" s="452"/>
    </row>
    <row r="51" spans="1:9" ht="39.75" customHeight="1">
      <c r="A51" s="92"/>
      <c r="B51" s="397">
        <v>2110</v>
      </c>
      <c r="C51" s="449" t="s">
        <v>442</v>
      </c>
      <c r="D51" s="453">
        <v>2112000</v>
      </c>
      <c r="E51" s="453">
        <f>53800+70000</f>
        <v>123800</v>
      </c>
      <c r="F51" s="453">
        <f t="shared" si="2"/>
        <v>2235800</v>
      </c>
      <c r="G51" s="453"/>
      <c r="H51" s="453"/>
      <c r="I51" s="453"/>
    </row>
    <row r="52" spans="1:9" ht="26.25" customHeight="1">
      <c r="A52" s="92"/>
      <c r="B52" s="399"/>
      <c r="C52" s="524" t="s">
        <v>248</v>
      </c>
      <c r="D52" s="452">
        <v>11000</v>
      </c>
      <c r="E52" s="452">
        <f>E53</f>
        <v>169000</v>
      </c>
      <c r="F52" s="452">
        <f t="shared" si="2"/>
        <v>180000</v>
      </c>
      <c r="G52" s="452"/>
      <c r="H52" s="452"/>
      <c r="I52" s="452"/>
    </row>
    <row r="53" spans="1:9" ht="39.75" customHeight="1">
      <c r="A53" s="92"/>
      <c r="B53" s="397">
        <v>6410</v>
      </c>
      <c r="C53" s="525" t="s">
        <v>281</v>
      </c>
      <c r="D53" s="453">
        <v>11000</v>
      </c>
      <c r="E53" s="453">
        <f>10000+159000</f>
        <v>169000</v>
      </c>
      <c r="F53" s="453">
        <f t="shared" si="2"/>
        <v>180000</v>
      </c>
      <c r="G53" s="453"/>
      <c r="H53" s="453"/>
      <c r="I53" s="453"/>
    </row>
    <row r="54" spans="1:9" ht="39.75" customHeight="1">
      <c r="A54" s="109"/>
      <c r="B54" s="396"/>
      <c r="C54" s="528" t="s">
        <v>488</v>
      </c>
      <c r="D54" s="735"/>
      <c r="E54" s="735"/>
      <c r="F54" s="735"/>
      <c r="G54" s="735">
        <v>75600</v>
      </c>
      <c r="H54" s="735">
        <f>H55+H58+H64+H67</f>
        <v>63800</v>
      </c>
      <c r="I54" s="735">
        <f>SUM(G54:H54)</f>
        <v>139400</v>
      </c>
    </row>
    <row r="55" spans="1:9" ht="18.75" customHeight="1">
      <c r="A55" s="109"/>
      <c r="B55" s="92"/>
      <c r="C55" s="418" t="s">
        <v>430</v>
      </c>
      <c r="D55" s="429"/>
      <c r="E55" s="429"/>
      <c r="F55" s="429"/>
      <c r="G55" s="429">
        <v>40000</v>
      </c>
      <c r="H55" s="429">
        <f>SUM(H56:H57)</f>
        <v>21800</v>
      </c>
      <c r="I55" s="429">
        <f>G55+H55</f>
        <v>61800</v>
      </c>
    </row>
    <row r="56" spans="1:9" ht="18.75" customHeight="1">
      <c r="A56" s="109"/>
      <c r="B56" s="111">
        <v>4010</v>
      </c>
      <c r="C56" s="10" t="s">
        <v>576</v>
      </c>
      <c r="D56" s="398"/>
      <c r="E56" s="398"/>
      <c r="F56" s="398"/>
      <c r="G56" s="398">
        <v>35000</v>
      </c>
      <c r="H56" s="398">
        <v>19800</v>
      </c>
      <c r="I56" s="398">
        <f aca="true" t="shared" si="3" ref="I56:I66">G56+H56</f>
        <v>54800</v>
      </c>
    </row>
    <row r="57" spans="1:9" ht="18.75" customHeight="1">
      <c r="A57" s="109"/>
      <c r="B57" s="162">
        <v>4170</v>
      </c>
      <c r="C57" s="421" t="s">
        <v>610</v>
      </c>
      <c r="D57" s="428"/>
      <c r="E57" s="428"/>
      <c r="F57" s="428"/>
      <c r="G57" s="428">
        <v>5000</v>
      </c>
      <c r="H57" s="428">
        <v>2000</v>
      </c>
      <c r="I57" s="428">
        <f t="shared" si="3"/>
        <v>7000</v>
      </c>
    </row>
    <row r="58" spans="1:9" ht="18.75" customHeight="1">
      <c r="A58" s="109"/>
      <c r="B58" s="108"/>
      <c r="C58" s="405" t="s">
        <v>570</v>
      </c>
      <c r="D58" s="408"/>
      <c r="E58" s="408"/>
      <c r="F58" s="408"/>
      <c r="G58" s="408">
        <v>27520</v>
      </c>
      <c r="H58" s="408">
        <f>SUM(H59:H63)</f>
        <v>29980</v>
      </c>
      <c r="I58" s="408">
        <f t="shared" si="3"/>
        <v>57500</v>
      </c>
    </row>
    <row r="59" spans="1:9" ht="18.75" customHeight="1">
      <c r="A59" s="109"/>
      <c r="B59" s="111">
        <v>4210</v>
      </c>
      <c r="C59" s="10" t="s">
        <v>525</v>
      </c>
      <c r="D59" s="398"/>
      <c r="E59" s="398"/>
      <c r="F59" s="398"/>
      <c r="G59" s="398">
        <v>6000</v>
      </c>
      <c r="H59" s="398">
        <v>16000</v>
      </c>
      <c r="I59" s="398">
        <f t="shared" si="3"/>
        <v>22000</v>
      </c>
    </row>
    <row r="60" spans="1:9" ht="18.75" customHeight="1">
      <c r="A60" s="109"/>
      <c r="B60" s="162">
        <v>4220</v>
      </c>
      <c r="C60" s="421" t="s">
        <v>82</v>
      </c>
      <c r="D60" s="428"/>
      <c r="E60" s="428"/>
      <c r="F60" s="428"/>
      <c r="G60" s="428">
        <v>10500</v>
      </c>
      <c r="H60" s="428">
        <v>6500</v>
      </c>
      <c r="I60" s="428">
        <f t="shared" si="3"/>
        <v>17000</v>
      </c>
    </row>
    <row r="61" spans="1:9" ht="18.75" customHeight="1">
      <c r="A61" s="109"/>
      <c r="B61" s="111">
        <v>4260</v>
      </c>
      <c r="C61" s="116" t="s">
        <v>528</v>
      </c>
      <c r="D61" s="117"/>
      <c r="E61" s="117"/>
      <c r="F61" s="117"/>
      <c r="G61" s="117">
        <v>8550</v>
      </c>
      <c r="H61" s="117">
        <v>3150</v>
      </c>
      <c r="I61" s="117">
        <f t="shared" si="3"/>
        <v>11700</v>
      </c>
    </row>
    <row r="62" spans="1:9" ht="18.75" customHeight="1">
      <c r="A62" s="109"/>
      <c r="B62" s="111">
        <v>4300</v>
      </c>
      <c r="C62" s="10" t="s">
        <v>524</v>
      </c>
      <c r="D62" s="398"/>
      <c r="E62" s="398"/>
      <c r="F62" s="398"/>
      <c r="G62" s="398">
        <v>1000</v>
      </c>
      <c r="H62" s="398">
        <v>4000</v>
      </c>
      <c r="I62" s="398">
        <f t="shared" si="3"/>
        <v>5000</v>
      </c>
    </row>
    <row r="63" spans="1:9" ht="18.75" customHeight="1">
      <c r="A63" s="111"/>
      <c r="B63" s="162">
        <v>4440</v>
      </c>
      <c r="C63" s="421" t="s">
        <v>575</v>
      </c>
      <c r="D63" s="428"/>
      <c r="E63" s="428"/>
      <c r="F63" s="428"/>
      <c r="G63" s="428">
        <v>1470</v>
      </c>
      <c r="H63" s="428">
        <v>330</v>
      </c>
      <c r="I63" s="428">
        <f t="shared" si="3"/>
        <v>1800</v>
      </c>
    </row>
    <row r="64" spans="1:9" ht="18.75" customHeight="1">
      <c r="A64" s="109"/>
      <c r="B64" s="92"/>
      <c r="C64" s="234" t="s">
        <v>58</v>
      </c>
      <c r="D64" s="204"/>
      <c r="E64" s="204"/>
      <c r="F64" s="204"/>
      <c r="G64" s="204">
        <v>8080</v>
      </c>
      <c r="H64" s="204">
        <f>SUM(H65:H66)</f>
        <v>2020</v>
      </c>
      <c r="I64" s="204">
        <f t="shared" si="3"/>
        <v>10100</v>
      </c>
    </row>
    <row r="65" spans="1:9" s="1" customFormat="1" ht="18" customHeight="1">
      <c r="A65" s="92"/>
      <c r="B65" s="111">
        <v>4110</v>
      </c>
      <c r="C65" s="10" t="s">
        <v>529</v>
      </c>
      <c r="D65" s="398"/>
      <c r="E65" s="398"/>
      <c r="F65" s="398"/>
      <c r="G65" s="398">
        <v>7100</v>
      </c>
      <c r="H65" s="398">
        <v>1700</v>
      </c>
      <c r="I65" s="398">
        <f t="shared" si="3"/>
        <v>8800</v>
      </c>
    </row>
    <row r="66" spans="1:9" ht="18.75" customHeight="1">
      <c r="A66" s="92"/>
      <c r="B66" s="111">
        <v>4120</v>
      </c>
      <c r="C66" s="10" t="s">
        <v>530</v>
      </c>
      <c r="D66" s="398"/>
      <c r="E66" s="398"/>
      <c r="F66" s="398"/>
      <c r="G66" s="398">
        <v>980</v>
      </c>
      <c r="H66" s="398">
        <v>320</v>
      </c>
      <c r="I66" s="398">
        <f t="shared" si="3"/>
        <v>1300</v>
      </c>
    </row>
    <row r="67" spans="1:9" ht="19.5" customHeight="1">
      <c r="A67" s="109"/>
      <c r="B67" s="108"/>
      <c r="C67" s="180" t="s">
        <v>152</v>
      </c>
      <c r="D67" s="184"/>
      <c r="E67" s="184"/>
      <c r="F67" s="184"/>
      <c r="G67" s="184"/>
      <c r="H67" s="184">
        <f>H68</f>
        <v>10000</v>
      </c>
      <c r="I67" s="184">
        <f aca="true" t="shared" si="4" ref="I67:I86">G67+H67</f>
        <v>10000</v>
      </c>
    </row>
    <row r="68" spans="1:9" s="1" customFormat="1" ht="18" customHeight="1">
      <c r="A68" s="92"/>
      <c r="B68" s="111">
        <v>6060</v>
      </c>
      <c r="C68" s="10" t="s">
        <v>338</v>
      </c>
      <c r="D68" s="398"/>
      <c r="E68" s="398"/>
      <c r="F68" s="398"/>
      <c r="G68" s="398"/>
      <c r="H68" s="398">
        <v>10000</v>
      </c>
      <c r="I68" s="398">
        <f t="shared" si="4"/>
        <v>10000</v>
      </c>
    </row>
    <row r="69" spans="1:9" s="1" customFormat="1" ht="26.25" customHeight="1">
      <c r="A69" s="92"/>
      <c r="B69" s="109"/>
      <c r="C69" s="528" t="s">
        <v>90</v>
      </c>
      <c r="D69" s="528"/>
      <c r="E69" s="528"/>
      <c r="F69" s="528"/>
      <c r="G69" s="528"/>
      <c r="H69" s="735">
        <f>H70+H72+H77+H80</f>
        <v>229000</v>
      </c>
      <c r="I69" s="735">
        <f t="shared" si="4"/>
        <v>229000</v>
      </c>
    </row>
    <row r="70" spans="1:9" s="1" customFormat="1" ht="18" customHeight="1">
      <c r="A70" s="92"/>
      <c r="B70" s="109"/>
      <c r="C70" s="418" t="s">
        <v>430</v>
      </c>
      <c r="D70" s="429"/>
      <c r="E70" s="429"/>
      <c r="F70" s="429"/>
      <c r="G70" s="429"/>
      <c r="H70" s="429">
        <f>H71</f>
        <v>3050</v>
      </c>
      <c r="I70" s="429">
        <f t="shared" si="4"/>
        <v>3050</v>
      </c>
    </row>
    <row r="71" spans="1:9" s="1" customFormat="1" ht="18" customHeight="1">
      <c r="A71" s="92"/>
      <c r="B71" s="111">
        <v>4010</v>
      </c>
      <c r="C71" s="10" t="s">
        <v>576</v>
      </c>
      <c r="D71" s="398"/>
      <c r="E71" s="398"/>
      <c r="F71" s="398"/>
      <c r="G71" s="398"/>
      <c r="H71" s="398">
        <v>3050</v>
      </c>
      <c r="I71" s="398">
        <f t="shared" si="4"/>
        <v>3050</v>
      </c>
    </row>
    <row r="72" spans="1:9" s="1" customFormat="1" ht="18" customHeight="1">
      <c r="A72" s="92"/>
      <c r="B72" s="165"/>
      <c r="C72" s="405" t="s">
        <v>570</v>
      </c>
      <c r="D72" s="408"/>
      <c r="E72" s="408"/>
      <c r="F72" s="408"/>
      <c r="G72" s="408"/>
      <c r="H72" s="408">
        <f>SUM(H73:H76)</f>
        <v>66335</v>
      </c>
      <c r="I72" s="408">
        <f t="shared" si="4"/>
        <v>66335</v>
      </c>
    </row>
    <row r="73" spans="1:9" s="1" customFormat="1" ht="18" customHeight="1">
      <c r="A73" s="92"/>
      <c r="B73" s="111">
        <v>4210</v>
      </c>
      <c r="C73" s="10" t="s">
        <v>525</v>
      </c>
      <c r="D73" s="398"/>
      <c r="E73" s="398"/>
      <c r="F73" s="398"/>
      <c r="G73" s="398"/>
      <c r="H73" s="398">
        <v>35200</v>
      </c>
      <c r="I73" s="398">
        <f t="shared" si="4"/>
        <v>35200</v>
      </c>
    </row>
    <row r="74" spans="1:9" s="1" customFormat="1" ht="18" customHeight="1">
      <c r="A74" s="92"/>
      <c r="B74" s="162">
        <v>4260</v>
      </c>
      <c r="C74" s="116" t="s">
        <v>528</v>
      </c>
      <c r="D74" s="117"/>
      <c r="E74" s="117"/>
      <c r="F74" s="117"/>
      <c r="G74" s="117"/>
      <c r="H74" s="117">
        <v>1935</v>
      </c>
      <c r="I74" s="117">
        <f t="shared" si="4"/>
        <v>1935</v>
      </c>
    </row>
    <row r="75" spans="1:9" s="1" customFormat="1" ht="18" customHeight="1">
      <c r="A75" s="92"/>
      <c r="B75" s="162">
        <v>4270</v>
      </c>
      <c r="C75" s="116" t="s">
        <v>182</v>
      </c>
      <c r="D75" s="117"/>
      <c r="E75" s="117"/>
      <c r="F75" s="117"/>
      <c r="G75" s="117"/>
      <c r="H75" s="117">
        <v>26800</v>
      </c>
      <c r="I75" s="117">
        <f t="shared" si="4"/>
        <v>26800</v>
      </c>
    </row>
    <row r="76" spans="1:9" s="1" customFormat="1" ht="18" customHeight="1">
      <c r="A76" s="92"/>
      <c r="B76" s="162">
        <v>4300</v>
      </c>
      <c r="C76" s="10" t="s">
        <v>524</v>
      </c>
      <c r="D76" s="398"/>
      <c r="E76" s="398"/>
      <c r="F76" s="398"/>
      <c r="G76" s="398"/>
      <c r="H76" s="398">
        <v>2400</v>
      </c>
      <c r="I76" s="398">
        <f t="shared" si="4"/>
        <v>2400</v>
      </c>
    </row>
    <row r="77" spans="1:9" s="1" customFormat="1" ht="18" customHeight="1">
      <c r="A77" s="92"/>
      <c r="B77" s="165"/>
      <c r="C77" s="180" t="s">
        <v>58</v>
      </c>
      <c r="D77" s="184"/>
      <c r="E77" s="184"/>
      <c r="F77" s="184"/>
      <c r="G77" s="184"/>
      <c r="H77" s="184">
        <f>SUM(H78:H79)</f>
        <v>615</v>
      </c>
      <c r="I77" s="184">
        <f t="shared" si="4"/>
        <v>615</v>
      </c>
    </row>
    <row r="78" spans="1:9" s="1" customFormat="1" ht="18" customHeight="1">
      <c r="A78" s="92"/>
      <c r="B78" s="111">
        <v>4110</v>
      </c>
      <c r="C78" s="10" t="s">
        <v>529</v>
      </c>
      <c r="D78" s="398"/>
      <c r="E78" s="398"/>
      <c r="F78" s="398"/>
      <c r="G78" s="398"/>
      <c r="H78" s="398">
        <v>540</v>
      </c>
      <c r="I78" s="398">
        <f t="shared" si="4"/>
        <v>540</v>
      </c>
    </row>
    <row r="79" spans="1:9" s="1" customFormat="1" ht="18" customHeight="1">
      <c r="A79" s="92"/>
      <c r="B79" s="162">
        <v>4120</v>
      </c>
      <c r="C79" s="421" t="s">
        <v>530</v>
      </c>
      <c r="D79" s="428"/>
      <c r="E79" s="428"/>
      <c r="F79" s="428"/>
      <c r="G79" s="428"/>
      <c r="H79" s="428">
        <v>75</v>
      </c>
      <c r="I79" s="428">
        <f t="shared" si="4"/>
        <v>75</v>
      </c>
    </row>
    <row r="80" spans="1:9" s="1" customFormat="1" ht="18" customHeight="1">
      <c r="A80" s="92"/>
      <c r="B80" s="109"/>
      <c r="C80" s="180" t="s">
        <v>615</v>
      </c>
      <c r="D80" s="184"/>
      <c r="E80" s="184"/>
      <c r="F80" s="184"/>
      <c r="G80" s="184"/>
      <c r="H80" s="184">
        <f>H81+H83</f>
        <v>159000</v>
      </c>
      <c r="I80" s="184">
        <f t="shared" si="4"/>
        <v>159000</v>
      </c>
    </row>
    <row r="81" spans="1:9" s="11" customFormat="1" ht="18" customHeight="1">
      <c r="A81" s="109"/>
      <c r="B81" s="109"/>
      <c r="C81" s="330" t="s">
        <v>159</v>
      </c>
      <c r="D81" s="383"/>
      <c r="E81" s="383"/>
      <c r="F81" s="383"/>
      <c r="G81" s="383"/>
      <c r="H81" s="383">
        <f>H82</f>
        <v>150000</v>
      </c>
      <c r="I81" s="383">
        <f t="shared" si="4"/>
        <v>150000</v>
      </c>
    </row>
    <row r="82" spans="1:10" s="1" customFormat="1" ht="18.75" customHeight="1">
      <c r="A82" s="439"/>
      <c r="B82" s="989">
        <v>6050</v>
      </c>
      <c r="C82" s="397" t="s">
        <v>606</v>
      </c>
      <c r="D82" s="409"/>
      <c r="E82" s="409"/>
      <c r="F82" s="409"/>
      <c r="G82" s="409"/>
      <c r="H82" s="409">
        <v>150000</v>
      </c>
      <c r="I82" s="409">
        <f t="shared" si="4"/>
        <v>150000</v>
      </c>
      <c r="J82" s="990"/>
    </row>
    <row r="83" spans="1:10" s="1" customFormat="1" ht="18.75" customHeight="1">
      <c r="A83" s="439"/>
      <c r="B83" s="504"/>
      <c r="C83" s="1131" t="s">
        <v>339</v>
      </c>
      <c r="D83" s="1134"/>
      <c r="E83" s="1134"/>
      <c r="F83" s="1134"/>
      <c r="G83" s="1134"/>
      <c r="H83" s="1134">
        <f>H84</f>
        <v>9000</v>
      </c>
      <c r="I83" s="1134">
        <f t="shared" si="4"/>
        <v>9000</v>
      </c>
      <c r="J83" s="990"/>
    </row>
    <row r="84" spans="1:12" s="11" customFormat="1" ht="18.75" customHeight="1">
      <c r="A84" s="996"/>
      <c r="B84" s="397">
        <v>6060</v>
      </c>
      <c r="C84" s="10" t="s">
        <v>338</v>
      </c>
      <c r="D84" s="398"/>
      <c r="E84" s="398"/>
      <c r="F84" s="398"/>
      <c r="G84" s="398"/>
      <c r="H84" s="398">
        <v>9000</v>
      </c>
      <c r="I84" s="398">
        <f t="shared" si="4"/>
        <v>9000</v>
      </c>
      <c r="J84" s="991"/>
      <c r="K84" s="1"/>
      <c r="L84" s="1"/>
    </row>
    <row r="85" spans="1:9" ht="18.75" customHeight="1">
      <c r="A85" s="154">
        <v>853</v>
      </c>
      <c r="B85" s="196"/>
      <c r="C85" s="461" t="s">
        <v>560</v>
      </c>
      <c r="D85" s="133">
        <v>505585</v>
      </c>
      <c r="E85" s="133">
        <f>E86</f>
        <v>22587</v>
      </c>
      <c r="F85" s="133">
        <f>D85+E85</f>
        <v>528172</v>
      </c>
      <c r="G85" s="133">
        <v>505585</v>
      </c>
      <c r="H85" s="133">
        <f>H86</f>
        <v>22587</v>
      </c>
      <c r="I85" s="133">
        <f t="shared" si="4"/>
        <v>528172</v>
      </c>
    </row>
    <row r="86" spans="1:9" ht="18.75" customHeight="1">
      <c r="A86" s="197"/>
      <c r="B86" s="172">
        <v>85334</v>
      </c>
      <c r="C86" s="442" t="s">
        <v>440</v>
      </c>
      <c r="D86" s="199">
        <v>9585</v>
      </c>
      <c r="E86" s="333">
        <f>E87+E89</f>
        <v>22587</v>
      </c>
      <c r="F86" s="333">
        <f>D86+E86</f>
        <v>32172</v>
      </c>
      <c r="G86" s="333">
        <v>9585</v>
      </c>
      <c r="H86" s="333">
        <f>H89</f>
        <v>22587</v>
      </c>
      <c r="I86" s="333">
        <f t="shared" si="4"/>
        <v>32172</v>
      </c>
    </row>
    <row r="87" spans="1:9" ht="18.75" customHeight="1">
      <c r="A87" s="92"/>
      <c r="B87" s="399"/>
      <c r="C87" s="445" t="s">
        <v>441</v>
      </c>
      <c r="D87" s="452">
        <v>9585</v>
      </c>
      <c r="E87" s="452">
        <f>E88</f>
        <v>22587</v>
      </c>
      <c r="F87" s="452">
        <f>D87+E87</f>
        <v>32172</v>
      </c>
      <c r="G87" s="452"/>
      <c r="H87" s="452"/>
      <c r="I87" s="452"/>
    </row>
    <row r="88" spans="1:9" ht="39.75" customHeight="1">
      <c r="A88" s="92"/>
      <c r="B88" s="397">
        <v>2110</v>
      </c>
      <c r="C88" s="449" t="s">
        <v>442</v>
      </c>
      <c r="D88" s="453">
        <v>9585</v>
      </c>
      <c r="E88" s="453">
        <f>16383+6204</f>
        <v>22587</v>
      </c>
      <c r="F88" s="453">
        <f>D88+E88</f>
        <v>32172</v>
      </c>
      <c r="G88" s="453"/>
      <c r="H88" s="453"/>
      <c r="I88" s="453"/>
    </row>
    <row r="89" spans="1:9" ht="19.5" customHeight="1">
      <c r="A89" s="109"/>
      <c r="B89" s="92"/>
      <c r="C89" s="405" t="s">
        <v>443</v>
      </c>
      <c r="D89" s="184"/>
      <c r="E89" s="184"/>
      <c r="F89" s="184"/>
      <c r="G89" s="184">
        <v>9585</v>
      </c>
      <c r="H89" s="184">
        <f>SUM(H90:H91)</f>
        <v>22587</v>
      </c>
      <c r="I89" s="184">
        <f>G89+H89</f>
        <v>32172</v>
      </c>
    </row>
    <row r="90" spans="1:9" s="1" customFormat="1" ht="18" customHeight="1">
      <c r="A90" s="105"/>
      <c r="B90" s="111">
        <v>3110</v>
      </c>
      <c r="C90" s="708" t="s">
        <v>436</v>
      </c>
      <c r="D90" s="398"/>
      <c r="E90" s="398"/>
      <c r="F90" s="398"/>
      <c r="G90" s="398">
        <v>5805</v>
      </c>
      <c r="H90" s="398">
        <f>16383+6204</f>
        <v>22587</v>
      </c>
      <c r="I90" s="398">
        <f>G90+H90</f>
        <v>28392</v>
      </c>
    </row>
    <row r="94" ht="12.75">
      <c r="E94" s="17" t="s">
        <v>24</v>
      </c>
    </row>
    <row r="95" ht="12.75">
      <c r="E95" s="17" t="s">
        <v>23</v>
      </c>
    </row>
    <row r="96" ht="12.75">
      <c r="E96" s="17" t="s">
        <v>22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6692913385826772" header="0.5118110236220472" footer="0.5118110236220472"/>
  <pageSetup firstPageNumber="55" useFirstPageNumber="1" horizontalDpi="300" verticalDpi="300" orientation="landscape" paperSize="9" scale="7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75" workbookViewId="0" topLeftCell="A31">
      <selection activeCell="E69" sqref="E69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375" style="0" customWidth="1"/>
    <col min="5" max="8" width="13.75390625" style="0" customWidth="1"/>
    <col min="9" max="12" width="11.375" style="25" customWidth="1"/>
    <col min="13" max="16384" width="11.375" style="0" customWidth="1"/>
  </cols>
  <sheetData>
    <row r="1" spans="1:8" ht="15.75" customHeight="1">
      <c r="A1" s="38"/>
      <c r="B1" s="38"/>
      <c r="C1" s="38"/>
      <c r="D1" s="38"/>
      <c r="E1" s="39"/>
      <c r="F1" s="39"/>
      <c r="G1" s="40" t="s">
        <v>131</v>
      </c>
      <c r="H1" s="39"/>
    </row>
    <row r="2" spans="1:8" ht="15.75" customHeight="1">
      <c r="A2" s="38"/>
      <c r="B2" s="41"/>
      <c r="C2" s="38"/>
      <c r="D2" s="38"/>
      <c r="E2" s="39"/>
      <c r="F2" s="39"/>
      <c r="G2" s="1" t="s">
        <v>186</v>
      </c>
      <c r="H2" s="39"/>
    </row>
    <row r="3" spans="1:8" ht="15.75" customHeight="1">
      <c r="A3" s="38"/>
      <c r="B3" s="38"/>
      <c r="C3" s="42" t="s">
        <v>585</v>
      </c>
      <c r="D3" s="38"/>
      <c r="E3" s="39"/>
      <c r="F3" s="38"/>
      <c r="G3" s="1" t="s">
        <v>512</v>
      </c>
      <c r="H3" s="39"/>
    </row>
    <row r="4" spans="1:8" ht="15.75" customHeight="1">
      <c r="A4" s="38"/>
      <c r="B4" s="38"/>
      <c r="C4" s="38"/>
      <c r="D4" s="38"/>
      <c r="E4" s="39"/>
      <c r="F4" s="38"/>
      <c r="G4" s="1" t="s">
        <v>265</v>
      </c>
      <c r="H4" s="39"/>
    </row>
    <row r="5" spans="1:8" ht="10.5" customHeight="1">
      <c r="A5" s="38"/>
      <c r="B5" s="38"/>
      <c r="C5" s="41"/>
      <c r="D5" s="39"/>
      <c r="E5" s="39"/>
      <c r="F5" s="39"/>
      <c r="G5" s="39"/>
      <c r="H5" s="39"/>
    </row>
    <row r="6" spans="1:8" ht="13.5" thickBot="1">
      <c r="A6" s="38"/>
      <c r="B6" s="38"/>
      <c r="C6" s="41"/>
      <c r="D6" s="39"/>
      <c r="E6" s="43"/>
      <c r="F6" s="43"/>
      <c r="G6" s="43"/>
      <c r="H6" s="44" t="s">
        <v>514</v>
      </c>
    </row>
    <row r="7" spans="1:8" ht="38.25" customHeight="1" thickBot="1" thickTop="1">
      <c r="A7" s="380" t="s">
        <v>549</v>
      </c>
      <c r="B7" s="156" t="s">
        <v>450</v>
      </c>
      <c r="C7" s="155" t="s">
        <v>493</v>
      </c>
      <c r="D7" s="45" t="s">
        <v>601</v>
      </c>
      <c r="E7" s="46" t="s">
        <v>494</v>
      </c>
      <c r="F7" s="46" t="s">
        <v>495</v>
      </c>
      <c r="G7" s="46" t="s">
        <v>496</v>
      </c>
      <c r="H7" s="46" t="s">
        <v>497</v>
      </c>
    </row>
    <row r="8" spans="1:8" ht="12.75" customHeight="1" thickBot="1" thickTop="1">
      <c r="A8" s="381">
        <v>1</v>
      </c>
      <c r="B8" s="47">
        <v>2</v>
      </c>
      <c r="C8" s="157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</row>
    <row r="9" spans="1:8" ht="24" customHeight="1" thickBot="1" thickTop="1">
      <c r="A9" s="373"/>
      <c r="B9" s="310"/>
      <c r="C9" s="311" t="s">
        <v>498</v>
      </c>
      <c r="D9" s="312">
        <f>SUM(E9:H9)</f>
        <v>775327711</v>
      </c>
      <c r="E9" s="313">
        <f>198256620+E15+E16+E19+E23+E27+E30+E34+E36+E39+E42</f>
        <v>198256620</v>
      </c>
      <c r="F9" s="313">
        <f>204423922+F15+F16+F19+F23+F27+F30+F34+F36+F39+F42</f>
        <v>204489610</v>
      </c>
      <c r="G9" s="313">
        <f>189100261+G15+G16+G19+G23+G27+G30+G34+G36+G39+G42</f>
        <v>189653629</v>
      </c>
      <c r="H9" s="313">
        <f>182677052+H15+H16+H19+H23+H27+H30+H34+H36+H39+H42</f>
        <v>182927852</v>
      </c>
    </row>
    <row r="10" spans="1:8" ht="22.5" customHeight="1" thickBot="1" thickTop="1">
      <c r="A10" s="374"/>
      <c r="B10" s="314"/>
      <c r="C10" s="315" t="s">
        <v>554</v>
      </c>
      <c r="D10" s="316">
        <f aca="true" t="shared" si="0" ref="D10:D15">SUM(E10:H10)</f>
        <v>761740151</v>
      </c>
      <c r="E10" s="316">
        <f>194572778+E15+E16+E19+E23+E27+E30+E34+E36+E39+E42</f>
        <v>194572778</v>
      </c>
      <c r="F10" s="316">
        <f>200691003+F15+F16+F19+F23+F27+F30+F34+F36+F39+F42</f>
        <v>200756691</v>
      </c>
      <c r="G10" s="316">
        <f>186720644+G15+G16+G19+G23+G27+G30+G34+G36+G39+G42</f>
        <v>187274012</v>
      </c>
      <c r="H10" s="316">
        <f>178885870+H15+H16+H19+H23+H27+H30+H34+H36+H39+H42</f>
        <v>179136670</v>
      </c>
    </row>
    <row r="11" spans="1:8" ht="20.25" customHeight="1" thickTop="1">
      <c r="A11" s="375"/>
      <c r="B11" s="317"/>
      <c r="C11" s="318" t="s">
        <v>555</v>
      </c>
      <c r="D11" s="319">
        <f t="shared" si="0"/>
        <v>689507051</v>
      </c>
      <c r="E11" s="319">
        <f>177768426+E15+E16+E19+E23+E27+E30+E34+E36+E39+E42</f>
        <v>177768426</v>
      </c>
      <c r="F11" s="319">
        <f>175723255+F15+F16+F19+F23+F27+F30+F34+F36+F39+F42</f>
        <v>175788943</v>
      </c>
      <c r="G11" s="319">
        <f>169847444+G15+G16+G19+G23+G27+G30+G34+G36+G39+G42</f>
        <v>170400812</v>
      </c>
      <c r="H11" s="319">
        <f>165298070+H15+H16+H19+H23+H27+H30+H34+H36+H39+H42</f>
        <v>165548870</v>
      </c>
    </row>
    <row r="12" spans="1:8" ht="19.5" customHeight="1">
      <c r="A12" s="376"/>
      <c r="B12" s="90"/>
      <c r="C12" s="320" t="s">
        <v>609</v>
      </c>
      <c r="D12" s="161">
        <f t="shared" si="0"/>
        <v>476589149</v>
      </c>
      <c r="E12" s="161">
        <f>119436961+E15+E16+E19+E23</f>
        <v>119436961</v>
      </c>
      <c r="F12" s="161">
        <f>120120982+F15+F16+F19+F23</f>
        <v>120164083</v>
      </c>
      <c r="G12" s="161">
        <f>120448947+G15+G16+G19+G23</f>
        <v>120469647</v>
      </c>
      <c r="H12" s="161">
        <f>116552258+H15+H16+H19+H23</f>
        <v>116518458</v>
      </c>
    </row>
    <row r="13" spans="1:12" s="17" customFormat="1" ht="21.75" customHeight="1" thickBot="1">
      <c r="A13" s="377"/>
      <c r="B13" s="291"/>
      <c r="C13" s="130" t="s">
        <v>546</v>
      </c>
      <c r="D13" s="321">
        <f t="shared" si="0"/>
        <v>11654420</v>
      </c>
      <c r="E13" s="321">
        <f>2659037+E15+E16</f>
        <v>2659037</v>
      </c>
      <c r="F13" s="321">
        <f>4005542+F15+F16</f>
        <v>4048643</v>
      </c>
      <c r="G13" s="321">
        <f>2473740+G15+G16</f>
        <v>2474440</v>
      </c>
      <c r="H13" s="321">
        <f>2472300+H15+H16</f>
        <v>2472300</v>
      </c>
      <c r="I13" s="9"/>
      <c r="J13" s="9"/>
      <c r="K13" s="9"/>
      <c r="L13" s="9"/>
    </row>
    <row r="14" spans="1:12" s="1" customFormat="1" ht="18" customHeight="1" thickTop="1">
      <c r="A14" s="378">
        <v>801</v>
      </c>
      <c r="B14" s="203"/>
      <c r="C14" s="222" t="s">
        <v>532</v>
      </c>
      <c r="D14" s="252">
        <f t="shared" si="0"/>
        <v>43801</v>
      </c>
      <c r="E14" s="252"/>
      <c r="F14" s="252">
        <f>F15+F16</f>
        <v>43101</v>
      </c>
      <c r="G14" s="252">
        <f>G15+G16</f>
        <v>700</v>
      </c>
      <c r="H14" s="252"/>
      <c r="I14" s="8"/>
      <c r="J14" s="8"/>
      <c r="K14" s="8"/>
      <c r="L14" s="8"/>
    </row>
    <row r="15" spans="1:12" s="11" customFormat="1" ht="18" customHeight="1">
      <c r="A15" s="379"/>
      <c r="B15" s="162">
        <v>80101</v>
      </c>
      <c r="C15" s="235" t="s">
        <v>533</v>
      </c>
      <c r="D15" s="166">
        <f t="shared" si="0"/>
        <v>43101</v>
      </c>
      <c r="E15" s="166"/>
      <c r="F15" s="166">
        <v>43101</v>
      </c>
      <c r="G15" s="166"/>
      <c r="H15" s="166"/>
      <c r="I15" s="12"/>
      <c r="J15" s="12"/>
      <c r="K15" s="12"/>
      <c r="L15" s="12"/>
    </row>
    <row r="16" spans="1:12" s="11" customFormat="1" ht="18" customHeight="1">
      <c r="A16" s="379"/>
      <c r="B16" s="111">
        <v>80195</v>
      </c>
      <c r="C16" s="116" t="s">
        <v>531</v>
      </c>
      <c r="D16" s="112">
        <f>SUM(E16:H16)</f>
        <v>700</v>
      </c>
      <c r="E16" s="112"/>
      <c r="F16" s="745"/>
      <c r="G16" s="110">
        <v>700</v>
      </c>
      <c r="H16" s="110"/>
      <c r="I16" s="12"/>
      <c r="J16" s="12"/>
      <c r="K16" s="12"/>
      <c r="L16" s="12"/>
    </row>
    <row r="17" spans="1:12" s="17" customFormat="1" ht="27.75" customHeight="1" thickBot="1">
      <c r="A17" s="377"/>
      <c r="B17" s="291"/>
      <c r="C17" s="130" t="s">
        <v>435</v>
      </c>
      <c r="D17" s="103">
        <f aca="true" t="shared" si="1" ref="D17:D22">SUM(E17:H17)</f>
        <v>100000</v>
      </c>
      <c r="E17" s="103"/>
      <c r="F17" s="321">
        <f>60000+F19</f>
        <v>60000</v>
      </c>
      <c r="G17" s="321">
        <f>G18</f>
        <v>20000</v>
      </c>
      <c r="H17" s="321">
        <f>H19</f>
        <v>20000</v>
      </c>
      <c r="I17" s="9"/>
      <c r="J17" s="9"/>
      <c r="K17" s="9"/>
      <c r="L17" s="9"/>
    </row>
    <row r="18" spans="1:12" s="1" customFormat="1" ht="18" customHeight="1" thickTop="1">
      <c r="A18" s="378">
        <v>710</v>
      </c>
      <c r="B18" s="203"/>
      <c r="C18" s="522" t="s">
        <v>478</v>
      </c>
      <c r="D18" s="252">
        <f>D19</f>
        <v>40000</v>
      </c>
      <c r="E18" s="252"/>
      <c r="F18" s="252"/>
      <c r="G18" s="252">
        <f>G19</f>
        <v>20000</v>
      </c>
      <c r="H18" s="252">
        <f>H19</f>
        <v>20000</v>
      </c>
      <c r="I18" s="8"/>
      <c r="J18" s="8"/>
      <c r="K18" s="8"/>
      <c r="L18" s="8"/>
    </row>
    <row r="19" spans="1:12" s="1" customFormat="1" ht="18" customHeight="1">
      <c r="A19" s="514"/>
      <c r="B19" s="162">
        <v>71035</v>
      </c>
      <c r="C19" s="421" t="s">
        <v>479</v>
      </c>
      <c r="D19" s="166">
        <f t="shared" si="1"/>
        <v>40000</v>
      </c>
      <c r="E19" s="166"/>
      <c r="F19" s="166"/>
      <c r="G19" s="166">
        <v>20000</v>
      </c>
      <c r="H19" s="166">
        <v>20000</v>
      </c>
      <c r="I19" s="8"/>
      <c r="J19" s="8"/>
      <c r="K19" s="8"/>
      <c r="L19" s="8"/>
    </row>
    <row r="20" spans="1:12" s="17" customFormat="1" ht="28.5" customHeight="1" thickBot="1">
      <c r="A20" s="377"/>
      <c r="B20" s="291"/>
      <c r="C20" s="130" t="s">
        <v>337</v>
      </c>
      <c r="D20" s="103">
        <f t="shared" si="1"/>
        <v>58953167</v>
      </c>
      <c r="E20" s="103">
        <f>14871927+E23</f>
        <v>14871927</v>
      </c>
      <c r="F20" s="103">
        <f>14748080+F23</f>
        <v>14748080</v>
      </c>
      <c r="G20" s="103">
        <f>14693480+G23</f>
        <v>14693480</v>
      </c>
      <c r="H20" s="103">
        <f>14693480+H23</f>
        <v>14639680</v>
      </c>
      <c r="I20" s="9"/>
      <c r="J20" s="9"/>
      <c r="K20" s="9"/>
      <c r="L20" s="9"/>
    </row>
    <row r="21" spans="1:12" s="1" customFormat="1" ht="18" customHeight="1" thickTop="1">
      <c r="A21" s="378">
        <v>852</v>
      </c>
      <c r="B21" s="203"/>
      <c r="C21" s="222" t="s">
        <v>511</v>
      </c>
      <c r="D21" s="252">
        <f t="shared" si="1"/>
        <v>57352200</v>
      </c>
      <c r="E21" s="252">
        <f>14396200+E23</f>
        <v>14396200</v>
      </c>
      <c r="F21" s="252">
        <f>14336600+F23</f>
        <v>14336600</v>
      </c>
      <c r="G21" s="252">
        <f>14336600+G23</f>
        <v>14336600</v>
      </c>
      <c r="H21" s="252">
        <f>14336600+H23</f>
        <v>14282800</v>
      </c>
      <c r="I21" s="8"/>
      <c r="J21" s="8"/>
      <c r="K21" s="8"/>
      <c r="L21" s="8"/>
    </row>
    <row r="22" spans="1:12" s="1" customFormat="1" ht="27" customHeight="1">
      <c r="A22" s="514"/>
      <c r="B22" s="92">
        <v>85214</v>
      </c>
      <c r="C22" s="93" t="s">
        <v>474</v>
      </c>
      <c r="D22" s="113">
        <f t="shared" si="1"/>
        <v>9258000</v>
      </c>
      <c r="E22" s="113">
        <v>2314500</v>
      </c>
      <c r="F22" s="113">
        <v>2314500</v>
      </c>
      <c r="G22" s="113">
        <v>2314500</v>
      </c>
      <c r="H22" s="113">
        <v>2314500</v>
      </c>
      <c r="I22" s="8"/>
      <c r="J22" s="8"/>
      <c r="K22" s="8"/>
      <c r="L22" s="8"/>
    </row>
    <row r="23" spans="1:12" s="11" customFormat="1" ht="18" customHeight="1">
      <c r="A23" s="379"/>
      <c r="B23" s="111"/>
      <c r="C23" s="116"/>
      <c r="D23" s="112">
        <f>SUM(E23:H23)</f>
        <v>-53800</v>
      </c>
      <c r="E23" s="112"/>
      <c r="F23" s="112"/>
      <c r="G23" s="112"/>
      <c r="H23" s="112">
        <v>-53800</v>
      </c>
      <c r="I23" s="12"/>
      <c r="J23" s="12"/>
      <c r="K23" s="12"/>
      <c r="L23" s="12"/>
    </row>
    <row r="24" spans="1:8" ht="18" customHeight="1">
      <c r="A24" s="376"/>
      <c r="B24" s="90"/>
      <c r="C24" s="320" t="s">
        <v>445</v>
      </c>
      <c r="D24" s="161">
        <f>SUM(E24:H24)</f>
        <v>212917902</v>
      </c>
      <c r="E24" s="161">
        <f>58331465+E27+E30+E34+E36+E39+E42</f>
        <v>58331465</v>
      </c>
      <c r="F24" s="161">
        <f>55602273+F27+F30+F34+F36+F39+F42</f>
        <v>55624860</v>
      </c>
      <c r="G24" s="161">
        <f>49398497+G27+G30+G34+G36+G39+G42</f>
        <v>49931165</v>
      </c>
      <c r="H24" s="161">
        <f>48745812+H27+H30+H34+H36+H39+H42</f>
        <v>49030412</v>
      </c>
    </row>
    <row r="25" spans="1:12" s="17" customFormat="1" ht="21.75" customHeight="1" thickBot="1">
      <c r="A25" s="377"/>
      <c r="B25" s="291"/>
      <c r="C25" s="130" t="s">
        <v>546</v>
      </c>
      <c r="D25" s="321">
        <f aca="true" t="shared" si="2" ref="D25:D41">SUM(E25:H25)</f>
        <v>8236400</v>
      </c>
      <c r="E25" s="321">
        <f>2158000+E27+E30</f>
        <v>2158000</v>
      </c>
      <c r="F25" s="321">
        <f>2150000+F27+F30</f>
        <v>2150000</v>
      </c>
      <c r="G25" s="321">
        <f>1900000+G27+G30</f>
        <v>1964600</v>
      </c>
      <c r="H25" s="321">
        <f>1900000+H27+H30</f>
        <v>1963800</v>
      </c>
      <c r="I25" s="9"/>
      <c r="J25" s="9"/>
      <c r="K25" s="9"/>
      <c r="L25" s="9"/>
    </row>
    <row r="26" spans="1:12" s="1" customFormat="1" ht="18" customHeight="1" thickTop="1">
      <c r="A26" s="378">
        <v>801</v>
      </c>
      <c r="B26" s="203"/>
      <c r="C26" s="222" t="s">
        <v>532</v>
      </c>
      <c r="D26" s="252">
        <f>SUM(E26:H26)</f>
        <v>800</v>
      </c>
      <c r="E26" s="252"/>
      <c r="F26" s="252"/>
      <c r="G26" s="252">
        <f>G27</f>
        <v>800</v>
      </c>
      <c r="H26" s="252"/>
      <c r="I26" s="8"/>
      <c r="J26" s="8"/>
      <c r="K26" s="8"/>
      <c r="L26" s="8"/>
    </row>
    <row r="27" spans="1:12" s="11" customFormat="1" ht="18" customHeight="1">
      <c r="A27" s="1120"/>
      <c r="B27" s="162">
        <v>80195</v>
      </c>
      <c r="C27" s="235" t="s">
        <v>531</v>
      </c>
      <c r="D27" s="166">
        <f t="shared" si="2"/>
        <v>800</v>
      </c>
      <c r="E27" s="166"/>
      <c r="F27" s="166"/>
      <c r="G27" s="166">
        <v>800</v>
      </c>
      <c r="H27" s="166"/>
      <c r="I27" s="12"/>
      <c r="J27" s="12"/>
      <c r="K27" s="12"/>
      <c r="L27" s="12"/>
    </row>
    <row r="28" spans="1:8" ht="19.5" customHeight="1">
      <c r="A28" s="378">
        <v>852</v>
      </c>
      <c r="B28" s="203"/>
      <c r="C28" s="222" t="s">
        <v>511</v>
      </c>
      <c r="D28" s="252">
        <f t="shared" si="2"/>
        <v>8235600</v>
      </c>
      <c r="E28" s="252">
        <f>2158000+E30</f>
        <v>2158000</v>
      </c>
      <c r="F28" s="252">
        <f>2150000+F30</f>
        <v>2150000</v>
      </c>
      <c r="G28" s="252">
        <f>1900000+G30</f>
        <v>1963800</v>
      </c>
      <c r="H28" s="252">
        <f>1900000+H30</f>
        <v>1963800</v>
      </c>
    </row>
    <row r="29" spans="1:8" ht="19.5" customHeight="1">
      <c r="A29" s="379"/>
      <c r="B29" s="92">
        <v>85202</v>
      </c>
      <c r="C29" s="93" t="s">
        <v>240</v>
      </c>
      <c r="D29" s="113">
        <f t="shared" si="2"/>
        <v>7898000</v>
      </c>
      <c r="E29" s="113">
        <v>2158000</v>
      </c>
      <c r="F29" s="113">
        <v>1940000</v>
      </c>
      <c r="G29" s="113">
        <v>1900000</v>
      </c>
      <c r="H29" s="113">
        <v>1900000</v>
      </c>
    </row>
    <row r="30" spans="1:8" ht="19.5" customHeight="1">
      <c r="A30" s="379"/>
      <c r="B30" s="111"/>
      <c r="C30" s="116"/>
      <c r="D30" s="112">
        <f t="shared" si="2"/>
        <v>127600</v>
      </c>
      <c r="E30" s="112"/>
      <c r="F30" s="393"/>
      <c r="G30" s="112">
        <v>63800</v>
      </c>
      <c r="H30" s="112">
        <v>63800</v>
      </c>
    </row>
    <row r="31" spans="1:12" s="17" customFormat="1" ht="28.5" customHeight="1" thickBot="1">
      <c r="A31" s="377"/>
      <c r="B31" s="291"/>
      <c r="C31" s="471" t="s">
        <v>548</v>
      </c>
      <c r="D31" s="321">
        <f t="shared" si="2"/>
        <v>21074309</v>
      </c>
      <c r="E31" s="321">
        <f>5350049+E34+E36+E39+E42</f>
        <v>5350049</v>
      </c>
      <c r="F31" s="321">
        <f>5480205+F34+F36+F39+F42</f>
        <v>5502792</v>
      </c>
      <c r="G31" s="321">
        <f>4702500+G34+G36+G39+G42</f>
        <v>5170568</v>
      </c>
      <c r="H31" s="321">
        <f>4830100+H34+H36+H39+H42</f>
        <v>5050900</v>
      </c>
      <c r="I31" s="9"/>
      <c r="J31" s="9"/>
      <c r="K31" s="9"/>
      <c r="L31" s="9"/>
    </row>
    <row r="32" spans="1:8" ht="19.5" customHeight="1" thickTop="1">
      <c r="A32" s="378">
        <v>700</v>
      </c>
      <c r="B32" s="203"/>
      <c r="C32" s="222" t="s">
        <v>603</v>
      </c>
      <c r="D32" s="252">
        <f t="shared" si="2"/>
        <v>739868</v>
      </c>
      <c r="E32" s="252">
        <f>86250+E34</f>
        <v>86250</v>
      </c>
      <c r="F32" s="252">
        <f>86250+F34</f>
        <v>86250</v>
      </c>
      <c r="G32" s="252">
        <f>86250+G34</f>
        <v>481118</v>
      </c>
      <c r="H32" s="252">
        <f>86250+H34</f>
        <v>86250</v>
      </c>
    </row>
    <row r="33" spans="1:8" ht="19.5" customHeight="1">
      <c r="A33" s="379"/>
      <c r="B33" s="92">
        <v>70005</v>
      </c>
      <c r="C33" s="93" t="s">
        <v>568</v>
      </c>
      <c r="D33" s="113">
        <f t="shared" si="2"/>
        <v>345000</v>
      </c>
      <c r="E33" s="113">
        <v>86250</v>
      </c>
      <c r="F33" s="113">
        <v>86250</v>
      </c>
      <c r="G33" s="113">
        <v>86250</v>
      </c>
      <c r="H33" s="113">
        <v>86250</v>
      </c>
    </row>
    <row r="34" spans="1:8" ht="19.5" customHeight="1">
      <c r="A34" s="503"/>
      <c r="B34" s="111"/>
      <c r="C34" s="116"/>
      <c r="D34" s="112">
        <f t="shared" si="2"/>
        <v>394868</v>
      </c>
      <c r="E34" s="112"/>
      <c r="F34" s="393"/>
      <c r="G34" s="112">
        <v>394868</v>
      </c>
      <c r="H34" s="112"/>
    </row>
    <row r="35" spans="1:8" ht="19.5" customHeight="1">
      <c r="A35" s="378">
        <v>752</v>
      </c>
      <c r="B35" s="203"/>
      <c r="C35" s="222" t="s">
        <v>225</v>
      </c>
      <c r="D35" s="252">
        <f t="shared" si="2"/>
        <v>1200</v>
      </c>
      <c r="E35" s="252"/>
      <c r="F35" s="252"/>
      <c r="G35" s="252">
        <f>G36</f>
        <v>1200</v>
      </c>
      <c r="H35" s="252"/>
    </row>
    <row r="36" spans="1:12" s="743" customFormat="1" ht="19.5" customHeight="1">
      <c r="A36" s="744"/>
      <c r="B36" s="109">
        <v>75212</v>
      </c>
      <c r="C36" s="1019" t="s">
        <v>226</v>
      </c>
      <c r="D36" s="110">
        <f t="shared" si="2"/>
        <v>1200</v>
      </c>
      <c r="E36" s="745"/>
      <c r="F36" s="745"/>
      <c r="G36" s="110">
        <v>1200</v>
      </c>
      <c r="H36" s="745"/>
      <c r="I36" s="746"/>
      <c r="J36" s="746"/>
      <c r="K36" s="746"/>
      <c r="L36" s="746"/>
    </row>
    <row r="37" spans="1:8" ht="19.5" customHeight="1">
      <c r="A37" s="378">
        <v>852</v>
      </c>
      <c r="B37" s="203"/>
      <c r="C37" s="222" t="s">
        <v>511</v>
      </c>
      <c r="D37" s="252">
        <f t="shared" si="2"/>
        <v>2666800</v>
      </c>
      <c r="E37" s="252">
        <f>596050+E39</f>
        <v>596050</v>
      </c>
      <c r="F37" s="252">
        <f>596050+F39</f>
        <v>596050</v>
      </c>
      <c r="G37" s="252">
        <f>592650+G39</f>
        <v>664650</v>
      </c>
      <c r="H37" s="252">
        <f>589250+H39</f>
        <v>810050</v>
      </c>
    </row>
    <row r="38" spans="1:8" ht="19.5" customHeight="1">
      <c r="A38" s="379"/>
      <c r="B38" s="92">
        <v>85203</v>
      </c>
      <c r="C38" s="93" t="s">
        <v>485</v>
      </c>
      <c r="D38" s="113">
        <f t="shared" si="2"/>
        <v>2123000</v>
      </c>
      <c r="E38" s="113">
        <v>530750</v>
      </c>
      <c r="F38" s="113">
        <v>530750</v>
      </c>
      <c r="G38" s="113">
        <v>530750</v>
      </c>
      <c r="H38" s="113">
        <v>530750</v>
      </c>
    </row>
    <row r="39" spans="1:8" ht="19.5" customHeight="1">
      <c r="A39" s="503"/>
      <c r="B39" s="111"/>
      <c r="C39" s="116"/>
      <c r="D39" s="112">
        <f t="shared" si="2"/>
        <v>292800</v>
      </c>
      <c r="E39" s="112"/>
      <c r="F39" s="393"/>
      <c r="G39" s="112">
        <v>72000</v>
      </c>
      <c r="H39" s="112">
        <v>220800</v>
      </c>
    </row>
    <row r="40" spans="1:8" ht="19.5" customHeight="1">
      <c r="A40" s="378">
        <v>853</v>
      </c>
      <c r="B40" s="203"/>
      <c r="C40" s="461" t="s">
        <v>560</v>
      </c>
      <c r="D40" s="252">
        <f t="shared" si="2"/>
        <v>528172</v>
      </c>
      <c r="E40" s="252">
        <f>142780+E42</f>
        <v>142780</v>
      </c>
      <c r="F40" s="252">
        <f>124805+F42</f>
        <v>147392</v>
      </c>
      <c r="G40" s="252">
        <f>119000+G42</f>
        <v>119000</v>
      </c>
      <c r="H40" s="252">
        <f>119000+H42</f>
        <v>119000</v>
      </c>
    </row>
    <row r="41" spans="1:12" s="1" customFormat="1" ht="19.5" customHeight="1">
      <c r="A41" s="514"/>
      <c r="B41" s="92">
        <v>85334</v>
      </c>
      <c r="C41" s="481" t="s">
        <v>440</v>
      </c>
      <c r="D41" s="113">
        <f t="shared" si="2"/>
        <v>9585</v>
      </c>
      <c r="E41" s="113">
        <v>3780</v>
      </c>
      <c r="F41" s="113">
        <v>5805</v>
      </c>
      <c r="G41" s="113"/>
      <c r="H41" s="113"/>
      <c r="I41" s="8"/>
      <c r="J41" s="8"/>
      <c r="K41" s="8"/>
      <c r="L41" s="8"/>
    </row>
    <row r="42" spans="1:8" ht="19.5" customHeight="1">
      <c r="A42" s="503"/>
      <c r="B42" s="111"/>
      <c r="C42" s="116"/>
      <c r="D42" s="112">
        <f>SUM(E42:H42)</f>
        <v>22587</v>
      </c>
      <c r="E42" s="112"/>
      <c r="F42" s="112">
        <f>16383+6204</f>
        <v>22587</v>
      </c>
      <c r="G42" s="112"/>
      <c r="H42" s="112"/>
    </row>
    <row r="43" spans="9:12" s="392" customFormat="1" ht="18" customHeight="1">
      <c r="I43" s="489"/>
      <c r="J43" s="489"/>
      <c r="K43" s="489"/>
      <c r="L43" s="489"/>
    </row>
    <row r="44" spans="3:12" s="139" customFormat="1" ht="18" customHeight="1">
      <c r="C44" s="68"/>
      <c r="I44" s="488"/>
      <c r="J44" s="488"/>
      <c r="K44" s="488"/>
      <c r="L44" s="488"/>
    </row>
    <row r="45" spans="3:4" ht="12.75">
      <c r="C45" s="17" t="s">
        <v>24</v>
      </c>
      <c r="D45" s="17"/>
    </row>
    <row r="46" spans="3:4" ht="12.75">
      <c r="C46" s="17" t="s">
        <v>23</v>
      </c>
      <c r="D46" s="17"/>
    </row>
    <row r="47" spans="3:4" ht="12.75">
      <c r="C47" s="17" t="s">
        <v>22</v>
      </c>
      <c r="D47" s="17"/>
    </row>
  </sheetData>
  <printOptions horizontalCentered="1"/>
  <pageMargins left="0.3937007874015748" right="0.3937007874015748" top="0.5905511811023623" bottom="0.5905511811023623" header="0.5118110236220472" footer="0.3937007874015748"/>
  <pageSetup firstPageNumber="58" useFirstPageNumber="1" horizontalDpi="300" verticalDpi="300" orientation="landscape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7"/>
  <sheetViews>
    <sheetView zoomScaleSheetLayoutView="75" workbookViewId="0" topLeftCell="A1">
      <pane xSplit="3" ySplit="11" topLeftCell="D26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275" sqref="C275:C277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25" customWidth="1"/>
    <col min="10" max="11" width="13.375" style="25" customWidth="1"/>
    <col min="12" max="12" width="15.375" style="25" customWidth="1"/>
    <col min="13" max="16384" width="11.375" style="0" customWidth="1"/>
  </cols>
  <sheetData>
    <row r="1" spans="1:10" ht="18" customHeight="1">
      <c r="A1" s="52"/>
      <c r="B1" s="52"/>
      <c r="C1" s="52"/>
      <c r="D1" s="53"/>
      <c r="E1" s="53"/>
      <c r="F1" s="53"/>
      <c r="G1" s="54" t="s">
        <v>132</v>
      </c>
      <c r="H1" s="53"/>
      <c r="I1" s="69"/>
      <c r="J1" s="69"/>
    </row>
    <row r="2" spans="1:10" ht="15" customHeight="1">
      <c r="A2" s="52"/>
      <c r="B2" s="52"/>
      <c r="C2" s="52"/>
      <c r="D2" s="53"/>
      <c r="E2" s="53"/>
      <c r="F2" s="53"/>
      <c r="G2" s="1" t="s">
        <v>186</v>
      </c>
      <c r="H2" s="53"/>
      <c r="I2" s="69"/>
      <c r="J2" s="69"/>
    </row>
    <row r="3" spans="1:10" ht="18" customHeight="1">
      <c r="A3" s="52"/>
      <c r="B3" s="52"/>
      <c r="C3" s="55" t="s">
        <v>586</v>
      </c>
      <c r="D3" s="53"/>
      <c r="E3" s="53"/>
      <c r="F3" s="53"/>
      <c r="G3" s="1" t="s">
        <v>512</v>
      </c>
      <c r="H3" s="53"/>
      <c r="I3" s="69"/>
      <c r="J3" s="69"/>
    </row>
    <row r="4" spans="1:10" ht="15" customHeight="1">
      <c r="A4" s="52"/>
      <c r="B4" s="52"/>
      <c r="C4" s="56"/>
      <c r="D4" s="53"/>
      <c r="E4" s="53"/>
      <c r="F4" s="53"/>
      <c r="G4" s="1" t="s">
        <v>265</v>
      </c>
      <c r="H4" s="53"/>
      <c r="I4" s="69"/>
      <c r="J4" s="69"/>
    </row>
    <row r="5" spans="1:10" ht="5.25" customHeight="1">
      <c r="A5" s="52"/>
      <c r="B5" s="52"/>
      <c r="C5" s="57"/>
      <c r="D5" s="53"/>
      <c r="E5" s="53"/>
      <c r="F5" s="53"/>
      <c r="G5" s="53"/>
      <c r="H5" s="53"/>
      <c r="I5" s="69"/>
      <c r="J5" s="69"/>
    </row>
    <row r="6" spans="1:10" ht="15.75" thickBot="1">
      <c r="A6" s="52"/>
      <c r="B6" s="52"/>
      <c r="C6" s="52"/>
      <c r="D6" s="53"/>
      <c r="E6" s="53"/>
      <c r="F6" s="53"/>
      <c r="G6" s="53"/>
      <c r="H6" s="58" t="s">
        <v>514</v>
      </c>
      <c r="I6" s="69"/>
      <c r="J6" s="69"/>
    </row>
    <row r="7" spans="1:12" ht="19.5" customHeight="1" thickTop="1">
      <c r="A7" s="59"/>
      <c r="B7" s="59"/>
      <c r="C7" s="60" t="s">
        <v>499</v>
      </c>
      <c r="D7" s="1179" t="s">
        <v>602</v>
      </c>
      <c r="E7" s="61"/>
      <c r="F7" s="62"/>
      <c r="G7" s="62"/>
      <c r="H7" s="61"/>
      <c r="I7"/>
      <c r="J7"/>
      <c r="K7"/>
      <c r="L7"/>
    </row>
    <row r="8" spans="1:12" ht="26.25" customHeight="1" thickBot="1">
      <c r="A8" s="63" t="s">
        <v>549</v>
      </c>
      <c r="B8" s="63" t="s">
        <v>516</v>
      </c>
      <c r="C8" s="64" t="s">
        <v>500</v>
      </c>
      <c r="D8" s="1180"/>
      <c r="E8" s="65" t="s">
        <v>494</v>
      </c>
      <c r="F8" s="65" t="s">
        <v>495</v>
      </c>
      <c r="G8" s="65" t="s">
        <v>496</v>
      </c>
      <c r="H8" s="65" t="s">
        <v>497</v>
      </c>
      <c r="I8"/>
      <c r="J8"/>
      <c r="K8"/>
      <c r="L8"/>
    </row>
    <row r="9" spans="1:12" ht="14.25" customHeight="1" thickBot="1" thickTop="1">
      <c r="A9" s="66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/>
      <c r="J9"/>
      <c r="K9"/>
      <c r="L9"/>
    </row>
    <row r="10" spans="1:13" s="68" customFormat="1" ht="21.75" customHeight="1" thickBot="1" thickTop="1">
      <c r="A10" s="142"/>
      <c r="B10" s="142"/>
      <c r="C10" s="143" t="s">
        <v>521</v>
      </c>
      <c r="D10" s="144">
        <f>SUM(E10:H10)</f>
        <v>792853163</v>
      </c>
      <c r="E10" s="144">
        <f>198748250+E16+E21+E26+E31+E33+E36+E41+E46+E48+E50+E52+E54+E56+E58+E60+E62+E64+E66+E69+E71+E73+E75+E77+E79+E81+E85+E90+E92+E94+E96+E98+E101+E106+E108+E111+E114+E117+E119+E121+E123+E126+E129+E132+E134+E136+E139+E141+E144+E146+E151+E158+E163+E168+E173+E178+E181+E186+E191+E194+E198+E202+E207+E212+E214+E216+E218+E220+E222+E224+E226+E228+E230+E232+E234+E236+E238+E240+E242+E244+E247+E249+E251+E253+E255+E257+E259+E261+E263+E266+E270</f>
        <v>183866522</v>
      </c>
      <c r="F10" s="144">
        <f>198960802+F16+F21+F26+F31+F33+F36+F41+F46+F48+F50+F52+F54+F56+F58+F60+F62+F64+F66+F69+F71+F73+F75+F77+F79+F81+F85+F90+F92+F94+F96+F98+F101+F106+F108+F111+F114+F117+F119+F121+F123+F126+F129+F132+F134+F136+F139+F141+F144+F146+F151+F158+F163+F168+F173+F178+F181+F186+F191+F194+F198+F202+F207+F212+F214+F216+F218+F220+F222+F224+F226+F228+F230+F232+F234+F236+F238+F240+F242+F244+F247+F249+F251+F253+F255+F257+F259+F261+F263+F266+F270</f>
        <v>226028703</v>
      </c>
      <c r="G10" s="144">
        <f>198818260+G16+G21+G26+G31+G33+G36+G41+G46+G48+G50+G52+G54+G56+G58+G60+G62+G64+G66+G69+G71+G73+G75+G77+G79+G81+G85+G90+G92+G94+G96+G98+G101+G106+G108+G111+G114+G117+G119+G121+G123+G126+G129+G132+G134+G136+G139+G141+G144+G146+G151+G158+G163+G168+G173+G178+G181+G186+G191+G194+G198+G202+G207+G212+G214+G216+G218+G220+G222+G224+G226+G228+G230+G232+G234+G236+G238+G240+G242+G244+G247+G249+G251+G253+G255+G257+G259+G261+G263+G266+G270</f>
        <v>193969399</v>
      </c>
      <c r="H10" s="144">
        <f>195455995+H16+H21+H26+H31+H33+H36+H41+H46+H48+H50+H52+H54+H56+H58+H60+H62+H64+H66+H69+H71+H73+H75+H77+H79+H81+H85+H90+H92+H94+H96+H98+H101+H106+H108+H111+H114+H117+H119+H121+H123+H126+H129+H132+H134+H136+H139+H141+H144+H146+H151+H158+H163+H168+H173+H178+H181+H186+H191+H194+H198+H202+H207+H212+H214+H216+H218+H220+H222+H224+H226+H228+H230+H232+H234+H236+H238+H240+H242+H244++H247+H249+H251+H253+H255+H257+H259+H261+H263+H266+H270</f>
        <v>188988539</v>
      </c>
      <c r="I10"/>
      <c r="J10"/>
      <c r="K10"/>
      <c r="L10"/>
      <c r="M10"/>
    </row>
    <row r="11" spans="1:12" ht="15" customHeight="1">
      <c r="A11" s="145"/>
      <c r="B11" s="145"/>
      <c r="C11" s="146" t="s">
        <v>563</v>
      </c>
      <c r="D11" s="147"/>
      <c r="E11" s="148"/>
      <c r="F11" s="148"/>
      <c r="G11" s="148"/>
      <c r="H11" s="148"/>
      <c r="I11"/>
      <c r="J11"/>
      <c r="K11"/>
      <c r="L11"/>
    </row>
    <row r="12" spans="1:13" s="49" customFormat="1" ht="19.5" customHeight="1">
      <c r="A12" s="149"/>
      <c r="B12" s="149"/>
      <c r="C12" s="150" t="s">
        <v>554</v>
      </c>
      <c r="D12" s="151">
        <f aca="true" t="shared" si="0" ref="D12:D60">SUM(E12:H12)</f>
        <v>318096250</v>
      </c>
      <c r="E12" s="151">
        <f>58077391+E16+E21+E26+E31+E33+E36+E41+E46+E48+E50+E52+E54+E56+E58+E60+E62+E64+E66+E69+E71+E73+E75+E77+E79+E81+E85+E90+E92+E94+E96+E98+E101+E106+E108+E111+E114+E117+E119+E121+E123+E126+E129+E132+E134+E136+E139+E141+E144+E146</f>
        <v>51822756</v>
      </c>
      <c r="F12" s="151">
        <f>82368631+F16+F21+F26+F31+F33+F36+F41+F46+F48+F50+F52+F54+F56+F58+F60+F62+F64+F66+F69+F71+F73+F75+F77+F79+F81+F85+F90+F92+F94+F96+F98+F101+F106+F108+F111+F114+F117+F119+F121+F123+F126+F129+F132+F134+F136+F139+F141+F144+F146</f>
        <v>88017593</v>
      </c>
      <c r="G12" s="151">
        <f>90247020+G16+G21+G26+G31+G33+G36+G41+G46+G48+G50+G52+G54+G56+G58+G60+G62+G64+G66+G69+G71+G73+G75+G77+G79+G81+G85+G90+G92+G94+G96+G98+G101+G106+G108+G111+G114+G117+G119+G121+G123+G126+G129+G132+G134+G136+G139+G141+G144+G146</f>
        <v>90813379</v>
      </c>
      <c r="H12" s="151">
        <f>87273122+H16+H21+H26+H31+H33+H36+H41+H46+H48+H50+H52+H54+H56+H58+H60+H62+H64+H66+H69+H71+H73+H75+H77+H79+H81+H85+H90+H92+H94+H96+H98+H101+H106+H108+H111+H114+H117+H119+H121+H123+H126+H129+H132+H134+H136+H139+H141+H144+H146</f>
        <v>87442522</v>
      </c>
      <c r="I12"/>
      <c r="J12"/>
      <c r="K12"/>
      <c r="L12"/>
      <c r="M12"/>
    </row>
    <row r="13" spans="1:13" s="50" customFormat="1" ht="30" customHeight="1">
      <c r="A13" s="98"/>
      <c r="B13" s="98"/>
      <c r="C13" s="747" t="s">
        <v>470</v>
      </c>
      <c r="D13" s="100">
        <f t="shared" si="0"/>
        <v>175000</v>
      </c>
      <c r="E13" s="100">
        <f>64700+E16</f>
        <v>64700</v>
      </c>
      <c r="F13" s="100">
        <f>83000+F16</f>
        <v>83000</v>
      </c>
      <c r="G13" s="100">
        <f>9500+G16</f>
        <v>9500</v>
      </c>
      <c r="H13" s="100">
        <f>16600+H16</f>
        <v>17800</v>
      </c>
      <c r="I13"/>
      <c r="J13"/>
      <c r="K13"/>
      <c r="L13"/>
      <c r="M13"/>
    </row>
    <row r="14" spans="1:13" s="50" customFormat="1" ht="31.5" customHeight="1" thickBot="1">
      <c r="A14" s="101"/>
      <c r="B14" s="101"/>
      <c r="C14" s="530" t="s">
        <v>539</v>
      </c>
      <c r="D14" s="103">
        <f t="shared" si="0"/>
        <v>13200</v>
      </c>
      <c r="E14" s="103"/>
      <c r="F14" s="103">
        <v>12000</v>
      </c>
      <c r="G14" s="103"/>
      <c r="H14" s="103">
        <f>H15</f>
        <v>1200</v>
      </c>
      <c r="I14"/>
      <c r="J14"/>
      <c r="K14"/>
      <c r="L14"/>
      <c r="M14"/>
    </row>
    <row r="15" spans="1:13" s="50" customFormat="1" ht="18" customHeight="1" thickTop="1">
      <c r="A15" s="104">
        <v>752</v>
      </c>
      <c r="B15" s="104"/>
      <c r="C15" s="104" t="s">
        <v>225</v>
      </c>
      <c r="D15" s="114">
        <f t="shared" si="0"/>
        <v>1200</v>
      </c>
      <c r="E15" s="114"/>
      <c r="F15" s="114"/>
      <c r="G15" s="114"/>
      <c r="H15" s="114">
        <f>H16</f>
        <v>1200</v>
      </c>
      <c r="I15"/>
      <c r="J15"/>
      <c r="K15"/>
      <c r="L15"/>
      <c r="M15"/>
    </row>
    <row r="16" spans="1:13" s="50" customFormat="1" ht="18" customHeight="1">
      <c r="A16" s="135"/>
      <c r="B16" s="162">
        <v>75212</v>
      </c>
      <c r="C16" s="162" t="s">
        <v>226</v>
      </c>
      <c r="D16" s="166">
        <f t="shared" si="0"/>
        <v>1200</v>
      </c>
      <c r="E16" s="166"/>
      <c r="F16" s="166"/>
      <c r="G16" s="166"/>
      <c r="H16" s="166">
        <v>1200</v>
      </c>
      <c r="I16"/>
      <c r="J16"/>
      <c r="K16"/>
      <c r="L16"/>
      <c r="M16"/>
    </row>
    <row r="17" spans="1:13" s="50" customFormat="1" ht="19.5" customHeight="1">
      <c r="A17" s="98"/>
      <c r="B17" s="98"/>
      <c r="C17" s="99" t="s">
        <v>220</v>
      </c>
      <c r="D17" s="100">
        <f t="shared" si="0"/>
        <v>24855415</v>
      </c>
      <c r="E17" s="100">
        <f>1732937+E21</f>
        <v>1732937</v>
      </c>
      <c r="F17" s="100">
        <f>4801786+F21</f>
        <v>4700341</v>
      </c>
      <c r="G17" s="100">
        <f>7624651+G21</f>
        <v>7624651</v>
      </c>
      <c r="H17" s="100">
        <f>10797486+H21</f>
        <v>10797486</v>
      </c>
      <c r="I17"/>
      <c r="J17"/>
      <c r="K17"/>
      <c r="L17"/>
      <c r="M17"/>
    </row>
    <row r="18" spans="1:13" s="50" customFormat="1" ht="24.75" customHeight="1" thickBot="1">
      <c r="A18" s="101"/>
      <c r="B18" s="101"/>
      <c r="C18" s="102" t="s">
        <v>523</v>
      </c>
      <c r="D18" s="103">
        <f t="shared" si="0"/>
        <v>24855415</v>
      </c>
      <c r="E18" s="103">
        <f>1732937+E21</f>
        <v>1732937</v>
      </c>
      <c r="F18" s="103">
        <f>4801786+F21</f>
        <v>4700341</v>
      </c>
      <c r="G18" s="103">
        <f>7624651+G21</f>
        <v>7624651</v>
      </c>
      <c r="H18" s="103">
        <f>10797486+H21</f>
        <v>10797486</v>
      </c>
      <c r="I18"/>
      <c r="J18"/>
      <c r="K18"/>
      <c r="L18"/>
      <c r="M18"/>
    </row>
    <row r="19" spans="1:13" s="50" customFormat="1" ht="18" customHeight="1" thickTop="1">
      <c r="A19" s="104">
        <v>852</v>
      </c>
      <c r="B19" s="104"/>
      <c r="C19" s="104" t="s">
        <v>511</v>
      </c>
      <c r="D19" s="114">
        <f t="shared" si="0"/>
        <v>2200771</v>
      </c>
      <c r="E19" s="114">
        <f>532500+E21</f>
        <v>532500</v>
      </c>
      <c r="F19" s="114">
        <f>532500+F21</f>
        <v>431055</v>
      </c>
      <c r="G19" s="114">
        <f>702216+G21</f>
        <v>702216</v>
      </c>
      <c r="H19" s="114">
        <f>535000+H21</f>
        <v>535000</v>
      </c>
      <c r="I19"/>
      <c r="J19"/>
      <c r="K19"/>
      <c r="L19"/>
      <c r="M19"/>
    </row>
    <row r="20" spans="1:13" s="50" customFormat="1" ht="18" customHeight="1">
      <c r="A20" s="135"/>
      <c r="B20" s="108">
        <v>85201</v>
      </c>
      <c r="C20" s="108" t="s">
        <v>85</v>
      </c>
      <c r="D20" s="94">
        <f t="shared" si="0"/>
        <v>2169716</v>
      </c>
      <c r="E20" s="94">
        <v>500000</v>
      </c>
      <c r="F20" s="94">
        <v>500000</v>
      </c>
      <c r="G20" s="94">
        <v>669716</v>
      </c>
      <c r="H20" s="94">
        <v>500000</v>
      </c>
      <c r="I20"/>
      <c r="J20"/>
      <c r="K20"/>
      <c r="L20"/>
      <c r="M20"/>
    </row>
    <row r="21" spans="1:13" s="50" customFormat="1" ht="18" customHeight="1">
      <c r="A21" s="109"/>
      <c r="B21" s="111"/>
      <c r="C21" s="111"/>
      <c r="D21" s="112">
        <f t="shared" si="0"/>
        <v>-101445</v>
      </c>
      <c r="E21" s="112"/>
      <c r="F21" s="112">
        <f>-1445-100000</f>
        <v>-101445</v>
      </c>
      <c r="G21" s="393"/>
      <c r="H21" s="112"/>
      <c r="I21"/>
      <c r="J21"/>
      <c r="K21"/>
      <c r="L21"/>
      <c r="M21"/>
    </row>
    <row r="22" spans="1:13" s="50" customFormat="1" ht="19.5" customHeight="1">
      <c r="A22" s="98"/>
      <c r="B22" s="98"/>
      <c r="C22" s="99" t="s">
        <v>221</v>
      </c>
      <c r="D22" s="100">
        <f t="shared" si="0"/>
        <v>19734688</v>
      </c>
      <c r="E22" s="100">
        <f>2061370+E26</f>
        <v>2061370</v>
      </c>
      <c r="F22" s="100">
        <f>9993346+F26</f>
        <v>9993346</v>
      </c>
      <c r="G22" s="100">
        <f>5152724+G26</f>
        <v>5547592</v>
      </c>
      <c r="H22" s="100">
        <f>2132380+H26</f>
        <v>2132380</v>
      </c>
      <c r="I22"/>
      <c r="J22"/>
      <c r="K22"/>
      <c r="L22"/>
      <c r="M22"/>
    </row>
    <row r="23" spans="1:13" s="50" customFormat="1" ht="30.75" customHeight="1" thickBot="1">
      <c r="A23" s="101"/>
      <c r="B23" s="101"/>
      <c r="C23" s="530" t="s">
        <v>336</v>
      </c>
      <c r="D23" s="103">
        <f t="shared" si="0"/>
        <v>853868</v>
      </c>
      <c r="E23" s="103">
        <f>287500+E26</f>
        <v>287500</v>
      </c>
      <c r="F23" s="103">
        <f>19500+F26</f>
        <v>19500</v>
      </c>
      <c r="G23" s="103">
        <f>19500+G26</f>
        <v>414368</v>
      </c>
      <c r="H23" s="103">
        <f>132500+H26</f>
        <v>132500</v>
      </c>
      <c r="I23"/>
      <c r="J23"/>
      <c r="K23"/>
      <c r="L23"/>
      <c r="M23"/>
    </row>
    <row r="24" spans="1:13" s="50" customFormat="1" ht="18" customHeight="1" thickTop="1">
      <c r="A24" s="104">
        <v>700</v>
      </c>
      <c r="B24" s="104"/>
      <c r="C24" s="104" t="s">
        <v>603</v>
      </c>
      <c r="D24" s="114">
        <f t="shared" si="0"/>
        <v>739868</v>
      </c>
      <c r="E24" s="114">
        <f>287500+E26</f>
        <v>287500</v>
      </c>
      <c r="F24" s="114">
        <f>19500+F26</f>
        <v>19500</v>
      </c>
      <c r="G24" s="114">
        <f>19500+G26</f>
        <v>414368</v>
      </c>
      <c r="H24" s="114">
        <f>18500+H26</f>
        <v>18500</v>
      </c>
      <c r="I24"/>
      <c r="J24"/>
      <c r="K24"/>
      <c r="L24"/>
      <c r="M24"/>
    </row>
    <row r="25" spans="1:13" s="50" customFormat="1" ht="18" customHeight="1">
      <c r="A25" s="135"/>
      <c r="B25" s="108">
        <v>70005</v>
      </c>
      <c r="C25" s="108" t="s">
        <v>568</v>
      </c>
      <c r="D25" s="94">
        <f t="shared" si="0"/>
        <v>345000</v>
      </c>
      <c r="E25" s="94">
        <v>287500</v>
      </c>
      <c r="F25" s="94">
        <v>19500</v>
      </c>
      <c r="G25" s="94">
        <v>19500</v>
      </c>
      <c r="H25" s="94">
        <v>18500</v>
      </c>
      <c r="I25"/>
      <c r="J25"/>
      <c r="K25"/>
      <c r="L25"/>
      <c r="M25"/>
    </row>
    <row r="26" spans="1:13" s="50" customFormat="1" ht="18" customHeight="1">
      <c r="A26" s="109"/>
      <c r="B26" s="111"/>
      <c r="C26" s="111"/>
      <c r="D26" s="112">
        <f t="shared" si="0"/>
        <v>394868</v>
      </c>
      <c r="E26" s="112"/>
      <c r="F26" s="497"/>
      <c r="G26" s="497">
        <v>394868</v>
      </c>
      <c r="H26" s="112"/>
      <c r="I26"/>
      <c r="J26"/>
      <c r="K26"/>
      <c r="L26"/>
      <c r="M26"/>
    </row>
    <row r="27" spans="1:13" s="50" customFormat="1" ht="18.75" customHeight="1">
      <c r="A27" s="92"/>
      <c r="B27" s="92"/>
      <c r="C27" s="99" t="s">
        <v>222</v>
      </c>
      <c r="D27" s="100">
        <f t="shared" si="0"/>
        <v>50285901</v>
      </c>
      <c r="E27" s="100">
        <f>11418950+E31+E33+E36</f>
        <v>11418950</v>
      </c>
      <c r="F27" s="100">
        <f>12598518+F31+F33+F36</f>
        <v>12598518</v>
      </c>
      <c r="G27" s="100">
        <f>13353110+G31+G33+G36</f>
        <v>13363110</v>
      </c>
      <c r="H27" s="100">
        <f>12875323+H31+H33+H36</f>
        <v>12905323</v>
      </c>
      <c r="I27"/>
      <c r="J27"/>
      <c r="K27"/>
      <c r="L27"/>
      <c r="M27"/>
    </row>
    <row r="28" spans="1:13" s="50" customFormat="1" ht="24.75" customHeight="1" thickBot="1">
      <c r="A28" s="101"/>
      <c r="B28" s="101"/>
      <c r="C28" s="102" t="s">
        <v>523</v>
      </c>
      <c r="D28" s="103">
        <f t="shared" si="0"/>
        <v>50245901</v>
      </c>
      <c r="E28" s="103">
        <f>11418950+E31+E33</f>
        <v>11418950</v>
      </c>
      <c r="F28" s="103">
        <f>12598518+F31+F33</f>
        <v>12598518</v>
      </c>
      <c r="G28" s="103">
        <f>13353110+G31+G33</f>
        <v>13353110</v>
      </c>
      <c r="H28" s="103">
        <f>12875323+H31+H33</f>
        <v>12875323</v>
      </c>
      <c r="I28"/>
      <c r="J28"/>
      <c r="K28"/>
      <c r="L28"/>
      <c r="M28"/>
    </row>
    <row r="29" spans="1:13" s="50" customFormat="1" ht="18" customHeight="1" thickTop="1">
      <c r="A29" s="104">
        <v>600</v>
      </c>
      <c r="B29" s="104"/>
      <c r="C29" s="104" t="s">
        <v>626</v>
      </c>
      <c r="D29" s="114">
        <f t="shared" si="0"/>
        <v>26570000</v>
      </c>
      <c r="E29" s="114">
        <f>4319000+E31+E33</f>
        <v>4319000</v>
      </c>
      <c r="F29" s="114">
        <f>5744000+F31+F33</f>
        <v>5744000</v>
      </c>
      <c r="G29" s="114">
        <f>7794000+G31+G33</f>
        <v>7794000</v>
      </c>
      <c r="H29" s="114">
        <f>8713000+H31+H33</f>
        <v>8713000</v>
      </c>
      <c r="I29"/>
      <c r="J29"/>
      <c r="K29"/>
      <c r="L29"/>
      <c r="M29"/>
    </row>
    <row r="30" spans="1:13" s="50" customFormat="1" ht="18" customHeight="1">
      <c r="A30" s="135"/>
      <c r="B30" s="108">
        <v>60015</v>
      </c>
      <c r="C30" s="108" t="s">
        <v>627</v>
      </c>
      <c r="D30" s="94">
        <f t="shared" si="0"/>
        <v>15420000</v>
      </c>
      <c r="E30" s="94">
        <v>1278000</v>
      </c>
      <c r="F30" s="94">
        <v>2980000</v>
      </c>
      <c r="G30" s="94">
        <v>4862000</v>
      </c>
      <c r="H30" s="94">
        <v>6300000</v>
      </c>
      <c r="I30"/>
      <c r="J30"/>
      <c r="K30"/>
      <c r="L30"/>
      <c r="M30"/>
    </row>
    <row r="31" spans="1:13" s="50" customFormat="1" ht="18" customHeight="1">
      <c r="A31" s="111"/>
      <c r="B31" s="111"/>
      <c r="C31" s="111"/>
      <c r="D31" s="112">
        <f t="shared" si="0"/>
        <v>50000</v>
      </c>
      <c r="E31" s="112"/>
      <c r="F31" s="497">
        <v>50000</v>
      </c>
      <c r="G31" s="497"/>
      <c r="H31" s="112"/>
      <c r="I31"/>
      <c r="J31"/>
      <c r="K31"/>
      <c r="L31"/>
      <c r="M31"/>
    </row>
    <row r="32" spans="1:13" s="50" customFormat="1" ht="18" customHeight="1">
      <c r="A32" s="141"/>
      <c r="B32" s="92">
        <v>60016</v>
      </c>
      <c r="C32" s="92" t="s">
        <v>461</v>
      </c>
      <c r="D32" s="113">
        <f t="shared" si="0"/>
        <v>4240000</v>
      </c>
      <c r="E32" s="113">
        <v>488000</v>
      </c>
      <c r="F32" s="113">
        <v>1147000</v>
      </c>
      <c r="G32" s="113">
        <v>1245000</v>
      </c>
      <c r="H32" s="113">
        <v>1360000</v>
      </c>
      <c r="I32"/>
      <c r="J32"/>
      <c r="K32"/>
      <c r="L32"/>
      <c r="M32"/>
    </row>
    <row r="33" spans="1:13" s="50" customFormat="1" ht="18" customHeight="1">
      <c r="A33" s="141"/>
      <c r="B33" s="111"/>
      <c r="C33" s="111"/>
      <c r="D33" s="112">
        <f t="shared" si="0"/>
        <v>-50000</v>
      </c>
      <c r="E33" s="112"/>
      <c r="F33" s="112">
        <v>-50000</v>
      </c>
      <c r="G33" s="112"/>
      <c r="H33" s="112"/>
      <c r="I33"/>
      <c r="J33"/>
      <c r="K33"/>
      <c r="L33"/>
      <c r="M33"/>
    </row>
    <row r="34" spans="1:13" s="50" customFormat="1" ht="18.75" customHeight="1" thickBot="1">
      <c r="A34" s="105"/>
      <c r="B34" s="105"/>
      <c r="C34" s="106" t="s">
        <v>484</v>
      </c>
      <c r="D34" s="107">
        <f t="shared" si="0"/>
        <v>40000</v>
      </c>
      <c r="E34" s="107"/>
      <c r="F34" s="107"/>
      <c r="G34" s="107">
        <f>G35</f>
        <v>10000</v>
      </c>
      <c r="H34" s="107">
        <f>H35</f>
        <v>30000</v>
      </c>
      <c r="I34"/>
      <c r="J34"/>
      <c r="K34"/>
      <c r="L34"/>
      <c r="M34"/>
    </row>
    <row r="35" spans="1:13" s="50" customFormat="1" ht="18.75" customHeight="1" thickTop="1">
      <c r="A35" s="225">
        <v>710</v>
      </c>
      <c r="B35" s="115"/>
      <c r="C35" s="522" t="s">
        <v>478</v>
      </c>
      <c r="D35" s="120">
        <f t="shared" si="0"/>
        <v>40000</v>
      </c>
      <c r="E35" s="120"/>
      <c r="F35" s="120"/>
      <c r="G35" s="120">
        <f>G36</f>
        <v>10000</v>
      </c>
      <c r="H35" s="120">
        <f>H36</f>
        <v>30000</v>
      </c>
      <c r="I35"/>
      <c r="J35"/>
      <c r="K35"/>
      <c r="L35"/>
      <c r="M35"/>
    </row>
    <row r="36" spans="1:13" s="50" customFormat="1" ht="18" customHeight="1">
      <c r="A36" s="141"/>
      <c r="B36" s="162">
        <v>71035</v>
      </c>
      <c r="C36" s="421" t="s">
        <v>479</v>
      </c>
      <c r="D36" s="166">
        <f t="shared" si="0"/>
        <v>40000</v>
      </c>
      <c r="E36" s="166"/>
      <c r="F36" s="166"/>
      <c r="G36" s="166">
        <v>10000</v>
      </c>
      <c r="H36" s="166">
        <v>30000</v>
      </c>
      <c r="I36"/>
      <c r="J36"/>
      <c r="K36"/>
      <c r="L36"/>
      <c r="M36"/>
    </row>
    <row r="37" spans="1:13" s="50" customFormat="1" ht="18.75" customHeight="1">
      <c r="A37" s="92"/>
      <c r="B37" s="92"/>
      <c r="C37" s="99" t="s">
        <v>191</v>
      </c>
      <c r="D37" s="100">
        <f t="shared" si="0"/>
        <v>62045076</v>
      </c>
      <c r="E37" s="100">
        <f>12244539+E41</f>
        <v>12244539</v>
      </c>
      <c r="F37" s="100">
        <f>14063234+F41</f>
        <v>14064679</v>
      </c>
      <c r="G37" s="100">
        <f>16448242+G41</f>
        <v>16448242</v>
      </c>
      <c r="H37" s="100">
        <f>19287616+H41</f>
        <v>19287616</v>
      </c>
      <c r="I37"/>
      <c r="J37"/>
      <c r="K37"/>
      <c r="L37"/>
      <c r="M37"/>
    </row>
    <row r="38" spans="1:13" s="50" customFormat="1" ht="18.75" customHeight="1" thickBot="1">
      <c r="A38" s="105"/>
      <c r="B38" s="105"/>
      <c r="C38" s="106" t="s">
        <v>523</v>
      </c>
      <c r="D38" s="107">
        <f t="shared" si="0"/>
        <v>59662585</v>
      </c>
      <c r="E38" s="107">
        <f>10997312+E41</f>
        <v>10997312</v>
      </c>
      <c r="F38" s="107">
        <f>12927970+F41</f>
        <v>12929415</v>
      </c>
      <c r="G38" s="107">
        <f>16448242+G41</f>
        <v>16448242</v>
      </c>
      <c r="H38" s="107">
        <f>19287616+H41</f>
        <v>19287616</v>
      </c>
      <c r="I38"/>
      <c r="J38"/>
      <c r="K38"/>
      <c r="L38"/>
      <c r="M38"/>
    </row>
    <row r="39" spans="1:13" s="50" customFormat="1" ht="18" customHeight="1" thickTop="1">
      <c r="A39" s="104">
        <v>852</v>
      </c>
      <c r="B39" s="104"/>
      <c r="C39" s="104" t="s">
        <v>511</v>
      </c>
      <c r="D39" s="114">
        <f t="shared" si="0"/>
        <v>1023155</v>
      </c>
      <c r="E39" s="114">
        <f>3416+E41</f>
        <v>3416</v>
      </c>
      <c r="F39" s="114">
        <f>247210+F41</f>
        <v>248655</v>
      </c>
      <c r="G39" s="114">
        <f>243584+G41</f>
        <v>243584</v>
      </c>
      <c r="H39" s="114">
        <f>527500+H41</f>
        <v>527500</v>
      </c>
      <c r="I39"/>
      <c r="J39"/>
      <c r="K39"/>
      <c r="L39"/>
      <c r="M39"/>
    </row>
    <row r="40" spans="1:13" s="50" customFormat="1" ht="18" customHeight="1">
      <c r="A40" s="135"/>
      <c r="B40" s="108">
        <v>85201</v>
      </c>
      <c r="C40" s="108" t="s">
        <v>85</v>
      </c>
      <c r="D40" s="94">
        <f t="shared" si="0"/>
        <v>247210</v>
      </c>
      <c r="E40" s="94"/>
      <c r="F40" s="94">
        <v>247210</v>
      </c>
      <c r="G40" s="94"/>
      <c r="H40" s="94"/>
      <c r="I40"/>
      <c r="J40"/>
      <c r="K40"/>
      <c r="L40"/>
      <c r="M40"/>
    </row>
    <row r="41" spans="1:13" s="50" customFormat="1" ht="18" customHeight="1">
      <c r="A41" s="109"/>
      <c r="B41" s="111"/>
      <c r="C41" s="111"/>
      <c r="D41" s="112">
        <f t="shared" si="0"/>
        <v>1445</v>
      </c>
      <c r="E41" s="112"/>
      <c r="F41" s="112">
        <v>1445</v>
      </c>
      <c r="G41" s="393"/>
      <c r="H41" s="112"/>
      <c r="I41"/>
      <c r="J41"/>
      <c r="K41"/>
      <c r="L41"/>
      <c r="M41"/>
    </row>
    <row r="42" spans="1:13" s="50" customFormat="1" ht="21" customHeight="1">
      <c r="A42" s="92"/>
      <c r="B42" s="92"/>
      <c r="C42" s="99" t="s">
        <v>192</v>
      </c>
      <c r="D42" s="100">
        <f t="shared" si="0"/>
        <v>23827388</v>
      </c>
      <c r="E42" s="100">
        <f>4911450+E46+E48+E50+E52+E54+E56+E58+E60+E62+E64+E66+E69+E71+E73+E75+E77+E79+E81+E85</f>
        <v>4461655</v>
      </c>
      <c r="F42" s="100">
        <f>5775670+F46+F48+F50+F52+F54+F56+F58+F60+F62+F64+F66+F69+F71+F73+F75+F77+F79+F81+F85</f>
        <v>5521507</v>
      </c>
      <c r="G42" s="100">
        <f>5922610+G46+G48+G50+G52+G54+G56+G58+G60+G62+G64+G66+G69+G71+G73+G75+G77+G79+G81+G85</f>
        <v>6272386</v>
      </c>
      <c r="H42" s="100">
        <f>7523640+H46+H48+H50+H52+H54+H56+H58+H60+H62+H64+H66+H69+H71+H73+H75+H77+H79+H81+H85</f>
        <v>7571840</v>
      </c>
      <c r="I42"/>
      <c r="J42"/>
      <c r="K42"/>
      <c r="L42"/>
      <c r="M42"/>
    </row>
    <row r="43" spans="1:13" s="50" customFormat="1" ht="18" customHeight="1" thickBot="1">
      <c r="A43" s="105"/>
      <c r="B43" s="105"/>
      <c r="C43" s="106" t="s">
        <v>523</v>
      </c>
      <c r="D43" s="107">
        <f t="shared" si="0"/>
        <v>23545144</v>
      </c>
      <c r="E43" s="107">
        <f>4861450+E46+E48+E50+E52+E54+E56+E58+E60+E62+E64+E66+E69+E71+E73+E75+E77+E79+E81</f>
        <v>4411655</v>
      </c>
      <c r="F43" s="107">
        <f>5643426+F46+F48+F50+F52+F54+F56+F58+F60+F62+F64+F66+F69+F71+F73+F75+F77+F79+F81</f>
        <v>5341520</v>
      </c>
      <c r="G43" s="107">
        <f>5872610+G46+G48+G50+G52+G54+G56+G58+G60+G62+G64+G66+G69+G71+G73+G75+G77+G79+G81</f>
        <v>6246129</v>
      </c>
      <c r="H43" s="107">
        <f>7473640+H46+H48+H50+H52+H54+H56+H58+H60+H62+H64+H66+H69+H71+H73+H75+H77+H79+H81</f>
        <v>7545840</v>
      </c>
      <c r="I43"/>
      <c r="J43"/>
      <c r="K43"/>
      <c r="L43"/>
      <c r="M43"/>
    </row>
    <row r="44" spans="1:13" s="50" customFormat="1" ht="18" customHeight="1" thickTop="1">
      <c r="A44" s="225">
        <v>801</v>
      </c>
      <c r="B44" s="115"/>
      <c r="C44" s="115" t="s">
        <v>532</v>
      </c>
      <c r="D44" s="120">
        <f t="shared" si="0"/>
        <v>20272306</v>
      </c>
      <c r="E44" s="120">
        <f>4482100+E46+E48+E50+E52+E54+E56+E58+E60+E62+E64+E66</f>
        <v>4116002</v>
      </c>
      <c r="F44" s="120">
        <f>4837806+F46+F48+F50+F52+F54+F56+F58+F60+F62+F64+F66</f>
        <v>4524961</v>
      </c>
      <c r="G44" s="120">
        <f>4893110+G46+G48+G50+G52+G54+G56+G58+G60+G62+G64+G66</f>
        <v>5208373</v>
      </c>
      <c r="H44" s="120">
        <f>6340770+H46+H48+H50+H52+H54+H56+H58+H60+H62+H64+H66</f>
        <v>6422970</v>
      </c>
      <c r="I44"/>
      <c r="J44"/>
      <c r="K44"/>
      <c r="L44"/>
      <c r="M44"/>
    </row>
    <row r="45" spans="1:13" s="50" customFormat="1" ht="18" customHeight="1">
      <c r="A45" s="123"/>
      <c r="B45" s="108">
        <v>80101</v>
      </c>
      <c r="C45" s="108" t="s">
        <v>533</v>
      </c>
      <c r="D45" s="94">
        <f t="shared" si="0"/>
        <v>2108810</v>
      </c>
      <c r="E45" s="94">
        <v>300000</v>
      </c>
      <c r="F45" s="94">
        <v>550000</v>
      </c>
      <c r="G45" s="94">
        <v>658810</v>
      </c>
      <c r="H45" s="94">
        <v>600000</v>
      </c>
      <c r="I45" s="1"/>
      <c r="J45" s="1"/>
      <c r="K45" s="1"/>
      <c r="L45" s="1"/>
      <c r="M45" s="1"/>
    </row>
    <row r="46" spans="1:13" s="50" customFormat="1" ht="18" customHeight="1">
      <c r="A46" s="327"/>
      <c r="B46" s="111"/>
      <c r="C46" s="111"/>
      <c r="D46" s="112">
        <f t="shared" si="0"/>
        <v>-41550</v>
      </c>
      <c r="E46" s="112">
        <v>-45322</v>
      </c>
      <c r="F46" s="112">
        <v>-275459</v>
      </c>
      <c r="G46" s="112">
        <v>119231</v>
      </c>
      <c r="H46" s="112">
        <v>160000</v>
      </c>
      <c r="I46" s="11"/>
      <c r="J46" s="11"/>
      <c r="K46" s="11"/>
      <c r="L46" s="11"/>
      <c r="M46" s="11"/>
    </row>
    <row r="47" spans="1:13" s="50" customFormat="1" ht="18" customHeight="1">
      <c r="A47" s="123"/>
      <c r="B47" s="108">
        <v>80103</v>
      </c>
      <c r="C47" s="108" t="s">
        <v>266</v>
      </c>
      <c r="D47" s="94">
        <f t="shared" si="0"/>
        <v>45120</v>
      </c>
      <c r="E47" s="94"/>
      <c r="F47" s="94"/>
      <c r="G47" s="94"/>
      <c r="H47" s="94">
        <v>45120</v>
      </c>
      <c r="I47" s="1"/>
      <c r="J47" s="1"/>
      <c r="K47" s="1"/>
      <c r="L47" s="1"/>
      <c r="M47" s="1"/>
    </row>
    <row r="48" spans="1:13" s="50" customFormat="1" ht="18" customHeight="1">
      <c r="A48" s="327"/>
      <c r="B48" s="111"/>
      <c r="C48" s="111"/>
      <c r="D48" s="112">
        <f t="shared" si="0"/>
        <v>-26200</v>
      </c>
      <c r="E48" s="112"/>
      <c r="F48" s="112"/>
      <c r="G48" s="112"/>
      <c r="H48" s="112">
        <v>-26200</v>
      </c>
      <c r="I48" s="11"/>
      <c r="J48" s="11"/>
      <c r="K48" s="11"/>
      <c r="L48" s="11"/>
      <c r="M48" s="11"/>
    </row>
    <row r="49" spans="1:13" s="51" customFormat="1" ht="18" customHeight="1">
      <c r="A49" s="123"/>
      <c r="B49" s="92">
        <v>80104</v>
      </c>
      <c r="C49" s="92" t="s">
        <v>501</v>
      </c>
      <c r="D49" s="113">
        <f t="shared" si="0"/>
        <v>4405806</v>
      </c>
      <c r="E49" s="113">
        <v>987300</v>
      </c>
      <c r="F49" s="113">
        <v>1112006</v>
      </c>
      <c r="G49" s="113">
        <v>1025000</v>
      </c>
      <c r="H49" s="113">
        <v>1281500</v>
      </c>
      <c r="I49" s="1"/>
      <c r="J49" s="1"/>
      <c r="K49" s="1"/>
      <c r="L49" s="1"/>
      <c r="M49" s="1"/>
    </row>
    <row r="50" spans="1:13" s="50" customFormat="1" ht="18" customHeight="1">
      <c r="A50" s="327"/>
      <c r="B50" s="109"/>
      <c r="C50" s="109"/>
      <c r="D50" s="110">
        <f t="shared" si="0"/>
        <v>-10865</v>
      </c>
      <c r="E50" s="110"/>
      <c r="F50" s="110"/>
      <c r="G50" s="110"/>
      <c r="H50" s="110">
        <v>-10865</v>
      </c>
      <c r="I50" s="11"/>
      <c r="J50" s="11"/>
      <c r="K50" s="11"/>
      <c r="L50" s="11"/>
      <c r="M50" s="11"/>
    </row>
    <row r="51" spans="1:13" s="50" customFormat="1" ht="18" customHeight="1">
      <c r="A51" s="123"/>
      <c r="B51" s="108">
        <v>80110</v>
      </c>
      <c r="C51" s="108" t="s">
        <v>534</v>
      </c>
      <c r="D51" s="94">
        <f t="shared" si="0"/>
        <v>3079100</v>
      </c>
      <c r="E51" s="94">
        <v>650000</v>
      </c>
      <c r="F51" s="94">
        <v>642800</v>
      </c>
      <c r="G51" s="94">
        <v>650000</v>
      </c>
      <c r="H51" s="94">
        <v>1136300</v>
      </c>
      <c r="I51" s="1"/>
      <c r="J51" s="1"/>
      <c r="K51" s="1"/>
      <c r="L51" s="1"/>
      <c r="M51" s="1"/>
    </row>
    <row r="52" spans="1:13" s="50" customFormat="1" ht="18" customHeight="1">
      <c r="A52" s="327"/>
      <c r="B52" s="111"/>
      <c r="C52" s="111"/>
      <c r="D52" s="112">
        <f t="shared" si="0"/>
        <v>-100000</v>
      </c>
      <c r="E52" s="112">
        <v>-4476</v>
      </c>
      <c r="F52" s="112">
        <v>84385</v>
      </c>
      <c r="G52" s="112"/>
      <c r="H52" s="112">
        <v>-179909</v>
      </c>
      <c r="I52" s="11"/>
      <c r="J52" s="11"/>
      <c r="K52" s="11"/>
      <c r="L52" s="11"/>
      <c r="M52" s="11"/>
    </row>
    <row r="53" spans="1:13" s="50" customFormat="1" ht="18" customHeight="1">
      <c r="A53" s="123"/>
      <c r="B53" s="108">
        <v>80113</v>
      </c>
      <c r="C53" s="108" t="s">
        <v>294</v>
      </c>
      <c r="D53" s="94">
        <f t="shared" si="0"/>
        <v>27700</v>
      </c>
      <c r="E53" s="94"/>
      <c r="F53" s="94"/>
      <c r="G53" s="94"/>
      <c r="H53" s="94">
        <v>27700</v>
      </c>
      <c r="I53" s="1"/>
      <c r="J53" s="1"/>
      <c r="K53" s="1"/>
      <c r="L53" s="1"/>
      <c r="M53" s="1"/>
    </row>
    <row r="54" spans="1:13" s="50" customFormat="1" ht="18" customHeight="1">
      <c r="A54" s="327"/>
      <c r="B54" s="111"/>
      <c r="C54" s="111"/>
      <c r="D54" s="112">
        <f t="shared" si="0"/>
        <v>-12965</v>
      </c>
      <c r="E54" s="112"/>
      <c r="F54" s="112"/>
      <c r="G54" s="112"/>
      <c r="H54" s="112">
        <v>-12965</v>
      </c>
      <c r="I54" s="11"/>
      <c r="J54" s="11"/>
      <c r="K54" s="11"/>
      <c r="L54" s="11"/>
      <c r="M54" s="11"/>
    </row>
    <row r="55" spans="1:13" s="50" customFormat="1" ht="18" customHeight="1">
      <c r="A55" s="768"/>
      <c r="B55" s="829">
        <v>80120</v>
      </c>
      <c r="C55" s="829" t="s">
        <v>535</v>
      </c>
      <c r="D55" s="830">
        <f t="shared" si="0"/>
        <v>4213800</v>
      </c>
      <c r="E55" s="830">
        <v>1000000</v>
      </c>
      <c r="F55" s="830">
        <v>1000000</v>
      </c>
      <c r="G55" s="830">
        <v>1000000</v>
      </c>
      <c r="H55" s="830">
        <v>1213800</v>
      </c>
      <c r="I55" s="51"/>
      <c r="J55" s="51"/>
      <c r="K55" s="51"/>
      <c r="L55" s="51"/>
      <c r="M55" s="51"/>
    </row>
    <row r="56" spans="1:8" s="50" customFormat="1" ht="18" customHeight="1">
      <c r="A56" s="769"/>
      <c r="B56" s="761"/>
      <c r="C56" s="761"/>
      <c r="D56" s="834">
        <f t="shared" si="0"/>
        <v>-15000</v>
      </c>
      <c r="E56" s="834">
        <v>-37793</v>
      </c>
      <c r="F56" s="834">
        <v>21109</v>
      </c>
      <c r="G56" s="834">
        <v>1684</v>
      </c>
      <c r="H56" s="834"/>
    </row>
    <row r="57" spans="1:13" s="50" customFormat="1" ht="18" customHeight="1">
      <c r="A57" s="768"/>
      <c r="B57" s="829">
        <v>80123</v>
      </c>
      <c r="C57" s="829" t="s">
        <v>296</v>
      </c>
      <c r="D57" s="830">
        <f t="shared" si="0"/>
        <v>541300</v>
      </c>
      <c r="E57" s="830">
        <v>90000</v>
      </c>
      <c r="F57" s="830">
        <v>90000</v>
      </c>
      <c r="G57" s="830">
        <v>90000</v>
      </c>
      <c r="H57" s="830">
        <v>271300</v>
      </c>
      <c r="I57" s="51"/>
      <c r="J57" s="51"/>
      <c r="K57" s="51"/>
      <c r="L57" s="51"/>
      <c r="M57" s="51"/>
    </row>
    <row r="58" spans="1:8" s="50" customFormat="1" ht="18" customHeight="1">
      <c r="A58" s="769"/>
      <c r="B58" s="761"/>
      <c r="C58" s="761"/>
      <c r="D58" s="834">
        <f t="shared" si="0"/>
        <v>-15000</v>
      </c>
      <c r="E58" s="834">
        <v>-1421</v>
      </c>
      <c r="F58" s="834">
        <v>6542</v>
      </c>
      <c r="G58" s="834"/>
      <c r="H58" s="834">
        <v>-20121</v>
      </c>
    </row>
    <row r="59" spans="1:13" s="50" customFormat="1" ht="18" customHeight="1">
      <c r="A59" s="768"/>
      <c r="B59" s="829">
        <v>80130</v>
      </c>
      <c r="C59" s="829" t="s">
        <v>536</v>
      </c>
      <c r="D59" s="830">
        <f t="shared" si="0"/>
        <v>5775450</v>
      </c>
      <c r="E59" s="830">
        <v>1400000</v>
      </c>
      <c r="F59" s="830">
        <v>1388000</v>
      </c>
      <c r="G59" s="830">
        <v>1400000</v>
      </c>
      <c r="H59" s="830">
        <v>1587450</v>
      </c>
      <c r="I59" s="51"/>
      <c r="J59" s="51"/>
      <c r="K59" s="51"/>
      <c r="L59" s="51"/>
      <c r="M59" s="51"/>
    </row>
    <row r="60" spans="1:8" s="50" customFormat="1" ht="18" customHeight="1">
      <c r="A60" s="769"/>
      <c r="B60" s="761"/>
      <c r="C60" s="761"/>
      <c r="D60" s="834">
        <f t="shared" si="0"/>
        <v>-59500</v>
      </c>
      <c r="E60" s="834">
        <v>-266286</v>
      </c>
      <c r="F60" s="834">
        <v>-167374</v>
      </c>
      <c r="G60" s="834">
        <v>200000</v>
      </c>
      <c r="H60" s="834">
        <v>174160</v>
      </c>
    </row>
    <row r="61" spans="1:13" s="50" customFormat="1" ht="26.25" customHeight="1">
      <c r="A61" s="768"/>
      <c r="B61" s="829">
        <v>80140</v>
      </c>
      <c r="C61" s="835" t="s">
        <v>267</v>
      </c>
      <c r="D61" s="830">
        <f aca="true" t="shared" si="1" ref="D61:D127">SUM(E61:H61)</f>
        <v>82800</v>
      </c>
      <c r="E61" s="830"/>
      <c r="F61" s="830"/>
      <c r="G61" s="830"/>
      <c r="H61" s="830">
        <v>82800</v>
      </c>
      <c r="I61" s="51"/>
      <c r="J61" s="51"/>
      <c r="K61" s="51"/>
      <c r="L61" s="51"/>
      <c r="M61" s="51"/>
    </row>
    <row r="62" spans="1:8" s="50" customFormat="1" ht="18" customHeight="1">
      <c r="A62" s="1121"/>
      <c r="B62" s="761"/>
      <c r="C62" s="761"/>
      <c r="D62" s="834">
        <f t="shared" si="1"/>
        <v>-1900</v>
      </c>
      <c r="E62" s="834"/>
      <c r="F62" s="834"/>
      <c r="G62" s="834"/>
      <c r="H62" s="834">
        <v>-1900</v>
      </c>
    </row>
    <row r="63" spans="1:13" s="51" customFormat="1" ht="18" customHeight="1">
      <c r="A63" s="123"/>
      <c r="B63" s="92">
        <v>80195</v>
      </c>
      <c r="C63" s="92" t="s">
        <v>531</v>
      </c>
      <c r="D63" s="113">
        <f t="shared" si="1"/>
        <v>33500</v>
      </c>
      <c r="E63" s="113"/>
      <c r="F63" s="113">
        <v>25000</v>
      </c>
      <c r="G63" s="113">
        <v>8500</v>
      </c>
      <c r="H63" s="113"/>
      <c r="I63" s="1"/>
      <c r="J63" s="1"/>
      <c r="K63" s="1"/>
      <c r="L63" s="1"/>
      <c r="M63" s="1"/>
    </row>
    <row r="64" spans="1:13" s="50" customFormat="1" ht="18" customHeight="1">
      <c r="A64" s="435"/>
      <c r="B64" s="111"/>
      <c r="C64" s="111"/>
      <c r="D64" s="112">
        <f t="shared" si="1"/>
        <v>1500</v>
      </c>
      <c r="E64" s="112"/>
      <c r="F64" s="112">
        <v>7152</v>
      </c>
      <c r="G64" s="112">
        <f>1500-7152</f>
        <v>-5652</v>
      </c>
      <c r="H64" s="112"/>
      <c r="I64"/>
      <c r="J64"/>
      <c r="K64"/>
      <c r="L64"/>
      <c r="M64"/>
    </row>
    <row r="65" spans="1:13" s="51" customFormat="1" ht="18" customHeight="1">
      <c r="A65" s="123"/>
      <c r="B65" s="108">
        <v>80197</v>
      </c>
      <c r="C65" s="108" t="s">
        <v>268</v>
      </c>
      <c r="D65" s="94">
        <f t="shared" si="1"/>
        <v>109600</v>
      </c>
      <c r="E65" s="94">
        <v>54800</v>
      </c>
      <c r="F65" s="94"/>
      <c r="G65" s="94">
        <v>54800</v>
      </c>
      <c r="H65" s="94"/>
      <c r="I65" s="1"/>
      <c r="J65" s="1"/>
      <c r="K65" s="1"/>
      <c r="L65" s="1"/>
      <c r="M65" s="1"/>
    </row>
    <row r="66" spans="1:13" s="50" customFormat="1" ht="18" customHeight="1">
      <c r="A66" s="836"/>
      <c r="B66" s="111"/>
      <c r="C66" s="111"/>
      <c r="D66" s="112">
        <f t="shared" si="1"/>
        <v>0</v>
      </c>
      <c r="E66" s="112">
        <v>-10800</v>
      </c>
      <c r="F66" s="112">
        <v>10800</v>
      </c>
      <c r="G66" s="112"/>
      <c r="H66" s="112"/>
      <c r="I66"/>
      <c r="J66"/>
      <c r="K66"/>
      <c r="L66"/>
      <c r="M66"/>
    </row>
    <row r="67" spans="1:13" s="49" customFormat="1" ht="18" customHeight="1">
      <c r="A67" s="104">
        <v>854</v>
      </c>
      <c r="B67" s="104"/>
      <c r="C67" s="104" t="s">
        <v>537</v>
      </c>
      <c r="D67" s="114">
        <f t="shared" si="1"/>
        <v>3237838</v>
      </c>
      <c r="E67" s="114">
        <f>379350+E69+E71+E73+E75+E77+E79+E81</f>
        <v>295653</v>
      </c>
      <c r="F67" s="114">
        <f>770620+F69+F71+F73+F75+F77+F79+F81</f>
        <v>781559</v>
      </c>
      <c r="G67" s="114">
        <f>979500+G69+G71+G73+G75+G77+G79+G81</f>
        <v>1037756</v>
      </c>
      <c r="H67" s="114">
        <f>1132870+H69+H71+H73+H75+H77+H79+H81</f>
        <v>1122870</v>
      </c>
      <c r="I67"/>
      <c r="J67"/>
      <c r="K67"/>
      <c r="L67"/>
      <c r="M67"/>
    </row>
    <row r="68" spans="1:8" s="51" customFormat="1" ht="18" customHeight="1">
      <c r="A68" s="763"/>
      <c r="B68" s="763">
        <v>85401</v>
      </c>
      <c r="C68" s="763" t="s">
        <v>297</v>
      </c>
      <c r="D68" s="831">
        <f t="shared" si="1"/>
        <v>522580</v>
      </c>
      <c r="E68" s="831"/>
      <c r="F68" s="831">
        <v>120000</v>
      </c>
      <c r="G68" s="831">
        <v>250000</v>
      </c>
      <c r="H68" s="831">
        <v>152580</v>
      </c>
    </row>
    <row r="69" spans="1:8" s="50" customFormat="1" ht="18" customHeight="1">
      <c r="A69" s="832"/>
      <c r="B69" s="761"/>
      <c r="C69" s="761"/>
      <c r="D69" s="834">
        <f t="shared" si="1"/>
        <v>-1000</v>
      </c>
      <c r="E69" s="834"/>
      <c r="F69" s="834">
        <v>-1000</v>
      </c>
      <c r="G69" s="834"/>
      <c r="H69" s="834"/>
    </row>
    <row r="70" spans="1:8" s="51" customFormat="1" ht="18" customHeight="1">
      <c r="A70" s="763"/>
      <c r="B70" s="829">
        <v>85403</v>
      </c>
      <c r="C70" s="829" t="s">
        <v>269</v>
      </c>
      <c r="D70" s="830">
        <f t="shared" si="1"/>
        <v>667200</v>
      </c>
      <c r="E70" s="830">
        <v>150000</v>
      </c>
      <c r="F70" s="830">
        <v>150000</v>
      </c>
      <c r="G70" s="830">
        <v>150000</v>
      </c>
      <c r="H70" s="830">
        <v>217200</v>
      </c>
    </row>
    <row r="71" spans="1:8" s="50" customFormat="1" ht="18" customHeight="1">
      <c r="A71" s="832"/>
      <c r="B71" s="761"/>
      <c r="C71" s="761"/>
      <c r="D71" s="834">
        <f t="shared" si="1"/>
        <v>0</v>
      </c>
      <c r="E71" s="834">
        <v>-4690</v>
      </c>
      <c r="F71" s="834">
        <v>-24626</v>
      </c>
      <c r="G71" s="834">
        <v>29316</v>
      </c>
      <c r="H71" s="834"/>
    </row>
    <row r="72" spans="1:8" s="51" customFormat="1" ht="27" customHeight="1">
      <c r="A72" s="763"/>
      <c r="B72" s="763">
        <v>85406</v>
      </c>
      <c r="C72" s="93" t="s">
        <v>275</v>
      </c>
      <c r="D72" s="831">
        <f t="shared" si="1"/>
        <v>229200</v>
      </c>
      <c r="E72" s="831"/>
      <c r="F72" s="831"/>
      <c r="G72" s="831"/>
      <c r="H72" s="831">
        <v>229200</v>
      </c>
    </row>
    <row r="73" spans="1:8" s="50" customFormat="1" ht="18" customHeight="1">
      <c r="A73" s="832"/>
      <c r="B73" s="761"/>
      <c r="C73" s="761"/>
      <c r="D73" s="834">
        <f t="shared" si="1"/>
        <v>-10000</v>
      </c>
      <c r="E73" s="834"/>
      <c r="F73" s="834"/>
      <c r="G73" s="834"/>
      <c r="H73" s="834">
        <v>-10000</v>
      </c>
    </row>
    <row r="74" spans="1:8" s="51" customFormat="1" ht="18" customHeight="1">
      <c r="A74" s="763"/>
      <c r="B74" s="763">
        <v>85410</v>
      </c>
      <c r="C74" s="763" t="s">
        <v>756</v>
      </c>
      <c r="D74" s="831">
        <f t="shared" si="1"/>
        <v>667400</v>
      </c>
      <c r="E74" s="831">
        <v>160000</v>
      </c>
      <c r="F74" s="831">
        <v>160000</v>
      </c>
      <c r="G74" s="831">
        <v>160000</v>
      </c>
      <c r="H74" s="831">
        <v>187400</v>
      </c>
    </row>
    <row r="75" spans="1:8" s="50" customFormat="1" ht="18" customHeight="1">
      <c r="A75" s="832"/>
      <c r="B75" s="832"/>
      <c r="C75" s="832"/>
      <c r="D75" s="833">
        <f t="shared" si="1"/>
        <v>0</v>
      </c>
      <c r="E75" s="833">
        <v>-17907</v>
      </c>
      <c r="F75" s="833">
        <v>-11033</v>
      </c>
      <c r="G75" s="833">
        <v>28940</v>
      </c>
      <c r="H75" s="833"/>
    </row>
    <row r="76" spans="1:13" s="685" customFormat="1" ht="18" customHeight="1">
      <c r="A76" s="682"/>
      <c r="B76" s="108">
        <v>85415</v>
      </c>
      <c r="C76" s="93" t="s">
        <v>341</v>
      </c>
      <c r="D76" s="94">
        <f t="shared" si="1"/>
        <v>968590</v>
      </c>
      <c r="E76" s="94">
        <v>43100</v>
      </c>
      <c r="F76" s="94">
        <v>318370</v>
      </c>
      <c r="G76" s="94">
        <v>343000</v>
      </c>
      <c r="H76" s="94">
        <v>264120</v>
      </c>
      <c r="I76" s="684"/>
      <c r="J76" s="684"/>
      <c r="K76" s="684"/>
      <c r="L76" s="684"/>
      <c r="M76" s="684"/>
    </row>
    <row r="77" spans="1:13" s="50" customFormat="1" ht="18" customHeight="1">
      <c r="A77" s="109"/>
      <c r="B77" s="111"/>
      <c r="C77" s="111"/>
      <c r="D77" s="112">
        <f t="shared" si="1"/>
        <v>-3502</v>
      </c>
      <c r="E77" s="112">
        <v>-43100</v>
      </c>
      <c r="F77" s="112">
        <f>29598+10000</f>
        <v>39598</v>
      </c>
      <c r="G77" s="112"/>
      <c r="H77" s="112"/>
      <c r="I77"/>
      <c r="J77"/>
      <c r="K77"/>
      <c r="L77"/>
      <c r="M77"/>
    </row>
    <row r="78" spans="1:13" s="51" customFormat="1" ht="18" customHeight="1">
      <c r="A78" s="92"/>
      <c r="B78" s="108">
        <v>85495</v>
      </c>
      <c r="C78" s="108" t="s">
        <v>531</v>
      </c>
      <c r="D78" s="94">
        <f t="shared" si="1"/>
        <v>111570</v>
      </c>
      <c r="E78" s="94">
        <v>9750</v>
      </c>
      <c r="F78" s="94">
        <v>22250</v>
      </c>
      <c r="G78" s="94">
        <v>60000</v>
      </c>
      <c r="H78" s="94">
        <v>19570</v>
      </c>
      <c r="I78" s="1"/>
      <c r="J78" s="1"/>
      <c r="K78" s="1"/>
      <c r="L78" s="1"/>
      <c r="M78" s="1"/>
    </row>
    <row r="79" spans="1:13" s="50" customFormat="1" ht="18" customHeight="1">
      <c r="A79" s="109"/>
      <c r="B79" s="111"/>
      <c r="C79" s="111"/>
      <c r="D79" s="112">
        <f t="shared" si="1"/>
        <v>-10000</v>
      </c>
      <c r="E79" s="112">
        <v>-9750</v>
      </c>
      <c r="F79" s="112">
        <v>-250</v>
      </c>
      <c r="G79" s="112"/>
      <c r="H79" s="112"/>
      <c r="I79"/>
      <c r="J79"/>
      <c r="K79"/>
      <c r="L79"/>
      <c r="M79"/>
    </row>
    <row r="80" spans="1:13" s="51" customFormat="1" ht="18" customHeight="1">
      <c r="A80" s="92"/>
      <c r="B80" s="108">
        <v>85497</v>
      </c>
      <c r="C80" s="108" t="s">
        <v>268</v>
      </c>
      <c r="D80" s="94">
        <f t="shared" si="1"/>
        <v>33000</v>
      </c>
      <c r="E80" s="94">
        <v>16500</v>
      </c>
      <c r="F80" s="94"/>
      <c r="G80" s="94">
        <v>16500</v>
      </c>
      <c r="H80" s="94"/>
      <c r="I80" s="1"/>
      <c r="J80" s="1"/>
      <c r="K80" s="1"/>
      <c r="L80" s="1"/>
      <c r="M80" s="1"/>
    </row>
    <row r="81" spans="1:13" s="50" customFormat="1" ht="18" customHeight="1">
      <c r="A81" s="109"/>
      <c r="B81" s="111"/>
      <c r="C81" s="111"/>
      <c r="D81" s="112">
        <f t="shared" si="1"/>
        <v>0</v>
      </c>
      <c r="E81" s="112">
        <v>-8250</v>
      </c>
      <c r="F81" s="112">
        <v>8250</v>
      </c>
      <c r="G81" s="112"/>
      <c r="H81" s="112"/>
      <c r="I81"/>
      <c r="J81"/>
      <c r="K81"/>
      <c r="L81"/>
      <c r="M81"/>
    </row>
    <row r="82" spans="1:13" s="50" customFormat="1" ht="27" customHeight="1" thickBot="1">
      <c r="A82" s="105"/>
      <c r="B82" s="105"/>
      <c r="C82" s="130" t="s">
        <v>618</v>
      </c>
      <c r="D82" s="107">
        <f t="shared" si="1"/>
        <v>282244</v>
      </c>
      <c r="E82" s="107">
        <f>50000+E85</f>
        <v>50000</v>
      </c>
      <c r="F82" s="107">
        <f>132244+F85</f>
        <v>179987</v>
      </c>
      <c r="G82" s="107">
        <f>50000+G85</f>
        <v>26257</v>
      </c>
      <c r="H82" s="107">
        <f>50000+H85</f>
        <v>26000</v>
      </c>
      <c r="I82"/>
      <c r="J82"/>
      <c r="K82"/>
      <c r="L82"/>
      <c r="M82"/>
    </row>
    <row r="83" spans="1:13" s="50" customFormat="1" ht="18" customHeight="1" thickTop="1">
      <c r="A83" s="225">
        <v>801</v>
      </c>
      <c r="B83" s="115"/>
      <c r="C83" s="115" t="s">
        <v>532</v>
      </c>
      <c r="D83" s="120">
        <f t="shared" si="1"/>
        <v>200000</v>
      </c>
      <c r="E83" s="120">
        <f>50000+E85</f>
        <v>50000</v>
      </c>
      <c r="F83" s="120">
        <f>50000+F85</f>
        <v>97743</v>
      </c>
      <c r="G83" s="120">
        <f>50000+G85</f>
        <v>26257</v>
      </c>
      <c r="H83" s="120">
        <f>50000+H85</f>
        <v>26000</v>
      </c>
      <c r="I83"/>
      <c r="J83"/>
      <c r="K83"/>
      <c r="L83"/>
      <c r="M83"/>
    </row>
    <row r="84" spans="1:13" s="50" customFormat="1" ht="18" customHeight="1">
      <c r="A84" s="123"/>
      <c r="B84" s="108">
        <v>80104</v>
      </c>
      <c r="C84" s="108" t="s">
        <v>501</v>
      </c>
      <c r="D84" s="94">
        <f t="shared" si="1"/>
        <v>200000</v>
      </c>
      <c r="E84" s="94">
        <v>50000</v>
      </c>
      <c r="F84" s="94">
        <v>50000</v>
      </c>
      <c r="G84" s="94">
        <v>50000</v>
      </c>
      <c r="H84" s="94">
        <v>50000</v>
      </c>
      <c r="I84" s="1"/>
      <c r="J84" s="1"/>
      <c r="K84" s="1"/>
      <c r="L84" s="1"/>
      <c r="M84" s="1"/>
    </row>
    <row r="85" spans="1:13" s="50" customFormat="1" ht="18" customHeight="1">
      <c r="A85" s="327"/>
      <c r="B85" s="111"/>
      <c r="C85" s="111"/>
      <c r="D85" s="112">
        <f t="shared" si="1"/>
        <v>0</v>
      </c>
      <c r="E85" s="112"/>
      <c r="F85" s="112">
        <v>47743</v>
      </c>
      <c r="G85" s="112">
        <v>-23743</v>
      </c>
      <c r="H85" s="112">
        <v>-24000</v>
      </c>
      <c r="I85" s="11"/>
      <c r="J85" s="11"/>
      <c r="K85" s="11"/>
      <c r="L85" s="11"/>
      <c r="M85" s="11"/>
    </row>
    <row r="86" spans="1:13" s="49" customFormat="1" ht="23.25" customHeight="1">
      <c r="A86" s="92"/>
      <c r="B86" s="92"/>
      <c r="C86" s="99" t="s">
        <v>193</v>
      </c>
      <c r="D86" s="100">
        <f t="shared" si="1"/>
        <v>53495845</v>
      </c>
      <c r="E86" s="100">
        <f>13004295+E90+E92+E94+E96+E98+E101</f>
        <v>12137087</v>
      </c>
      <c r="F86" s="100">
        <f>16629179+F90+F92+F94+F96+F98+F101</f>
        <v>17297672</v>
      </c>
      <c r="G86" s="100">
        <f>12094044+G90+G92+G94+G96+G98+G101</f>
        <v>12302759</v>
      </c>
      <c r="H86" s="100">
        <f>11768327+H90+H92+H94+H96+H98+H101</f>
        <v>11758327</v>
      </c>
      <c r="I86"/>
      <c r="J86"/>
      <c r="K86"/>
      <c r="L86"/>
      <c r="M86"/>
    </row>
    <row r="87" spans="1:13" s="49" customFormat="1" ht="22.5" customHeight="1" thickBot="1">
      <c r="A87" s="105"/>
      <c r="B87" s="92"/>
      <c r="C87" s="106" t="s">
        <v>523</v>
      </c>
      <c r="D87" s="107">
        <f t="shared" si="1"/>
        <v>52999845</v>
      </c>
      <c r="E87" s="107">
        <f>12864831+E90+E92+E94+E96+E98+E101</f>
        <v>11997623</v>
      </c>
      <c r="F87" s="107">
        <f>16507004+F90+F92+F94+F96+F98+F101</f>
        <v>17175497</v>
      </c>
      <c r="G87" s="107">
        <f>11976530+G90+G92+G94+G96+G98+G101</f>
        <v>12185245</v>
      </c>
      <c r="H87" s="107">
        <f>11651480+H90+H92+H94+H96+H98+H101</f>
        <v>11641480</v>
      </c>
      <c r="I87"/>
      <c r="J87"/>
      <c r="K87"/>
      <c r="L87"/>
      <c r="M87"/>
    </row>
    <row r="88" spans="1:13" s="49" customFormat="1" ht="18" customHeight="1" thickTop="1">
      <c r="A88" s="104">
        <v>851</v>
      </c>
      <c r="B88" s="115"/>
      <c r="C88" s="104" t="s">
        <v>620</v>
      </c>
      <c r="D88" s="114">
        <f t="shared" si="1"/>
        <v>10075965</v>
      </c>
      <c r="E88" s="114">
        <f>2715546+E90+E92+E94+E96+E98</f>
        <v>1928338</v>
      </c>
      <c r="F88" s="114">
        <f>5321689+F90+F92+F94+F96+F98</f>
        <v>6038897</v>
      </c>
      <c r="G88" s="114">
        <f>895080+G90+G92+G94+G96+G98</f>
        <v>975080</v>
      </c>
      <c r="H88" s="114">
        <f>1143650+H90+H92+H94+H96+H98</f>
        <v>1133650</v>
      </c>
      <c r="I88"/>
      <c r="J88"/>
      <c r="K88"/>
      <c r="L88"/>
      <c r="M88"/>
    </row>
    <row r="89" spans="1:13" s="49" customFormat="1" ht="18" customHeight="1">
      <c r="A89" s="92"/>
      <c r="B89" s="108">
        <v>85121</v>
      </c>
      <c r="C89" s="93" t="s">
        <v>238</v>
      </c>
      <c r="D89" s="94">
        <f t="shared" si="1"/>
        <v>6500000</v>
      </c>
      <c r="E89" s="94">
        <v>1720311</v>
      </c>
      <c r="F89" s="94">
        <v>4379689</v>
      </c>
      <c r="G89" s="94">
        <v>100000</v>
      </c>
      <c r="H89" s="94">
        <v>300000</v>
      </c>
      <c r="I89"/>
      <c r="J89"/>
      <c r="K89"/>
      <c r="L89"/>
      <c r="M89"/>
    </row>
    <row r="90" spans="1:13" s="50" customFormat="1" ht="18" customHeight="1">
      <c r="A90" s="109"/>
      <c r="B90" s="111"/>
      <c r="C90" s="111"/>
      <c r="D90" s="112">
        <f t="shared" si="1"/>
        <v>0</v>
      </c>
      <c r="E90" s="112">
        <v>-100000</v>
      </c>
      <c r="F90" s="112"/>
      <c r="G90" s="112">
        <v>100000</v>
      </c>
      <c r="H90" s="112"/>
      <c r="I90"/>
      <c r="J90"/>
      <c r="K90"/>
      <c r="L90"/>
      <c r="M90"/>
    </row>
    <row r="91" spans="1:13" s="49" customFormat="1" ht="18.75" customHeight="1">
      <c r="A91" s="92"/>
      <c r="B91" s="108">
        <v>85149</v>
      </c>
      <c r="C91" s="93" t="s">
        <v>239</v>
      </c>
      <c r="D91" s="94">
        <f t="shared" si="1"/>
        <v>100000</v>
      </c>
      <c r="E91" s="94"/>
      <c r="F91" s="94">
        <v>30000</v>
      </c>
      <c r="G91" s="94">
        <v>30000</v>
      </c>
      <c r="H91" s="94">
        <v>40000</v>
      </c>
      <c r="I91"/>
      <c r="J91"/>
      <c r="K91"/>
      <c r="L91"/>
      <c r="M91"/>
    </row>
    <row r="92" spans="1:13" s="50" customFormat="1" ht="18.75" customHeight="1">
      <c r="A92" s="111"/>
      <c r="B92" s="111"/>
      <c r="C92" s="111"/>
      <c r="D92" s="112">
        <f t="shared" si="1"/>
        <v>0</v>
      </c>
      <c r="E92" s="112"/>
      <c r="F92" s="112">
        <v>-30000</v>
      </c>
      <c r="G92" s="112">
        <v>30000</v>
      </c>
      <c r="H92" s="112"/>
      <c r="I92"/>
      <c r="J92"/>
      <c r="K92"/>
      <c r="L92"/>
      <c r="M92"/>
    </row>
    <row r="93" spans="1:13" s="49" customFormat="1" ht="18" customHeight="1">
      <c r="A93" s="92"/>
      <c r="B93" s="92">
        <v>85153</v>
      </c>
      <c r="C93" s="119" t="s">
        <v>420</v>
      </c>
      <c r="D93" s="113">
        <f t="shared" si="1"/>
        <v>78000</v>
      </c>
      <c r="E93" s="113">
        <v>36000</v>
      </c>
      <c r="F93" s="113">
        <v>17000</v>
      </c>
      <c r="G93" s="113">
        <v>13000</v>
      </c>
      <c r="H93" s="113">
        <v>12000</v>
      </c>
      <c r="I93"/>
      <c r="J93"/>
      <c r="K93"/>
      <c r="L93"/>
      <c r="M93"/>
    </row>
    <row r="94" spans="1:13" s="50" customFormat="1" ht="18" customHeight="1">
      <c r="A94" s="109"/>
      <c r="B94" s="111"/>
      <c r="C94" s="111"/>
      <c r="D94" s="112">
        <f t="shared" si="1"/>
        <v>0</v>
      </c>
      <c r="E94" s="112">
        <v>-35149</v>
      </c>
      <c r="F94" s="112">
        <v>35149</v>
      </c>
      <c r="G94" s="112"/>
      <c r="H94" s="112"/>
      <c r="I94"/>
      <c r="J94"/>
      <c r="K94"/>
      <c r="L94"/>
      <c r="M94"/>
    </row>
    <row r="95" spans="1:13" s="51" customFormat="1" ht="18" customHeight="1">
      <c r="A95" s="92"/>
      <c r="B95" s="92">
        <v>85154</v>
      </c>
      <c r="C95" s="92" t="s">
        <v>621</v>
      </c>
      <c r="D95" s="113">
        <f t="shared" si="1"/>
        <v>3091965</v>
      </c>
      <c r="E95" s="113">
        <v>959235</v>
      </c>
      <c r="F95" s="113">
        <v>720000</v>
      </c>
      <c r="G95" s="113">
        <v>662080</v>
      </c>
      <c r="H95" s="113">
        <v>750650</v>
      </c>
      <c r="I95" s="1"/>
      <c r="J95" s="1"/>
      <c r="K95" s="1"/>
      <c r="L95" s="1"/>
      <c r="M95" s="1"/>
    </row>
    <row r="96" spans="1:13" s="51" customFormat="1" ht="18" customHeight="1">
      <c r="A96" s="92"/>
      <c r="B96" s="105"/>
      <c r="C96" s="105"/>
      <c r="D96" s="233">
        <f t="shared" si="1"/>
        <v>0</v>
      </c>
      <c r="E96" s="233">
        <v>-652059</v>
      </c>
      <c r="F96" s="233">
        <v>652059</v>
      </c>
      <c r="G96" s="233"/>
      <c r="H96" s="233"/>
      <c r="I96" s="1"/>
      <c r="J96" s="1"/>
      <c r="K96" s="1"/>
      <c r="L96" s="1"/>
      <c r="M96" s="1"/>
    </row>
    <row r="97" spans="1:13" s="51" customFormat="1" ht="18" customHeight="1">
      <c r="A97" s="92"/>
      <c r="B97" s="108">
        <v>85195</v>
      </c>
      <c r="C97" s="108" t="s">
        <v>531</v>
      </c>
      <c r="D97" s="94">
        <f t="shared" si="1"/>
        <v>306000</v>
      </c>
      <c r="E97" s="94"/>
      <c r="F97" s="94">
        <v>175000</v>
      </c>
      <c r="G97" s="94">
        <v>90000</v>
      </c>
      <c r="H97" s="94">
        <v>41000</v>
      </c>
      <c r="I97" s="1"/>
      <c r="J97" s="1"/>
      <c r="K97" s="1"/>
      <c r="L97" s="1"/>
      <c r="M97" s="1"/>
    </row>
    <row r="98" spans="1:13" s="51" customFormat="1" ht="18" customHeight="1">
      <c r="A98" s="105"/>
      <c r="B98" s="105"/>
      <c r="C98" s="105"/>
      <c r="D98" s="233">
        <f t="shared" si="1"/>
        <v>0</v>
      </c>
      <c r="E98" s="233"/>
      <c r="F98" s="233">
        <v>60000</v>
      </c>
      <c r="G98" s="233">
        <v>-50000</v>
      </c>
      <c r="H98" s="233">
        <v>-10000</v>
      </c>
      <c r="I98" s="1"/>
      <c r="J98" s="1"/>
      <c r="K98" s="1"/>
      <c r="L98" s="1"/>
      <c r="M98" s="1"/>
    </row>
    <row r="99" spans="1:13" s="49" customFormat="1" ht="18" customHeight="1">
      <c r="A99" s="104">
        <v>921</v>
      </c>
      <c r="B99" s="115"/>
      <c r="C99" s="104" t="s">
        <v>745</v>
      </c>
      <c r="D99" s="114">
        <f>SUM(E99:H99)</f>
        <v>12689000</v>
      </c>
      <c r="E99" s="114">
        <f>3505100+E101</f>
        <v>3425100</v>
      </c>
      <c r="F99" s="114">
        <f>3481900+F101</f>
        <v>3433185</v>
      </c>
      <c r="G99" s="114">
        <f>3062500+G101</f>
        <v>3191215</v>
      </c>
      <c r="H99" s="114">
        <f>2639500+H101</f>
        <v>2639500</v>
      </c>
      <c r="I99"/>
      <c r="J99"/>
      <c r="K99"/>
      <c r="L99"/>
      <c r="M99"/>
    </row>
    <row r="100" spans="1:13" s="49" customFormat="1" ht="18" customHeight="1">
      <c r="A100" s="92"/>
      <c r="B100" s="108">
        <v>92116</v>
      </c>
      <c r="C100" s="93" t="s">
        <v>187</v>
      </c>
      <c r="D100" s="94">
        <f>SUM(E100:H100)</f>
        <v>4750000</v>
      </c>
      <c r="E100" s="94">
        <v>1438600</v>
      </c>
      <c r="F100" s="94">
        <v>1138400</v>
      </c>
      <c r="G100" s="94">
        <v>1137500</v>
      </c>
      <c r="H100" s="94">
        <v>1035500</v>
      </c>
      <c r="I100"/>
      <c r="J100"/>
      <c r="K100"/>
      <c r="L100"/>
      <c r="M100"/>
    </row>
    <row r="101" spans="1:13" s="50" customFormat="1" ht="18" customHeight="1">
      <c r="A101" s="109"/>
      <c r="B101" s="111"/>
      <c r="C101" s="111"/>
      <c r="D101" s="112">
        <f>SUM(E101:H101)</f>
        <v>0</v>
      </c>
      <c r="E101" s="112">
        <v>-80000</v>
      </c>
      <c r="F101" s="112">
        <v>-48715</v>
      </c>
      <c r="G101" s="112">
        <f>48715+80000</f>
        <v>128715</v>
      </c>
      <c r="H101" s="112"/>
      <c r="I101"/>
      <c r="J101"/>
      <c r="K101"/>
      <c r="L101"/>
      <c r="M101"/>
    </row>
    <row r="102" spans="1:13" s="70" customFormat="1" ht="21.75" customHeight="1">
      <c r="A102" s="92"/>
      <c r="B102" s="92"/>
      <c r="C102" s="212" t="s">
        <v>233</v>
      </c>
      <c r="D102" s="100">
        <f t="shared" si="1"/>
        <v>76281989</v>
      </c>
      <c r="E102" s="100">
        <f>11598000+E106+E108+E111+E114+E117+E119+E121+E123+E126+E129+E132+E134+E136+E139+E141+E144+E146</f>
        <v>6660368</v>
      </c>
      <c r="F102" s="100">
        <f>16245000+F106+F108+F111+F114+F117+F119+F121+F123+F126+F129+F132+F134+F136+F139+F141+F144+F146</f>
        <v>21579632</v>
      </c>
      <c r="G102" s="100">
        <f>27568989+G106+G108+G111+G114+G117+G119+G121+G123+G126+G129+G132+G134+G136+G139+G141+G144+G146</f>
        <v>27171989</v>
      </c>
      <c r="H102" s="100">
        <f>20770000+H106+H108+H111+H114+H117+H119+H121+H123+H126+H129+H132+H134+H136+H139+H141+H144+H146</f>
        <v>20870000</v>
      </c>
      <c r="I102"/>
      <c r="J102"/>
      <c r="K102"/>
      <c r="L102"/>
      <c r="M102"/>
    </row>
    <row r="103" spans="1:13" s="70" customFormat="1" ht="22.5" customHeight="1" thickBot="1">
      <c r="A103" s="105"/>
      <c r="B103" s="105"/>
      <c r="C103" s="130" t="s">
        <v>523</v>
      </c>
      <c r="D103" s="107">
        <f t="shared" si="1"/>
        <v>76281989</v>
      </c>
      <c r="E103" s="107">
        <f>11598000+E106+E108+E111+E114+E117+E119+E121+E123+E126+E129+E132+E134+E136+E139+E141+E144+E146</f>
        <v>6660368</v>
      </c>
      <c r="F103" s="107">
        <f>16245000+F106+F108+F111+F114+F117+F119+F121+F123+F126+F129+F132+F134+F136+F139+F141+F144+F146</f>
        <v>21579632</v>
      </c>
      <c r="G103" s="107">
        <f>27568989+G106+G108+G111+G114+G117+G119+G121+G123+G126+G129+G132+G134+G136+G139+G141+G144+G146</f>
        <v>27171989</v>
      </c>
      <c r="H103" s="107">
        <f>20770000+H106+H108+H111+H114+H117+H119+H121+H123+H126+H129+H132+H134+H136+H139+H141+H144+H146</f>
        <v>20870000</v>
      </c>
      <c r="I103"/>
      <c r="J103"/>
      <c r="K103"/>
      <c r="L103"/>
      <c r="M103"/>
    </row>
    <row r="104" spans="1:13" s="70" customFormat="1" ht="18" customHeight="1" thickTop="1">
      <c r="A104" s="115">
        <v>600</v>
      </c>
      <c r="B104" s="115"/>
      <c r="C104" s="104" t="s">
        <v>626</v>
      </c>
      <c r="D104" s="114">
        <f t="shared" si="1"/>
        <v>28625000</v>
      </c>
      <c r="E104" s="114">
        <f>4600000+E106+E108</f>
        <v>2639522</v>
      </c>
      <c r="F104" s="114">
        <f>4735000+F106+F108</f>
        <v>6695478</v>
      </c>
      <c r="G104" s="114">
        <f>10860000+G106+G108</f>
        <v>10860000</v>
      </c>
      <c r="H104" s="114">
        <f>8430000+H106+H108</f>
        <v>8430000</v>
      </c>
      <c r="I104"/>
      <c r="J104"/>
      <c r="K104"/>
      <c r="L104"/>
      <c r="M104"/>
    </row>
    <row r="105" spans="1:13" s="51" customFormat="1" ht="18" customHeight="1">
      <c r="A105" s="92"/>
      <c r="B105" s="108">
        <v>60015</v>
      </c>
      <c r="C105" s="93" t="s">
        <v>627</v>
      </c>
      <c r="D105" s="94">
        <f t="shared" si="1"/>
        <v>25930000</v>
      </c>
      <c r="E105" s="94">
        <v>4050000</v>
      </c>
      <c r="F105" s="781">
        <v>3950000</v>
      </c>
      <c r="G105" s="94">
        <v>9730000</v>
      </c>
      <c r="H105" s="94">
        <v>8200000</v>
      </c>
      <c r="I105" s="1"/>
      <c r="J105" s="1"/>
      <c r="K105" s="1"/>
      <c r="L105" s="1"/>
      <c r="M105" s="1"/>
    </row>
    <row r="106" spans="1:13" s="50" customFormat="1" ht="18" customHeight="1">
      <c r="A106" s="109"/>
      <c r="B106" s="109"/>
      <c r="C106" s="167"/>
      <c r="D106" s="110">
        <f t="shared" si="1"/>
        <v>0</v>
      </c>
      <c r="E106" s="110">
        <v>-1410478</v>
      </c>
      <c r="F106" s="780">
        <v>1410478</v>
      </c>
      <c r="G106" s="780"/>
      <c r="H106" s="780"/>
      <c r="I106"/>
      <c r="J106"/>
      <c r="K106"/>
      <c r="L106"/>
      <c r="M106"/>
    </row>
    <row r="107" spans="1:13" s="49" customFormat="1" ht="18" customHeight="1">
      <c r="A107" s="92"/>
      <c r="B107" s="108">
        <v>60016</v>
      </c>
      <c r="C107" s="93" t="s">
        <v>461</v>
      </c>
      <c r="D107" s="94">
        <f t="shared" si="1"/>
        <v>2595000</v>
      </c>
      <c r="E107" s="94">
        <v>550000</v>
      </c>
      <c r="F107" s="94">
        <v>735000</v>
      </c>
      <c r="G107" s="94">
        <v>1080000</v>
      </c>
      <c r="H107" s="94">
        <v>230000</v>
      </c>
      <c r="I107"/>
      <c r="J107"/>
      <c r="K107"/>
      <c r="L107"/>
      <c r="M107"/>
    </row>
    <row r="108" spans="1:13" s="50" customFormat="1" ht="18" customHeight="1">
      <c r="A108" s="109"/>
      <c r="B108" s="111"/>
      <c r="C108" s="111"/>
      <c r="D108" s="112">
        <f t="shared" si="1"/>
        <v>0</v>
      </c>
      <c r="E108" s="112">
        <v>-550000</v>
      </c>
      <c r="F108" s="112">
        <v>550000</v>
      </c>
      <c r="G108" s="112"/>
      <c r="H108" s="112"/>
      <c r="I108"/>
      <c r="J108"/>
      <c r="K108"/>
      <c r="L108"/>
      <c r="M108"/>
    </row>
    <row r="109" spans="1:13" s="70" customFormat="1" ht="18" customHeight="1">
      <c r="A109" s="115">
        <v>700</v>
      </c>
      <c r="B109" s="115"/>
      <c r="C109" s="104" t="s">
        <v>603</v>
      </c>
      <c r="D109" s="114">
        <f t="shared" si="1"/>
        <v>4000000</v>
      </c>
      <c r="E109" s="114">
        <f>1060000+E111</f>
        <v>1013729</v>
      </c>
      <c r="F109" s="114">
        <f>1200000+F111</f>
        <v>1643271</v>
      </c>
      <c r="G109" s="114">
        <f>1200000+G111</f>
        <v>803000</v>
      </c>
      <c r="H109" s="114">
        <f>540000+H111</f>
        <v>540000</v>
      </c>
      <c r="I109"/>
      <c r="J109"/>
      <c r="K109"/>
      <c r="L109"/>
      <c r="M109"/>
    </row>
    <row r="110" spans="1:13" s="51" customFormat="1" ht="18" customHeight="1">
      <c r="A110" s="92"/>
      <c r="B110" s="108">
        <v>70095</v>
      </c>
      <c r="C110" s="108" t="s">
        <v>531</v>
      </c>
      <c r="D110" s="94">
        <f t="shared" si="1"/>
        <v>4000000</v>
      </c>
      <c r="E110" s="94">
        <v>1060000</v>
      </c>
      <c r="F110" s="94">
        <v>1200000</v>
      </c>
      <c r="G110" s="94">
        <v>1200000</v>
      </c>
      <c r="H110" s="94">
        <v>540000</v>
      </c>
      <c r="I110" s="1"/>
      <c r="J110" s="1"/>
      <c r="K110" s="1"/>
      <c r="L110" s="1"/>
      <c r="M110" s="1"/>
    </row>
    <row r="111" spans="1:13" s="50" customFormat="1" ht="18" customHeight="1">
      <c r="A111" s="109"/>
      <c r="B111" s="111"/>
      <c r="C111" s="111"/>
      <c r="D111" s="112">
        <f t="shared" si="1"/>
        <v>0</v>
      </c>
      <c r="E111" s="112">
        <v>-46271</v>
      </c>
      <c r="F111" s="112">
        <v>443271</v>
      </c>
      <c r="G111" s="112">
        <v>-397000</v>
      </c>
      <c r="H111" s="112"/>
      <c r="I111"/>
      <c r="J111"/>
      <c r="K111"/>
      <c r="L111"/>
      <c r="M111"/>
    </row>
    <row r="112" spans="1:13" s="70" customFormat="1" ht="18" customHeight="1">
      <c r="A112" s="115">
        <v>710</v>
      </c>
      <c r="B112" s="115"/>
      <c r="C112" s="104" t="s">
        <v>478</v>
      </c>
      <c r="D112" s="114">
        <f t="shared" si="1"/>
        <v>155000</v>
      </c>
      <c r="E112" s="114">
        <f>40000+E114</f>
        <v>5575</v>
      </c>
      <c r="F112" s="114">
        <f>40000+F114</f>
        <v>74425</v>
      </c>
      <c r="G112" s="114">
        <f>40000+G114</f>
        <v>40000</v>
      </c>
      <c r="H112" s="114">
        <f>35000+H114</f>
        <v>35000</v>
      </c>
      <c r="I112"/>
      <c r="J112"/>
      <c r="K112"/>
      <c r="L112"/>
      <c r="M112"/>
    </row>
    <row r="113" spans="1:13" s="51" customFormat="1" ht="18" customHeight="1">
      <c r="A113" s="92"/>
      <c r="B113" s="108">
        <v>71004</v>
      </c>
      <c r="C113" s="108" t="s">
        <v>136</v>
      </c>
      <c r="D113" s="94">
        <f t="shared" si="1"/>
        <v>155000</v>
      </c>
      <c r="E113" s="94">
        <v>40000</v>
      </c>
      <c r="F113" s="94">
        <v>40000</v>
      </c>
      <c r="G113" s="94">
        <v>40000</v>
      </c>
      <c r="H113" s="94">
        <v>35000</v>
      </c>
      <c r="I113" s="1"/>
      <c r="J113" s="1"/>
      <c r="K113" s="1"/>
      <c r="L113" s="1"/>
      <c r="M113" s="1"/>
    </row>
    <row r="114" spans="1:13" s="50" customFormat="1" ht="18" customHeight="1">
      <c r="A114" s="109"/>
      <c r="B114" s="111"/>
      <c r="C114" s="111"/>
      <c r="D114" s="112">
        <f t="shared" si="1"/>
        <v>0</v>
      </c>
      <c r="E114" s="112">
        <v>-34425</v>
      </c>
      <c r="F114" s="112">
        <v>34425</v>
      </c>
      <c r="G114" s="112"/>
      <c r="H114" s="112"/>
      <c r="I114"/>
      <c r="J114"/>
      <c r="K114"/>
      <c r="L114"/>
      <c r="M114"/>
    </row>
    <row r="115" spans="1:13" s="70" customFormat="1" ht="18" customHeight="1">
      <c r="A115" s="115">
        <v>801</v>
      </c>
      <c r="B115" s="115"/>
      <c r="C115" s="104" t="s">
        <v>532</v>
      </c>
      <c r="D115" s="114">
        <f t="shared" si="1"/>
        <v>11988989</v>
      </c>
      <c r="E115" s="114">
        <f>2730000+E117+E119+E121+E123</f>
        <v>1749637</v>
      </c>
      <c r="F115" s="114">
        <f>2600000+F117+F119+F121+F123</f>
        <v>3580363</v>
      </c>
      <c r="G115" s="114">
        <f>4488989+G117+G119+G121+G123</f>
        <v>4488989</v>
      </c>
      <c r="H115" s="114">
        <f>2170000+H117+H119+H121+H123</f>
        <v>2170000</v>
      </c>
      <c r="I115"/>
      <c r="J115"/>
      <c r="K115"/>
      <c r="L115"/>
      <c r="M115"/>
    </row>
    <row r="116" spans="1:13" s="51" customFormat="1" ht="18" customHeight="1">
      <c r="A116" s="92"/>
      <c r="B116" s="108">
        <v>80101</v>
      </c>
      <c r="C116" s="108" t="s">
        <v>533</v>
      </c>
      <c r="D116" s="94">
        <f t="shared" si="1"/>
        <v>6888989</v>
      </c>
      <c r="E116" s="94">
        <v>1200000</v>
      </c>
      <c r="F116" s="94">
        <v>1000000</v>
      </c>
      <c r="G116" s="94">
        <v>3178989</v>
      </c>
      <c r="H116" s="94">
        <v>1510000</v>
      </c>
      <c r="I116" s="1"/>
      <c r="J116" s="1"/>
      <c r="K116" s="1"/>
      <c r="L116" s="1"/>
      <c r="M116" s="1"/>
    </row>
    <row r="117" spans="1:13" s="50" customFormat="1" ht="18" customHeight="1">
      <c r="A117" s="109"/>
      <c r="B117" s="111"/>
      <c r="C117" s="111"/>
      <c r="D117" s="112">
        <f t="shared" si="1"/>
        <v>0</v>
      </c>
      <c r="E117" s="112">
        <v>-751625</v>
      </c>
      <c r="F117" s="112">
        <v>751625</v>
      </c>
      <c r="G117" s="112"/>
      <c r="H117" s="112"/>
      <c r="I117"/>
      <c r="J117"/>
      <c r="K117"/>
      <c r="L117"/>
      <c r="M117"/>
    </row>
    <row r="118" spans="1:13" s="51" customFormat="1" ht="18" customHeight="1">
      <c r="A118" s="92"/>
      <c r="B118" s="92">
        <v>80110</v>
      </c>
      <c r="C118" s="92" t="s">
        <v>534</v>
      </c>
      <c r="D118" s="113">
        <f t="shared" si="1"/>
        <v>1600000</v>
      </c>
      <c r="E118" s="113">
        <v>250000</v>
      </c>
      <c r="F118" s="113">
        <v>500000</v>
      </c>
      <c r="G118" s="113">
        <v>500000</v>
      </c>
      <c r="H118" s="113">
        <v>350000</v>
      </c>
      <c r="I118" s="1"/>
      <c r="J118" s="1"/>
      <c r="K118" s="1"/>
      <c r="L118" s="1"/>
      <c r="M118" s="1"/>
    </row>
    <row r="119" spans="1:13" s="50" customFormat="1" ht="18" customHeight="1">
      <c r="A119" s="109"/>
      <c r="B119" s="111"/>
      <c r="C119" s="111"/>
      <c r="D119" s="112">
        <f t="shared" si="1"/>
        <v>0</v>
      </c>
      <c r="E119" s="112">
        <v>-169137</v>
      </c>
      <c r="F119" s="112">
        <v>169137</v>
      </c>
      <c r="G119" s="112"/>
      <c r="H119" s="112"/>
      <c r="I119"/>
      <c r="J119"/>
      <c r="K119"/>
      <c r="L119"/>
      <c r="M119"/>
    </row>
    <row r="120" spans="1:13" s="51" customFormat="1" ht="18" customHeight="1">
      <c r="A120" s="92"/>
      <c r="B120" s="92">
        <v>80120</v>
      </c>
      <c r="C120" s="92" t="s">
        <v>535</v>
      </c>
      <c r="D120" s="113">
        <f t="shared" si="1"/>
        <v>200000</v>
      </c>
      <c r="E120" s="113">
        <v>80000</v>
      </c>
      <c r="F120" s="113">
        <v>100000</v>
      </c>
      <c r="G120" s="113">
        <v>10000</v>
      </c>
      <c r="H120" s="113">
        <v>10000</v>
      </c>
      <c r="I120" s="1"/>
      <c r="J120" s="1"/>
      <c r="K120" s="1"/>
      <c r="L120" s="1"/>
      <c r="M120" s="1"/>
    </row>
    <row r="121" spans="1:13" s="50" customFormat="1" ht="18" customHeight="1">
      <c r="A121" s="109"/>
      <c r="B121" s="111"/>
      <c r="C121" s="111"/>
      <c r="D121" s="112">
        <f t="shared" si="1"/>
        <v>0</v>
      </c>
      <c r="E121" s="112">
        <v>-35431</v>
      </c>
      <c r="F121" s="112">
        <v>35431</v>
      </c>
      <c r="G121" s="112"/>
      <c r="H121" s="112"/>
      <c r="I121"/>
      <c r="J121"/>
      <c r="K121"/>
      <c r="L121"/>
      <c r="M121"/>
    </row>
    <row r="122" spans="1:13" s="51" customFormat="1" ht="18" customHeight="1">
      <c r="A122" s="92"/>
      <c r="B122" s="92">
        <v>80130</v>
      </c>
      <c r="C122" s="92" t="s">
        <v>536</v>
      </c>
      <c r="D122" s="434">
        <f t="shared" si="1"/>
        <v>3000000</v>
      </c>
      <c r="E122" s="113">
        <v>1200000</v>
      </c>
      <c r="F122" s="113">
        <v>800000</v>
      </c>
      <c r="G122" s="113">
        <v>800000</v>
      </c>
      <c r="H122" s="113">
        <v>200000</v>
      </c>
      <c r="I122" s="1"/>
      <c r="J122" s="1"/>
      <c r="K122" s="1"/>
      <c r="L122" s="1"/>
      <c r="M122" s="1"/>
    </row>
    <row r="123" spans="1:13" s="50" customFormat="1" ht="18" customHeight="1">
      <c r="A123" s="111"/>
      <c r="B123" s="111"/>
      <c r="C123" s="111"/>
      <c r="D123" s="112">
        <f t="shared" si="1"/>
        <v>0</v>
      </c>
      <c r="E123" s="112">
        <v>-24170</v>
      </c>
      <c r="F123" s="112">
        <v>24170</v>
      </c>
      <c r="G123" s="112"/>
      <c r="H123" s="112"/>
      <c r="I123"/>
      <c r="J123"/>
      <c r="K123"/>
      <c r="L123"/>
      <c r="M123"/>
    </row>
    <row r="124" spans="1:13" s="70" customFormat="1" ht="18" customHeight="1">
      <c r="A124" s="115">
        <v>851</v>
      </c>
      <c r="B124" s="115"/>
      <c r="C124" s="104" t="s">
        <v>620</v>
      </c>
      <c r="D124" s="114">
        <f t="shared" si="1"/>
        <v>500000</v>
      </c>
      <c r="E124" s="114">
        <f>50000+E126</f>
        <v>1464</v>
      </c>
      <c r="F124" s="114">
        <f>300000+F126</f>
        <v>348536</v>
      </c>
      <c r="G124" s="114">
        <f>150000+G126</f>
        <v>150000</v>
      </c>
      <c r="H124" s="114"/>
      <c r="I124"/>
      <c r="J124"/>
      <c r="K124"/>
      <c r="L124"/>
      <c r="M124"/>
    </row>
    <row r="125" spans="1:13" s="51" customFormat="1" ht="18" customHeight="1">
      <c r="A125" s="92"/>
      <c r="B125" s="108">
        <v>85121</v>
      </c>
      <c r="C125" s="108" t="s">
        <v>238</v>
      </c>
      <c r="D125" s="94">
        <f t="shared" si="1"/>
        <v>300000</v>
      </c>
      <c r="E125" s="94">
        <v>50000</v>
      </c>
      <c r="F125" s="94">
        <v>150000</v>
      </c>
      <c r="G125" s="94">
        <v>100000</v>
      </c>
      <c r="H125" s="94"/>
      <c r="I125" s="1"/>
      <c r="J125" s="1"/>
      <c r="K125" s="1"/>
      <c r="L125" s="1"/>
      <c r="M125" s="1"/>
    </row>
    <row r="126" spans="1:13" s="50" customFormat="1" ht="18" customHeight="1">
      <c r="A126" s="109"/>
      <c r="B126" s="111"/>
      <c r="C126" s="111"/>
      <c r="D126" s="112">
        <f t="shared" si="1"/>
        <v>0</v>
      </c>
      <c r="E126" s="112">
        <v>-48536</v>
      </c>
      <c r="F126" s="112">
        <v>48536</v>
      </c>
      <c r="G126" s="112"/>
      <c r="H126" s="112"/>
      <c r="I126"/>
      <c r="J126"/>
      <c r="K126"/>
      <c r="L126"/>
      <c r="M126"/>
    </row>
    <row r="127" spans="1:13" s="70" customFormat="1" ht="18" customHeight="1">
      <c r="A127" s="115">
        <v>852</v>
      </c>
      <c r="B127" s="115"/>
      <c r="C127" s="104" t="s">
        <v>511</v>
      </c>
      <c r="D127" s="114">
        <f t="shared" si="1"/>
        <v>493000</v>
      </c>
      <c r="E127" s="114">
        <f>53000+E129</f>
        <v>52729</v>
      </c>
      <c r="F127" s="114">
        <f>340000+F129</f>
        <v>340271</v>
      </c>
      <c r="G127" s="114"/>
      <c r="H127" s="114">
        <f>H129</f>
        <v>100000</v>
      </c>
      <c r="I127"/>
      <c r="J127"/>
      <c r="K127"/>
      <c r="L127"/>
      <c r="M127"/>
    </row>
    <row r="128" spans="1:13" s="51" customFormat="1" ht="18" customHeight="1">
      <c r="A128" s="92"/>
      <c r="B128" s="108">
        <v>85202</v>
      </c>
      <c r="C128" s="108" t="s">
        <v>240</v>
      </c>
      <c r="D128" s="94">
        <f aca="true" t="shared" si="2" ref="D128:D188">SUM(E128:H128)</f>
        <v>93000</v>
      </c>
      <c r="E128" s="94">
        <v>53000</v>
      </c>
      <c r="F128" s="94">
        <v>40000</v>
      </c>
      <c r="G128" s="94"/>
      <c r="H128" s="94"/>
      <c r="I128" s="1"/>
      <c r="J128" s="1"/>
      <c r="K128" s="1"/>
      <c r="L128" s="1"/>
      <c r="M128" s="1"/>
    </row>
    <row r="129" spans="1:13" s="50" customFormat="1" ht="18" customHeight="1">
      <c r="A129" s="109"/>
      <c r="B129" s="111"/>
      <c r="C129" s="111"/>
      <c r="D129" s="112">
        <f t="shared" si="2"/>
        <v>100000</v>
      </c>
      <c r="E129" s="112">
        <v>-271</v>
      </c>
      <c r="F129" s="112">
        <v>271</v>
      </c>
      <c r="G129" s="112"/>
      <c r="H129" s="112">
        <v>100000</v>
      </c>
      <c r="I129"/>
      <c r="J129"/>
      <c r="K129"/>
      <c r="L129"/>
      <c r="M129"/>
    </row>
    <row r="130" spans="1:13" s="70" customFormat="1" ht="18" customHeight="1">
      <c r="A130" s="115">
        <v>900</v>
      </c>
      <c r="B130" s="115"/>
      <c r="C130" s="104" t="s">
        <v>48</v>
      </c>
      <c r="D130" s="114">
        <f t="shared" si="2"/>
        <v>17440000</v>
      </c>
      <c r="E130" s="114">
        <f>1895000+E132+E134+E136</f>
        <v>755832</v>
      </c>
      <c r="F130" s="114">
        <f>4940000+F132+F134+F136</f>
        <v>6079168</v>
      </c>
      <c r="G130" s="114">
        <f>5510000+G132+G134+G136</f>
        <v>5510000</v>
      </c>
      <c r="H130" s="114">
        <f>5095000+H132+H134+H136</f>
        <v>5095000</v>
      </c>
      <c r="I130"/>
      <c r="J130"/>
      <c r="K130"/>
      <c r="L130"/>
      <c r="M130"/>
    </row>
    <row r="131" spans="1:13" s="51" customFormat="1" ht="18" customHeight="1">
      <c r="A131" s="92"/>
      <c r="B131" s="108">
        <v>90001</v>
      </c>
      <c r="C131" s="108" t="s">
        <v>622</v>
      </c>
      <c r="D131" s="94">
        <f t="shared" si="2"/>
        <v>3260000</v>
      </c>
      <c r="E131" s="94">
        <v>220000</v>
      </c>
      <c r="F131" s="94">
        <v>1150000</v>
      </c>
      <c r="G131" s="94">
        <v>910000</v>
      </c>
      <c r="H131" s="94">
        <v>980000</v>
      </c>
      <c r="I131" s="1"/>
      <c r="J131" s="1"/>
      <c r="K131" s="1"/>
      <c r="L131" s="1"/>
      <c r="M131" s="1"/>
    </row>
    <row r="132" spans="1:13" s="50" customFormat="1" ht="18" customHeight="1">
      <c r="A132" s="109"/>
      <c r="B132" s="111"/>
      <c r="C132" s="111"/>
      <c r="D132" s="112">
        <f t="shared" si="2"/>
        <v>0</v>
      </c>
      <c r="E132" s="112">
        <v>-117248</v>
      </c>
      <c r="F132" s="112">
        <v>117248</v>
      </c>
      <c r="G132" s="112"/>
      <c r="H132" s="112"/>
      <c r="I132"/>
      <c r="J132"/>
      <c r="K132"/>
      <c r="L132"/>
      <c r="M132"/>
    </row>
    <row r="133" spans="1:13" s="51" customFormat="1" ht="18" customHeight="1">
      <c r="A133" s="92"/>
      <c r="B133" s="108">
        <v>90002</v>
      </c>
      <c r="C133" s="108" t="s">
        <v>241</v>
      </c>
      <c r="D133" s="94">
        <f t="shared" si="2"/>
        <v>6400000</v>
      </c>
      <c r="E133" s="94">
        <v>110000</v>
      </c>
      <c r="F133" s="94">
        <v>1590000</v>
      </c>
      <c r="G133" s="94">
        <v>2300000</v>
      </c>
      <c r="H133" s="94">
        <v>2400000</v>
      </c>
      <c r="I133" s="1"/>
      <c r="J133" s="1"/>
      <c r="K133" s="1"/>
      <c r="L133" s="1"/>
      <c r="M133" s="1"/>
    </row>
    <row r="134" spans="1:13" s="50" customFormat="1" ht="18" customHeight="1">
      <c r="A134" s="109"/>
      <c r="B134" s="111"/>
      <c r="C134" s="111"/>
      <c r="D134" s="112">
        <f t="shared" si="2"/>
        <v>0</v>
      </c>
      <c r="E134" s="112">
        <v>-109700</v>
      </c>
      <c r="F134" s="112">
        <v>109700</v>
      </c>
      <c r="G134" s="112"/>
      <c r="H134" s="112"/>
      <c r="I134"/>
      <c r="J134"/>
      <c r="K134"/>
      <c r="L134"/>
      <c r="M134"/>
    </row>
    <row r="135" spans="1:13" s="51" customFormat="1" ht="18" customHeight="1">
      <c r="A135" s="92"/>
      <c r="B135" s="108">
        <v>90095</v>
      </c>
      <c r="C135" s="108" t="s">
        <v>531</v>
      </c>
      <c r="D135" s="94">
        <f t="shared" si="2"/>
        <v>7500000</v>
      </c>
      <c r="E135" s="94">
        <v>1565000</v>
      </c>
      <c r="F135" s="94">
        <v>2150000</v>
      </c>
      <c r="G135" s="94">
        <v>2150000</v>
      </c>
      <c r="H135" s="94">
        <v>1635000</v>
      </c>
      <c r="I135" s="1"/>
      <c r="J135" s="1"/>
      <c r="K135" s="1"/>
      <c r="L135" s="1"/>
      <c r="M135" s="1"/>
    </row>
    <row r="136" spans="1:13" s="50" customFormat="1" ht="18" customHeight="1">
      <c r="A136" s="109"/>
      <c r="B136" s="111"/>
      <c r="C136" s="111"/>
      <c r="D136" s="112">
        <f t="shared" si="2"/>
        <v>0</v>
      </c>
      <c r="E136" s="112">
        <v>-912220</v>
      </c>
      <c r="F136" s="112">
        <v>912220</v>
      </c>
      <c r="G136" s="112"/>
      <c r="H136" s="112"/>
      <c r="I136"/>
      <c r="J136"/>
      <c r="K136"/>
      <c r="L136"/>
      <c r="M136"/>
    </row>
    <row r="137" spans="1:13" s="70" customFormat="1" ht="18" customHeight="1">
      <c r="A137" s="115">
        <v>921</v>
      </c>
      <c r="B137" s="115"/>
      <c r="C137" s="104" t="s">
        <v>745</v>
      </c>
      <c r="D137" s="114">
        <f t="shared" si="2"/>
        <v>1230000</v>
      </c>
      <c r="E137" s="114">
        <f>490000+E139+E141</f>
        <v>8686</v>
      </c>
      <c r="F137" s="114">
        <f>170000+F139+F141</f>
        <v>651314</v>
      </c>
      <c r="G137" s="114">
        <f>170000+G139+G141</f>
        <v>170000</v>
      </c>
      <c r="H137" s="114">
        <f>400000+H139+H141</f>
        <v>400000</v>
      </c>
      <c r="I137"/>
      <c r="J137"/>
      <c r="K137"/>
      <c r="L137"/>
      <c r="M137"/>
    </row>
    <row r="138" spans="1:13" s="51" customFormat="1" ht="18" customHeight="1">
      <c r="A138" s="92"/>
      <c r="B138" s="108">
        <v>92113</v>
      </c>
      <c r="C138" s="108" t="s">
        <v>242</v>
      </c>
      <c r="D138" s="94">
        <f t="shared" si="2"/>
        <v>700000</v>
      </c>
      <c r="E138" s="94">
        <v>450000</v>
      </c>
      <c r="F138" s="94"/>
      <c r="G138" s="94"/>
      <c r="H138" s="94">
        <v>250000</v>
      </c>
      <c r="I138" s="1"/>
      <c r="J138" s="1"/>
      <c r="K138" s="1"/>
      <c r="L138" s="1"/>
      <c r="M138" s="1"/>
    </row>
    <row r="139" spans="1:13" s="50" customFormat="1" ht="18" customHeight="1">
      <c r="A139" s="109"/>
      <c r="B139" s="111"/>
      <c r="C139" s="111"/>
      <c r="D139" s="112">
        <f t="shared" si="2"/>
        <v>0</v>
      </c>
      <c r="E139" s="112">
        <v>-441314</v>
      </c>
      <c r="F139" s="112">
        <v>441314</v>
      </c>
      <c r="G139" s="112"/>
      <c r="H139" s="112"/>
      <c r="I139"/>
      <c r="J139"/>
      <c r="K139"/>
      <c r="L139"/>
      <c r="M139"/>
    </row>
    <row r="140" spans="1:13" s="51" customFormat="1" ht="18" customHeight="1">
      <c r="A140" s="92"/>
      <c r="B140" s="92">
        <v>92120</v>
      </c>
      <c r="C140" s="92" t="s">
        <v>243</v>
      </c>
      <c r="D140" s="113">
        <f t="shared" si="2"/>
        <v>530000</v>
      </c>
      <c r="E140" s="113">
        <v>40000</v>
      </c>
      <c r="F140" s="113">
        <v>170000</v>
      </c>
      <c r="G140" s="113">
        <v>170000</v>
      </c>
      <c r="H140" s="113">
        <v>150000</v>
      </c>
      <c r="I140" s="1"/>
      <c r="J140" s="1"/>
      <c r="K140" s="1"/>
      <c r="L140" s="1"/>
      <c r="M140" s="1"/>
    </row>
    <row r="141" spans="1:13" s="50" customFormat="1" ht="18" customHeight="1">
      <c r="A141" s="109"/>
      <c r="B141" s="111"/>
      <c r="C141" s="111"/>
      <c r="D141" s="112">
        <f t="shared" si="2"/>
        <v>0</v>
      </c>
      <c r="E141" s="112">
        <v>-40000</v>
      </c>
      <c r="F141" s="112">
        <v>40000</v>
      </c>
      <c r="G141" s="112"/>
      <c r="H141" s="112"/>
      <c r="I141"/>
      <c r="J141"/>
      <c r="K141"/>
      <c r="L141"/>
      <c r="M141"/>
    </row>
    <row r="142" spans="1:13" s="70" customFormat="1" ht="18" customHeight="1">
      <c r="A142" s="115">
        <v>926</v>
      </c>
      <c r="B142" s="115"/>
      <c r="C142" s="104" t="s">
        <v>244</v>
      </c>
      <c r="D142" s="114">
        <f t="shared" si="2"/>
        <v>11350000</v>
      </c>
      <c r="E142" s="114">
        <f>680000+E144+E146</f>
        <v>433194</v>
      </c>
      <c r="F142" s="114">
        <f>1920000+F144+F146</f>
        <v>2166806</v>
      </c>
      <c r="G142" s="114">
        <f>4900000+G144+G146</f>
        <v>4900000</v>
      </c>
      <c r="H142" s="114">
        <f>3850000+H144+H146</f>
        <v>3850000</v>
      </c>
      <c r="I142"/>
      <c r="J142"/>
      <c r="K142"/>
      <c r="L142"/>
      <c r="M142"/>
    </row>
    <row r="143" spans="1:13" s="51" customFormat="1" ht="18" customHeight="1">
      <c r="A143" s="92"/>
      <c r="B143" s="108">
        <v>92604</v>
      </c>
      <c r="C143" s="108" t="s">
        <v>245</v>
      </c>
      <c r="D143" s="94">
        <f t="shared" si="2"/>
        <v>10900000</v>
      </c>
      <c r="E143" s="94">
        <v>570000</v>
      </c>
      <c r="F143" s="94">
        <v>1730000</v>
      </c>
      <c r="G143" s="94">
        <v>4800000</v>
      </c>
      <c r="H143" s="94">
        <v>3800000</v>
      </c>
      <c r="I143" s="1"/>
      <c r="J143" s="1"/>
      <c r="K143" s="1"/>
      <c r="L143" s="1"/>
      <c r="M143" s="1"/>
    </row>
    <row r="144" spans="1:13" s="50" customFormat="1" ht="18" customHeight="1">
      <c r="A144" s="109"/>
      <c r="B144" s="111"/>
      <c r="C144" s="111"/>
      <c r="D144" s="112">
        <f t="shared" si="2"/>
        <v>0</v>
      </c>
      <c r="E144" s="112">
        <v>-136806</v>
      </c>
      <c r="F144" s="112">
        <v>136806</v>
      </c>
      <c r="G144" s="112"/>
      <c r="H144" s="112"/>
      <c r="I144"/>
      <c r="J144"/>
      <c r="K144"/>
      <c r="L144"/>
      <c r="M144"/>
    </row>
    <row r="145" spans="1:13" s="51" customFormat="1" ht="18" customHeight="1">
      <c r="A145" s="92"/>
      <c r="B145" s="108">
        <v>92605</v>
      </c>
      <c r="C145" s="108" t="s">
        <v>246</v>
      </c>
      <c r="D145" s="94">
        <f t="shared" si="2"/>
        <v>450000</v>
      </c>
      <c r="E145" s="94">
        <v>110000</v>
      </c>
      <c r="F145" s="94">
        <v>190000</v>
      </c>
      <c r="G145" s="94">
        <v>100000</v>
      </c>
      <c r="H145" s="94">
        <v>50000</v>
      </c>
      <c r="I145" s="1"/>
      <c r="J145" s="1"/>
      <c r="K145" s="1"/>
      <c r="L145" s="1"/>
      <c r="M145" s="1"/>
    </row>
    <row r="146" spans="1:13" s="50" customFormat="1" ht="18" customHeight="1">
      <c r="A146" s="109"/>
      <c r="B146" s="111"/>
      <c r="C146" s="111"/>
      <c r="D146" s="112">
        <f t="shared" si="2"/>
        <v>0</v>
      </c>
      <c r="E146" s="112">
        <v>-110000</v>
      </c>
      <c r="F146" s="112">
        <v>110000</v>
      </c>
      <c r="G146" s="112"/>
      <c r="H146" s="112"/>
      <c r="I146"/>
      <c r="J146"/>
      <c r="K146"/>
      <c r="L146"/>
      <c r="M146"/>
    </row>
    <row r="147" spans="1:12" ht="21" customHeight="1">
      <c r="A147" s="92"/>
      <c r="B147" s="92"/>
      <c r="C147" s="326" t="s">
        <v>123</v>
      </c>
      <c r="D147" s="329">
        <f t="shared" si="2"/>
        <v>4665000</v>
      </c>
      <c r="E147" s="329">
        <f>1480000+E151</f>
        <v>1301585</v>
      </c>
      <c r="F147" s="329">
        <f>1073000+F151</f>
        <v>1251415</v>
      </c>
      <c r="G147" s="329">
        <f>1016000+G151</f>
        <v>1016000</v>
      </c>
      <c r="H147" s="329">
        <f>1096000+H151</f>
        <v>1096000</v>
      </c>
      <c r="I147"/>
      <c r="J147"/>
      <c r="K147"/>
      <c r="L147"/>
    </row>
    <row r="148" spans="1:12" ht="21" customHeight="1" thickBot="1">
      <c r="A148" s="105"/>
      <c r="B148" s="105"/>
      <c r="C148" s="130" t="s">
        <v>523</v>
      </c>
      <c r="D148" s="131">
        <f t="shared" si="2"/>
        <v>4665000</v>
      </c>
      <c r="E148" s="131">
        <f>1480000+E151</f>
        <v>1301585</v>
      </c>
      <c r="F148" s="131">
        <f>1073000+F151</f>
        <v>1251415</v>
      </c>
      <c r="G148" s="131">
        <f>1016000+G151</f>
        <v>1016000</v>
      </c>
      <c r="H148" s="131">
        <f>1096000+H151</f>
        <v>1096000</v>
      </c>
      <c r="I148"/>
      <c r="J148"/>
      <c r="K148"/>
      <c r="L148"/>
    </row>
    <row r="149" spans="1:12" ht="21" customHeight="1" thickTop="1">
      <c r="A149" s="104">
        <v>754</v>
      </c>
      <c r="B149" s="104"/>
      <c r="C149" s="132" t="s">
        <v>467</v>
      </c>
      <c r="D149" s="133">
        <f t="shared" si="2"/>
        <v>4665000</v>
      </c>
      <c r="E149" s="133">
        <f>1480000+E151</f>
        <v>1301585</v>
      </c>
      <c r="F149" s="133">
        <f>1073000+F151</f>
        <v>1251415</v>
      </c>
      <c r="G149" s="133">
        <f>1016000+G151</f>
        <v>1016000</v>
      </c>
      <c r="H149" s="133">
        <f>1096000+H151</f>
        <v>1096000</v>
      </c>
      <c r="I149"/>
      <c r="J149"/>
      <c r="K149"/>
      <c r="L149"/>
    </row>
    <row r="150" spans="1:8" s="1" customFormat="1" ht="21" customHeight="1">
      <c r="A150" s="92"/>
      <c r="B150" s="516">
        <v>75416</v>
      </c>
      <c r="C150" s="108" t="s">
        <v>278</v>
      </c>
      <c r="D150" s="517">
        <f t="shared" si="2"/>
        <v>4665000</v>
      </c>
      <c r="E150" s="517">
        <v>1480000</v>
      </c>
      <c r="F150" s="517">
        <v>1073000</v>
      </c>
      <c r="G150" s="517">
        <v>1016000</v>
      </c>
      <c r="H150" s="517">
        <v>1096000</v>
      </c>
    </row>
    <row r="151" spans="1:13" s="50" customFormat="1" ht="18" customHeight="1">
      <c r="A151" s="109"/>
      <c r="B151" s="109"/>
      <c r="C151" s="109"/>
      <c r="D151" s="110">
        <f t="shared" si="2"/>
        <v>0</v>
      </c>
      <c r="E151" s="110">
        <v>-178415</v>
      </c>
      <c r="F151" s="110">
        <v>178415</v>
      </c>
      <c r="G151" s="110"/>
      <c r="H151" s="110"/>
      <c r="I151"/>
      <c r="J151"/>
      <c r="K151"/>
      <c r="L151"/>
      <c r="M151"/>
    </row>
    <row r="152" spans="1:13" s="50" customFormat="1" ht="18" customHeight="1">
      <c r="A152" s="1062"/>
      <c r="B152" s="1062"/>
      <c r="C152" s="1062"/>
      <c r="D152" s="1063"/>
      <c r="E152" s="1063"/>
      <c r="F152" s="1063"/>
      <c r="G152" s="1063"/>
      <c r="H152" s="1063"/>
      <c r="I152"/>
      <c r="J152"/>
      <c r="K152"/>
      <c r="L152"/>
      <c r="M152"/>
    </row>
    <row r="153" spans="1:13" s="50" customFormat="1" ht="26.25" customHeight="1">
      <c r="A153" s="1106"/>
      <c r="B153" s="1106"/>
      <c r="C153" s="1106"/>
      <c r="D153" s="372"/>
      <c r="E153" s="372"/>
      <c r="F153" s="372"/>
      <c r="G153" s="372"/>
      <c r="H153" s="372"/>
      <c r="I153"/>
      <c r="J153"/>
      <c r="K153"/>
      <c r="L153"/>
      <c r="M153"/>
    </row>
    <row r="154" spans="1:12" ht="21" customHeight="1">
      <c r="A154" s="92"/>
      <c r="B154" s="92"/>
      <c r="C154" s="326" t="s">
        <v>101</v>
      </c>
      <c r="D154" s="329">
        <f t="shared" si="2"/>
        <v>2355000</v>
      </c>
      <c r="E154" s="329">
        <f>667000+E158</f>
        <v>667000</v>
      </c>
      <c r="F154" s="329">
        <f>544000+F158</f>
        <v>544000</v>
      </c>
      <c r="G154" s="329">
        <f>544000+G158</f>
        <v>569000</v>
      </c>
      <c r="H154" s="329">
        <f>575000+H158</f>
        <v>575000</v>
      </c>
      <c r="I154"/>
      <c r="J154"/>
      <c r="K154"/>
      <c r="L154"/>
    </row>
    <row r="155" spans="1:12" ht="21" customHeight="1" thickBot="1">
      <c r="A155" s="105"/>
      <c r="B155" s="105"/>
      <c r="C155" s="130" t="s">
        <v>523</v>
      </c>
      <c r="D155" s="131">
        <f t="shared" si="2"/>
        <v>2355000</v>
      </c>
      <c r="E155" s="131">
        <f>667000+E158</f>
        <v>667000</v>
      </c>
      <c r="F155" s="131">
        <f>544000+F158</f>
        <v>544000</v>
      </c>
      <c r="G155" s="131">
        <f>544000+G158</f>
        <v>569000</v>
      </c>
      <c r="H155" s="131">
        <f>575000+H158</f>
        <v>575000</v>
      </c>
      <c r="I155"/>
      <c r="J155"/>
      <c r="K155"/>
      <c r="L155"/>
    </row>
    <row r="156" spans="1:12" ht="21" customHeight="1" thickTop="1">
      <c r="A156" s="104">
        <v>852</v>
      </c>
      <c r="B156" s="104"/>
      <c r="C156" s="132" t="s">
        <v>511</v>
      </c>
      <c r="D156" s="133">
        <f t="shared" si="2"/>
        <v>2355000</v>
      </c>
      <c r="E156" s="133">
        <f>667000+E158</f>
        <v>667000</v>
      </c>
      <c r="F156" s="133">
        <f>544000+F158</f>
        <v>544000</v>
      </c>
      <c r="G156" s="133">
        <f>544000+G158</f>
        <v>569000</v>
      </c>
      <c r="H156" s="133">
        <f>575000+H158</f>
        <v>575000</v>
      </c>
      <c r="I156"/>
      <c r="J156"/>
      <c r="K156"/>
      <c r="L156"/>
    </row>
    <row r="157" spans="1:8" s="1" customFormat="1" ht="21" customHeight="1">
      <c r="A157" s="92"/>
      <c r="B157" s="516">
        <v>85202</v>
      </c>
      <c r="C157" s="108" t="s">
        <v>240</v>
      </c>
      <c r="D157" s="118">
        <f t="shared" si="2"/>
        <v>2330000</v>
      </c>
      <c r="E157" s="118">
        <v>667000</v>
      </c>
      <c r="F157" s="118">
        <v>544000</v>
      </c>
      <c r="G157" s="118">
        <v>544000</v>
      </c>
      <c r="H157" s="118">
        <v>575000</v>
      </c>
    </row>
    <row r="158" spans="1:13" s="11" customFormat="1" ht="21" customHeight="1">
      <c r="A158" s="109"/>
      <c r="B158" s="136"/>
      <c r="C158" s="111"/>
      <c r="D158" s="117">
        <f t="shared" si="2"/>
        <v>25000</v>
      </c>
      <c r="E158" s="117"/>
      <c r="F158" s="117"/>
      <c r="G158" s="117">
        <v>25000</v>
      </c>
      <c r="H158" s="117"/>
      <c r="I158"/>
      <c r="J158"/>
      <c r="K158"/>
      <c r="L158"/>
      <c r="M158"/>
    </row>
    <row r="159" spans="1:12" ht="21" customHeight="1">
      <c r="A159" s="92"/>
      <c r="B159" s="92"/>
      <c r="C159" s="326" t="s">
        <v>102</v>
      </c>
      <c r="D159" s="329">
        <f t="shared" si="2"/>
        <v>3610600</v>
      </c>
      <c r="E159" s="329">
        <f>1035700+E163</f>
        <v>1035700</v>
      </c>
      <c r="F159" s="329">
        <f>846500+F163</f>
        <v>846500</v>
      </c>
      <c r="G159" s="329">
        <f>927900+G163</f>
        <v>927900</v>
      </c>
      <c r="H159" s="329">
        <f>758000+H163</f>
        <v>800500</v>
      </c>
      <c r="I159"/>
      <c r="J159"/>
      <c r="K159"/>
      <c r="L159"/>
    </row>
    <row r="160" spans="1:12" ht="21" customHeight="1" thickBot="1">
      <c r="A160" s="105"/>
      <c r="B160" s="105"/>
      <c r="C160" s="130" t="s">
        <v>523</v>
      </c>
      <c r="D160" s="131">
        <f t="shared" si="2"/>
        <v>3610600</v>
      </c>
      <c r="E160" s="131">
        <f>1035700+E163</f>
        <v>1035700</v>
      </c>
      <c r="F160" s="131">
        <f>846500+F163</f>
        <v>846500</v>
      </c>
      <c r="G160" s="131">
        <f>927900+G163</f>
        <v>927900</v>
      </c>
      <c r="H160" s="131">
        <f>758000+H163</f>
        <v>800500</v>
      </c>
      <c r="I160"/>
      <c r="J160"/>
      <c r="K160"/>
      <c r="L160"/>
    </row>
    <row r="161" spans="1:12" ht="21" customHeight="1" thickTop="1">
      <c r="A161" s="104">
        <v>852</v>
      </c>
      <c r="B161" s="104"/>
      <c r="C161" s="132" t="s">
        <v>511</v>
      </c>
      <c r="D161" s="133">
        <f t="shared" si="2"/>
        <v>3602500</v>
      </c>
      <c r="E161" s="133">
        <f>1035700+E163</f>
        <v>1035700</v>
      </c>
      <c r="F161" s="133">
        <f>841400+F163</f>
        <v>841400</v>
      </c>
      <c r="G161" s="133">
        <f>926400+G163</f>
        <v>926400</v>
      </c>
      <c r="H161" s="133">
        <f>756500+H163</f>
        <v>799000</v>
      </c>
      <c r="I161"/>
      <c r="J161"/>
      <c r="K161"/>
      <c r="L161"/>
    </row>
    <row r="162" spans="1:8" s="1" customFormat="1" ht="21" customHeight="1">
      <c r="A162" s="92"/>
      <c r="B162" s="516">
        <v>85202</v>
      </c>
      <c r="C162" s="108" t="s">
        <v>240</v>
      </c>
      <c r="D162" s="118">
        <f t="shared" si="2"/>
        <v>3560000</v>
      </c>
      <c r="E162" s="118">
        <v>1035700</v>
      </c>
      <c r="F162" s="118">
        <v>841400</v>
      </c>
      <c r="G162" s="118">
        <v>926400</v>
      </c>
      <c r="H162" s="118">
        <v>756500</v>
      </c>
    </row>
    <row r="163" spans="1:13" s="11" customFormat="1" ht="21" customHeight="1">
      <c r="A163" s="109"/>
      <c r="B163" s="136"/>
      <c r="C163" s="111"/>
      <c r="D163" s="117">
        <f t="shared" si="2"/>
        <v>42500</v>
      </c>
      <c r="E163" s="117"/>
      <c r="F163" s="117"/>
      <c r="G163" s="117"/>
      <c r="H163" s="117">
        <v>42500</v>
      </c>
      <c r="I163"/>
      <c r="J163"/>
      <c r="K163"/>
      <c r="L163"/>
      <c r="M163"/>
    </row>
    <row r="164" spans="1:12" ht="21" customHeight="1">
      <c r="A164" s="92"/>
      <c r="B164" s="92"/>
      <c r="C164" s="326" t="s">
        <v>103</v>
      </c>
      <c r="D164" s="329">
        <f t="shared" si="2"/>
        <v>1703300</v>
      </c>
      <c r="E164" s="329">
        <f>490000+E168</f>
        <v>490000</v>
      </c>
      <c r="F164" s="329">
        <f>433000+F168</f>
        <v>433000</v>
      </c>
      <c r="G164" s="329">
        <f>400000+G168</f>
        <v>405300</v>
      </c>
      <c r="H164" s="329">
        <f>360000+H168</f>
        <v>375000</v>
      </c>
      <c r="I164"/>
      <c r="J164"/>
      <c r="K164"/>
      <c r="L164"/>
    </row>
    <row r="165" spans="1:12" ht="21" customHeight="1" thickBot="1">
      <c r="A165" s="105"/>
      <c r="B165" s="105"/>
      <c r="C165" s="130" t="s">
        <v>523</v>
      </c>
      <c r="D165" s="131">
        <f t="shared" si="2"/>
        <v>1703300</v>
      </c>
      <c r="E165" s="131">
        <f>490000+E168</f>
        <v>490000</v>
      </c>
      <c r="F165" s="131">
        <f>433000+F168</f>
        <v>433000</v>
      </c>
      <c r="G165" s="131">
        <f>400000+G168</f>
        <v>405300</v>
      </c>
      <c r="H165" s="131">
        <f>360000+H168</f>
        <v>375000</v>
      </c>
      <c r="I165"/>
      <c r="J165"/>
      <c r="K165"/>
      <c r="L165"/>
    </row>
    <row r="166" spans="1:12" ht="18.75" customHeight="1" thickTop="1">
      <c r="A166" s="104">
        <v>852</v>
      </c>
      <c r="B166" s="104"/>
      <c r="C166" s="132" t="s">
        <v>511</v>
      </c>
      <c r="D166" s="133">
        <f t="shared" si="2"/>
        <v>1703300</v>
      </c>
      <c r="E166" s="133">
        <f>490000+E168</f>
        <v>490000</v>
      </c>
      <c r="F166" s="133">
        <f>433000+F168</f>
        <v>433000</v>
      </c>
      <c r="G166" s="133">
        <f>400000+G168</f>
        <v>405300</v>
      </c>
      <c r="H166" s="133">
        <f>360000+H168</f>
        <v>375000</v>
      </c>
      <c r="I166"/>
      <c r="J166"/>
      <c r="K166"/>
      <c r="L166"/>
    </row>
    <row r="167" spans="1:8" s="1" customFormat="1" ht="18.75" customHeight="1">
      <c r="A167" s="92"/>
      <c r="B167" s="516">
        <v>85202</v>
      </c>
      <c r="C167" s="108" t="s">
        <v>240</v>
      </c>
      <c r="D167" s="118">
        <f t="shared" si="2"/>
        <v>1683000</v>
      </c>
      <c r="E167" s="118">
        <v>490000</v>
      </c>
      <c r="F167" s="118">
        <v>433000</v>
      </c>
      <c r="G167" s="118">
        <v>400000</v>
      </c>
      <c r="H167" s="118">
        <v>360000</v>
      </c>
    </row>
    <row r="168" spans="1:13" s="11" customFormat="1" ht="18.75" customHeight="1">
      <c r="A168" s="109"/>
      <c r="B168" s="136"/>
      <c r="C168" s="111"/>
      <c r="D168" s="117">
        <f t="shared" si="2"/>
        <v>20300</v>
      </c>
      <c r="E168" s="117"/>
      <c r="F168" s="117"/>
      <c r="G168" s="117">
        <v>5300</v>
      </c>
      <c r="H168" s="117">
        <v>15000</v>
      </c>
      <c r="I168"/>
      <c r="J168"/>
      <c r="K168"/>
      <c r="L168"/>
      <c r="M168"/>
    </row>
    <row r="169" spans="1:12" ht="30" customHeight="1">
      <c r="A169" s="92"/>
      <c r="B169" s="92"/>
      <c r="C169" s="326" t="s">
        <v>124</v>
      </c>
      <c r="D169" s="329">
        <f t="shared" si="2"/>
        <v>2600100</v>
      </c>
      <c r="E169" s="329">
        <f>784000+E173</f>
        <v>784000</v>
      </c>
      <c r="F169" s="329">
        <f>611000+F173</f>
        <v>611000</v>
      </c>
      <c r="G169" s="329">
        <f>587000+G173</f>
        <v>609000</v>
      </c>
      <c r="H169" s="329">
        <f>586500+H173</f>
        <v>596100</v>
      </c>
      <c r="I169"/>
      <c r="J169"/>
      <c r="K169"/>
      <c r="L169"/>
    </row>
    <row r="170" spans="1:12" ht="21" customHeight="1" thickBot="1">
      <c r="A170" s="105"/>
      <c r="B170" s="105"/>
      <c r="C170" s="130" t="s">
        <v>523</v>
      </c>
      <c r="D170" s="131">
        <f t="shared" si="2"/>
        <v>2600100</v>
      </c>
      <c r="E170" s="131">
        <f>784000+E173</f>
        <v>784000</v>
      </c>
      <c r="F170" s="131">
        <f>611000+F173</f>
        <v>611000</v>
      </c>
      <c r="G170" s="131">
        <f>587000+G173</f>
        <v>609000</v>
      </c>
      <c r="H170" s="131">
        <f>586500+H173</f>
        <v>596100</v>
      </c>
      <c r="I170"/>
      <c r="J170"/>
      <c r="K170"/>
      <c r="L170"/>
    </row>
    <row r="171" spans="1:12" ht="18.75" customHeight="1" thickTop="1">
      <c r="A171" s="104">
        <v>852</v>
      </c>
      <c r="B171" s="104"/>
      <c r="C171" s="132" t="s">
        <v>511</v>
      </c>
      <c r="D171" s="133">
        <f t="shared" si="2"/>
        <v>2590600</v>
      </c>
      <c r="E171" s="133">
        <f>784000+E173</f>
        <v>784000</v>
      </c>
      <c r="F171" s="133">
        <f>605000+F173</f>
        <v>605000</v>
      </c>
      <c r="G171" s="133">
        <f>585000+G173</f>
        <v>607000</v>
      </c>
      <c r="H171" s="133">
        <f>585000+H173</f>
        <v>594600</v>
      </c>
      <c r="I171"/>
      <c r="J171"/>
      <c r="K171"/>
      <c r="L171"/>
    </row>
    <row r="172" spans="1:8" s="1" customFormat="1" ht="18.75" customHeight="1">
      <c r="A172" s="92"/>
      <c r="B172" s="516">
        <v>85202</v>
      </c>
      <c r="C172" s="108" t="s">
        <v>240</v>
      </c>
      <c r="D172" s="517">
        <f t="shared" si="2"/>
        <v>2559000</v>
      </c>
      <c r="E172" s="517">
        <v>784000</v>
      </c>
      <c r="F172" s="517">
        <v>605000</v>
      </c>
      <c r="G172" s="517">
        <v>585000</v>
      </c>
      <c r="H172" s="517">
        <v>585000</v>
      </c>
    </row>
    <row r="173" spans="1:13" s="11" customFormat="1" ht="18.75" customHeight="1">
      <c r="A173" s="109"/>
      <c r="B173" s="136"/>
      <c r="C173" s="111"/>
      <c r="D173" s="117">
        <f t="shared" si="2"/>
        <v>31600</v>
      </c>
      <c r="E173" s="117"/>
      <c r="F173" s="117"/>
      <c r="G173" s="117">
        <v>22000</v>
      </c>
      <c r="H173" s="117">
        <v>9600</v>
      </c>
      <c r="I173"/>
      <c r="J173"/>
      <c r="K173"/>
      <c r="L173"/>
      <c r="M173"/>
    </row>
    <row r="174" spans="1:12" ht="19.5" customHeight="1">
      <c r="A174" s="92"/>
      <c r="B174" s="92"/>
      <c r="C174" s="326" t="s">
        <v>105</v>
      </c>
      <c r="D174" s="329">
        <f t="shared" si="2"/>
        <v>3110670</v>
      </c>
      <c r="E174" s="329">
        <f>838950+E178+E181</f>
        <v>838200</v>
      </c>
      <c r="F174" s="329">
        <f>705450+F178+F181</f>
        <v>703600</v>
      </c>
      <c r="G174" s="329">
        <f>665220+G178+G181</f>
        <v>741070</v>
      </c>
      <c r="H174" s="329">
        <f>672050+H178+H181</f>
        <v>827800</v>
      </c>
      <c r="I174"/>
      <c r="J174"/>
      <c r="K174"/>
      <c r="L174"/>
    </row>
    <row r="175" spans="1:12" ht="19.5" customHeight="1" thickBot="1">
      <c r="A175" s="105"/>
      <c r="B175" s="105"/>
      <c r="C175" s="130" t="s">
        <v>523</v>
      </c>
      <c r="D175" s="131">
        <f t="shared" si="2"/>
        <v>2321670</v>
      </c>
      <c r="E175" s="131">
        <f>655750+E178</f>
        <v>655000</v>
      </c>
      <c r="F175" s="131">
        <f>577450+F178</f>
        <v>575600</v>
      </c>
      <c r="G175" s="131">
        <f>544220+G178</f>
        <v>549070</v>
      </c>
      <c r="H175" s="131">
        <f>544250+H178</f>
        <v>542000</v>
      </c>
      <c r="I175"/>
      <c r="J175"/>
      <c r="K175"/>
      <c r="L175"/>
    </row>
    <row r="176" spans="1:12" ht="21" customHeight="1" thickTop="1">
      <c r="A176" s="104">
        <v>851</v>
      </c>
      <c r="B176" s="104"/>
      <c r="C176" s="132" t="s">
        <v>620</v>
      </c>
      <c r="D176" s="133">
        <f t="shared" si="2"/>
        <v>47670</v>
      </c>
      <c r="E176" s="133">
        <f>750+E178</f>
        <v>0</v>
      </c>
      <c r="F176" s="133">
        <f>28450+F178</f>
        <v>26600</v>
      </c>
      <c r="G176" s="133">
        <f>16220+G178</f>
        <v>21070</v>
      </c>
      <c r="H176" s="133">
        <f>2250+H178</f>
        <v>0</v>
      </c>
      <c r="I176"/>
      <c r="J176"/>
      <c r="K176"/>
      <c r="L176"/>
    </row>
    <row r="177" spans="1:8" s="1" customFormat="1" ht="21" customHeight="1">
      <c r="A177" s="92"/>
      <c r="B177" s="516">
        <v>85195</v>
      </c>
      <c r="C177" s="108" t="s">
        <v>531</v>
      </c>
      <c r="D177" s="118">
        <f t="shared" si="2"/>
        <v>32600</v>
      </c>
      <c r="E177" s="118">
        <v>750</v>
      </c>
      <c r="F177" s="118">
        <v>28450</v>
      </c>
      <c r="G177" s="118">
        <v>1150</v>
      </c>
      <c r="H177" s="118">
        <v>2250</v>
      </c>
    </row>
    <row r="178" spans="1:13" s="11" customFormat="1" ht="21" customHeight="1">
      <c r="A178" s="109"/>
      <c r="B178" s="136"/>
      <c r="C178" s="111"/>
      <c r="D178" s="117">
        <f t="shared" si="2"/>
        <v>0</v>
      </c>
      <c r="E178" s="117">
        <v>-750</v>
      </c>
      <c r="F178" s="117">
        <v>-1850</v>
      </c>
      <c r="G178" s="117">
        <v>4850</v>
      </c>
      <c r="H178" s="117">
        <v>-2250</v>
      </c>
      <c r="I178"/>
      <c r="J178"/>
      <c r="K178"/>
      <c r="L178"/>
      <c r="M178"/>
    </row>
    <row r="179" spans="1:12" ht="30" customHeight="1" thickBot="1">
      <c r="A179" s="105"/>
      <c r="B179" s="105"/>
      <c r="C179" s="530" t="s">
        <v>336</v>
      </c>
      <c r="D179" s="131">
        <f t="shared" si="2"/>
        <v>229000</v>
      </c>
      <c r="E179" s="131"/>
      <c r="F179" s="131"/>
      <c r="G179" s="131">
        <f>G180</f>
        <v>71000</v>
      </c>
      <c r="H179" s="131">
        <f>H180</f>
        <v>158000</v>
      </c>
      <c r="I179"/>
      <c r="J179"/>
      <c r="K179"/>
      <c r="L179"/>
    </row>
    <row r="180" spans="1:12" ht="21" customHeight="1" thickTop="1">
      <c r="A180" s="104">
        <v>852</v>
      </c>
      <c r="B180" s="104"/>
      <c r="C180" s="132" t="s">
        <v>511</v>
      </c>
      <c r="D180" s="133">
        <f t="shared" si="2"/>
        <v>229000</v>
      </c>
      <c r="E180" s="133"/>
      <c r="F180" s="133"/>
      <c r="G180" s="133">
        <f>G181</f>
        <v>71000</v>
      </c>
      <c r="H180" s="133">
        <f>H181</f>
        <v>158000</v>
      </c>
      <c r="I180"/>
      <c r="J180"/>
      <c r="K180"/>
      <c r="L180"/>
    </row>
    <row r="181" spans="1:8" s="1" customFormat="1" ht="21" customHeight="1">
      <c r="A181" s="182"/>
      <c r="B181" s="322">
        <v>85203</v>
      </c>
      <c r="C181" s="162" t="s">
        <v>485</v>
      </c>
      <c r="D181" s="720">
        <f t="shared" si="2"/>
        <v>229000</v>
      </c>
      <c r="E181" s="720"/>
      <c r="F181" s="720"/>
      <c r="G181" s="720">
        <v>71000</v>
      </c>
      <c r="H181" s="720">
        <v>158000</v>
      </c>
    </row>
    <row r="182" spans="1:8" s="68" customFormat="1" ht="31.5" customHeight="1">
      <c r="A182" s="532"/>
      <c r="B182" s="532"/>
      <c r="C182" s="533" t="s">
        <v>125</v>
      </c>
      <c r="D182" s="329">
        <f t="shared" si="2"/>
        <v>139400</v>
      </c>
      <c r="E182" s="329">
        <f>6600+E186</f>
        <v>0</v>
      </c>
      <c r="F182" s="329">
        <f>23000+F186</f>
        <v>35000</v>
      </c>
      <c r="G182" s="329">
        <f>23000+G186</f>
        <v>61500</v>
      </c>
      <c r="H182" s="329">
        <f>23000+H186</f>
        <v>42900</v>
      </c>
    </row>
    <row r="183" spans="1:12" ht="32.25" customHeight="1" thickBot="1">
      <c r="A183" s="105"/>
      <c r="B183" s="105"/>
      <c r="C183" s="530" t="s">
        <v>336</v>
      </c>
      <c r="D183" s="131">
        <f t="shared" si="2"/>
        <v>139400</v>
      </c>
      <c r="E183" s="131">
        <f>6600+E186</f>
        <v>0</v>
      </c>
      <c r="F183" s="131">
        <f>23000+F186</f>
        <v>35000</v>
      </c>
      <c r="G183" s="131">
        <f>23000+G186</f>
        <v>61500</v>
      </c>
      <c r="H183" s="131">
        <f>23000+H186</f>
        <v>42900</v>
      </c>
      <c r="I183"/>
      <c r="J183"/>
      <c r="K183"/>
      <c r="L183"/>
    </row>
    <row r="184" spans="1:12" ht="21" customHeight="1" thickTop="1">
      <c r="A184" s="104">
        <v>852</v>
      </c>
      <c r="B184" s="104"/>
      <c r="C184" s="132" t="s">
        <v>511</v>
      </c>
      <c r="D184" s="133">
        <f t="shared" si="2"/>
        <v>139400</v>
      </c>
      <c r="E184" s="133">
        <f>6600+E186</f>
        <v>0</v>
      </c>
      <c r="F184" s="133">
        <f>23000+F186</f>
        <v>35000</v>
      </c>
      <c r="G184" s="133">
        <f>23000+G186</f>
        <v>61500</v>
      </c>
      <c r="H184" s="133">
        <f>23000+H186</f>
        <v>42900</v>
      </c>
      <c r="I184"/>
      <c r="J184"/>
      <c r="K184"/>
      <c r="L184"/>
    </row>
    <row r="185" spans="1:8" s="1" customFormat="1" ht="21" customHeight="1">
      <c r="A185" s="92"/>
      <c r="B185" s="516">
        <v>85203</v>
      </c>
      <c r="C185" s="108" t="s">
        <v>485</v>
      </c>
      <c r="D185" s="517">
        <f t="shared" si="2"/>
        <v>75600</v>
      </c>
      <c r="E185" s="517">
        <v>6600</v>
      </c>
      <c r="F185" s="517">
        <v>23000</v>
      </c>
      <c r="G185" s="517">
        <v>23000</v>
      </c>
      <c r="H185" s="517">
        <v>23000</v>
      </c>
    </row>
    <row r="186" spans="1:13" s="11" customFormat="1" ht="21" customHeight="1">
      <c r="A186" s="109"/>
      <c r="B186" s="136"/>
      <c r="C186" s="111"/>
      <c r="D186" s="117">
        <f t="shared" si="2"/>
        <v>63800</v>
      </c>
      <c r="E186" s="117">
        <v>-6600</v>
      </c>
      <c r="F186" s="117">
        <v>12000</v>
      </c>
      <c r="G186" s="117">
        <f>28500+10000</f>
        <v>38500</v>
      </c>
      <c r="H186" s="117">
        <v>19900</v>
      </c>
      <c r="I186"/>
      <c r="J186"/>
      <c r="K186"/>
      <c r="L186"/>
      <c r="M186"/>
    </row>
    <row r="187" spans="1:12" ht="21" customHeight="1">
      <c r="A187" s="92"/>
      <c r="B187" s="92"/>
      <c r="C187" s="326" t="s">
        <v>107</v>
      </c>
      <c r="D187" s="329">
        <f t="shared" si="2"/>
        <v>99345602</v>
      </c>
      <c r="E187" s="329">
        <f>25216550+E191+E194+E198+E202</f>
        <v>25216550</v>
      </c>
      <c r="F187" s="329">
        <f>25202745+F191+F194+F198+F202</f>
        <v>25225332</v>
      </c>
      <c r="G187" s="329">
        <f>23933470+G191+G194+G198+G202</f>
        <v>23946820</v>
      </c>
      <c r="H187" s="329">
        <f>25015850+H191+H194+H198+H202</f>
        <v>24956900</v>
      </c>
      <c r="I187"/>
      <c r="J187"/>
      <c r="K187"/>
      <c r="L187"/>
    </row>
    <row r="188" spans="1:12" ht="21" customHeight="1" thickBot="1">
      <c r="A188" s="105"/>
      <c r="B188" s="105"/>
      <c r="C188" s="130" t="s">
        <v>523</v>
      </c>
      <c r="D188" s="131">
        <f t="shared" si="2"/>
        <v>39765610</v>
      </c>
      <c r="E188" s="131">
        <f>10386200+E191+E194</f>
        <v>10386200</v>
      </c>
      <c r="F188" s="131">
        <f>10273590+F191+F194</f>
        <v>10273590</v>
      </c>
      <c r="G188" s="131">
        <f>9010120+G191+G194</f>
        <v>9023470</v>
      </c>
      <c r="H188" s="131">
        <f>10087500+H191+H194</f>
        <v>10082350</v>
      </c>
      <c r="I188"/>
      <c r="J188"/>
      <c r="K188"/>
      <c r="L188"/>
    </row>
    <row r="189" spans="1:12" ht="18.75" customHeight="1" thickTop="1">
      <c r="A189" s="104">
        <v>851</v>
      </c>
      <c r="B189" s="104"/>
      <c r="C189" s="132" t="s">
        <v>620</v>
      </c>
      <c r="D189" s="133">
        <f aca="true" t="shared" si="3" ref="D189:D250">SUM(E189:H189)</f>
        <v>226740</v>
      </c>
      <c r="E189" s="133">
        <f>49350+E191</f>
        <v>49350</v>
      </c>
      <c r="F189" s="133">
        <f>65350+F191</f>
        <v>65350</v>
      </c>
      <c r="G189" s="133">
        <f>52790+G191</f>
        <v>57940</v>
      </c>
      <c r="H189" s="133">
        <f>59250+H191</f>
        <v>54100</v>
      </c>
      <c r="I189"/>
      <c r="J189"/>
      <c r="K189"/>
      <c r="L189"/>
    </row>
    <row r="190" spans="1:12" ht="18.75" customHeight="1">
      <c r="A190" s="92"/>
      <c r="B190" s="90">
        <v>85154</v>
      </c>
      <c r="C190" s="108" t="s">
        <v>621</v>
      </c>
      <c r="D190" s="118">
        <f t="shared" si="3"/>
        <v>226740</v>
      </c>
      <c r="E190" s="118">
        <v>49350</v>
      </c>
      <c r="F190" s="118">
        <v>65350</v>
      </c>
      <c r="G190" s="118">
        <v>52790</v>
      </c>
      <c r="H190" s="118">
        <v>59250</v>
      </c>
      <c r="I190"/>
      <c r="J190"/>
      <c r="K190"/>
      <c r="L190"/>
    </row>
    <row r="191" spans="1:12" ht="18.75" customHeight="1">
      <c r="A191" s="111"/>
      <c r="B191" s="391"/>
      <c r="C191" s="116"/>
      <c r="D191" s="117">
        <f t="shared" si="3"/>
        <v>0</v>
      </c>
      <c r="E191" s="117"/>
      <c r="F191" s="117"/>
      <c r="G191" s="117">
        <v>5150</v>
      </c>
      <c r="H191" s="117">
        <v>-5150</v>
      </c>
      <c r="I191"/>
      <c r="J191"/>
      <c r="K191"/>
      <c r="L191"/>
    </row>
    <row r="192" spans="1:12" ht="18.75" customHeight="1">
      <c r="A192" s="104">
        <v>852</v>
      </c>
      <c r="B192" s="104"/>
      <c r="C192" s="132" t="s">
        <v>511</v>
      </c>
      <c r="D192" s="133">
        <f t="shared" si="3"/>
        <v>39338870</v>
      </c>
      <c r="E192" s="133">
        <f>10256850+E194</f>
        <v>10256850</v>
      </c>
      <c r="F192" s="133">
        <f>10148240+F194</f>
        <v>10148240</v>
      </c>
      <c r="G192" s="133">
        <f>8937330+G194</f>
        <v>8945530</v>
      </c>
      <c r="H192" s="133">
        <f>9988250+H194</f>
        <v>9988250</v>
      </c>
      <c r="I192"/>
      <c r="J192"/>
      <c r="K192"/>
      <c r="L192"/>
    </row>
    <row r="193" spans="1:12" ht="18.75" customHeight="1">
      <c r="A193" s="92"/>
      <c r="B193" s="90">
        <v>85202</v>
      </c>
      <c r="C193" s="108" t="s">
        <v>240</v>
      </c>
      <c r="D193" s="118">
        <f t="shared" si="3"/>
        <v>577000</v>
      </c>
      <c r="E193" s="118">
        <v>156750</v>
      </c>
      <c r="F193" s="118">
        <v>156750</v>
      </c>
      <c r="G193" s="118">
        <v>131750</v>
      </c>
      <c r="H193" s="118">
        <v>131750</v>
      </c>
      <c r="I193"/>
      <c r="J193"/>
      <c r="K193"/>
      <c r="L193"/>
    </row>
    <row r="194" spans="1:8" s="1" customFormat="1" ht="18.75" customHeight="1">
      <c r="A194" s="109"/>
      <c r="B194" s="391"/>
      <c r="C194" s="116"/>
      <c r="D194" s="117">
        <f t="shared" si="3"/>
        <v>8200</v>
      </c>
      <c r="E194" s="117"/>
      <c r="F194" s="117"/>
      <c r="G194" s="117">
        <v>8200</v>
      </c>
      <c r="H194" s="117"/>
    </row>
    <row r="195" spans="1:12" ht="27.75" customHeight="1" thickBot="1">
      <c r="A195" s="105"/>
      <c r="B195" s="105"/>
      <c r="C195" s="130" t="s">
        <v>538</v>
      </c>
      <c r="D195" s="131">
        <f t="shared" si="3"/>
        <v>56792200</v>
      </c>
      <c r="E195" s="131">
        <f>14132250+E198</f>
        <v>14132250</v>
      </c>
      <c r="F195" s="131">
        <f>14236250+F198</f>
        <v>14236250</v>
      </c>
      <c r="G195" s="131">
        <f>14236250+G198</f>
        <v>14236250</v>
      </c>
      <c r="H195" s="131">
        <f>14241250+H198</f>
        <v>14187450</v>
      </c>
      <c r="I195"/>
      <c r="J195"/>
      <c r="K195"/>
      <c r="L195"/>
    </row>
    <row r="196" spans="1:12" ht="21" customHeight="1" thickTop="1">
      <c r="A196" s="104">
        <v>852</v>
      </c>
      <c r="B196" s="104"/>
      <c r="C196" s="132" t="s">
        <v>511</v>
      </c>
      <c r="D196" s="133">
        <f t="shared" si="3"/>
        <v>56792200</v>
      </c>
      <c r="E196" s="133">
        <f>14132250+E198</f>
        <v>14132250</v>
      </c>
      <c r="F196" s="133">
        <f>14236250+F198</f>
        <v>14236250</v>
      </c>
      <c r="G196" s="133">
        <f>14236250+G198</f>
        <v>14236250</v>
      </c>
      <c r="H196" s="133">
        <f>14241250+H198</f>
        <v>14187450</v>
      </c>
      <c r="I196"/>
      <c r="J196"/>
      <c r="K196"/>
      <c r="L196"/>
    </row>
    <row r="197" spans="1:13" s="11" customFormat="1" ht="21" customHeight="1">
      <c r="A197" s="165"/>
      <c r="B197" s="516">
        <v>85214</v>
      </c>
      <c r="C197" s="93" t="s">
        <v>474</v>
      </c>
      <c r="D197" s="517">
        <f t="shared" si="3"/>
        <v>9258000</v>
      </c>
      <c r="E197" s="517">
        <v>2314500</v>
      </c>
      <c r="F197" s="517">
        <v>2314500</v>
      </c>
      <c r="G197" s="517">
        <v>2314500</v>
      </c>
      <c r="H197" s="517">
        <v>2314500</v>
      </c>
      <c r="I197"/>
      <c r="J197"/>
      <c r="K197"/>
      <c r="L197"/>
      <c r="M197"/>
    </row>
    <row r="198" spans="1:8" s="11" customFormat="1" ht="21" customHeight="1">
      <c r="A198" s="109"/>
      <c r="B198" s="136"/>
      <c r="C198" s="111"/>
      <c r="D198" s="117">
        <f t="shared" si="3"/>
        <v>-53800</v>
      </c>
      <c r="E198" s="117"/>
      <c r="F198" s="117"/>
      <c r="G198" s="117"/>
      <c r="H198" s="117">
        <v>-53800</v>
      </c>
    </row>
    <row r="199" spans="1:12" ht="29.25" customHeight="1" thickBot="1">
      <c r="A199" s="105"/>
      <c r="B199" s="105"/>
      <c r="C199" s="130" t="s">
        <v>539</v>
      </c>
      <c r="D199" s="131">
        <f t="shared" si="3"/>
        <v>2309792</v>
      </c>
      <c r="E199" s="131">
        <f>578600+E202</f>
        <v>578600</v>
      </c>
      <c r="F199" s="131">
        <f>573405+F202</f>
        <v>595992</v>
      </c>
      <c r="G199" s="131">
        <f>567600+G202</f>
        <v>567600</v>
      </c>
      <c r="H199" s="131">
        <v>567600</v>
      </c>
      <c r="I199"/>
      <c r="J199"/>
      <c r="K199"/>
      <c r="L199"/>
    </row>
    <row r="200" spans="1:12" ht="18.75" customHeight="1" thickTop="1">
      <c r="A200" s="104">
        <v>853</v>
      </c>
      <c r="B200" s="104"/>
      <c r="C200" s="461" t="s">
        <v>560</v>
      </c>
      <c r="D200" s="133">
        <f t="shared" si="3"/>
        <v>28392</v>
      </c>
      <c r="E200" s="133"/>
      <c r="F200" s="133">
        <f>5805+F202</f>
        <v>28392</v>
      </c>
      <c r="G200" s="133"/>
      <c r="H200" s="133"/>
      <c r="I200"/>
      <c r="J200"/>
      <c r="K200"/>
      <c r="L200"/>
    </row>
    <row r="201" spans="1:12" ht="18.75" customHeight="1">
      <c r="A201" s="92"/>
      <c r="B201" s="90">
        <v>85334</v>
      </c>
      <c r="C201" s="481" t="s">
        <v>440</v>
      </c>
      <c r="D201" s="118">
        <f t="shared" si="3"/>
        <v>5805</v>
      </c>
      <c r="E201" s="118"/>
      <c r="F201" s="118">
        <v>5805</v>
      </c>
      <c r="G201" s="118"/>
      <c r="H201" s="118"/>
      <c r="I201"/>
      <c r="J201"/>
      <c r="K201"/>
      <c r="L201"/>
    </row>
    <row r="202" spans="1:8" s="1" customFormat="1" ht="18.75" customHeight="1">
      <c r="A202" s="109"/>
      <c r="B202" s="391"/>
      <c r="C202" s="116"/>
      <c r="D202" s="117">
        <f t="shared" si="3"/>
        <v>22587</v>
      </c>
      <c r="E202" s="117"/>
      <c r="F202" s="117">
        <f>16383+6204</f>
        <v>22587</v>
      </c>
      <c r="G202" s="117"/>
      <c r="H202" s="117"/>
    </row>
    <row r="203" spans="1:12" ht="21" customHeight="1">
      <c r="A203" s="92"/>
      <c r="B203" s="92"/>
      <c r="C203" s="326" t="s">
        <v>126</v>
      </c>
      <c r="D203" s="329">
        <f t="shared" si="3"/>
        <v>6026415</v>
      </c>
      <c r="E203" s="329">
        <f>1359000+E207</f>
        <v>1359000</v>
      </c>
      <c r="F203" s="329">
        <f>1626315+F207</f>
        <v>1643821</v>
      </c>
      <c r="G203" s="329">
        <f>1529100+G207</f>
        <v>1529100</v>
      </c>
      <c r="H203" s="329">
        <f>1512000+H207</f>
        <v>1494494</v>
      </c>
      <c r="I203"/>
      <c r="J203"/>
      <c r="K203"/>
      <c r="L203"/>
    </row>
    <row r="204" spans="1:12" ht="36" customHeight="1" thickBot="1">
      <c r="A204" s="105"/>
      <c r="B204" s="105"/>
      <c r="C204" s="130" t="s">
        <v>539</v>
      </c>
      <c r="D204" s="131">
        <f t="shared" si="3"/>
        <v>2712000</v>
      </c>
      <c r="E204" s="131">
        <f>470000+E207</f>
        <v>470000</v>
      </c>
      <c r="F204" s="131">
        <f>695000+F207</f>
        <v>712506</v>
      </c>
      <c r="G204" s="131">
        <f>710000+G207</f>
        <v>710000</v>
      </c>
      <c r="H204" s="131">
        <f>837000+H207</f>
        <v>819494</v>
      </c>
      <c r="I204"/>
      <c r="J204"/>
      <c r="K204"/>
      <c r="L204"/>
    </row>
    <row r="205" spans="1:12" ht="21" customHeight="1" thickTop="1">
      <c r="A205" s="104">
        <v>851</v>
      </c>
      <c r="B205" s="104"/>
      <c r="C205" s="132" t="s">
        <v>620</v>
      </c>
      <c r="D205" s="133">
        <f t="shared" si="3"/>
        <v>2712000</v>
      </c>
      <c r="E205" s="133">
        <f>470000+E207</f>
        <v>470000</v>
      </c>
      <c r="F205" s="133">
        <f>695000+F207</f>
        <v>712506</v>
      </c>
      <c r="G205" s="133">
        <f>710000+G207</f>
        <v>710000</v>
      </c>
      <c r="H205" s="133">
        <f>837000+H207</f>
        <v>819494</v>
      </c>
      <c r="I205"/>
      <c r="J205"/>
      <c r="K205"/>
      <c r="L205"/>
    </row>
    <row r="206" spans="1:12" ht="27" customHeight="1">
      <c r="A206" s="108"/>
      <c r="B206" s="516">
        <v>85156</v>
      </c>
      <c r="C206" s="93" t="s">
        <v>121</v>
      </c>
      <c r="D206" s="517">
        <f t="shared" si="3"/>
        <v>2712000</v>
      </c>
      <c r="E206" s="517">
        <v>470000</v>
      </c>
      <c r="F206" s="517">
        <v>695000</v>
      </c>
      <c r="G206" s="517">
        <v>710000</v>
      </c>
      <c r="H206" s="517">
        <v>837000</v>
      </c>
      <c r="I206"/>
      <c r="J206"/>
      <c r="K206"/>
      <c r="L206"/>
    </row>
    <row r="207" spans="1:12" ht="21" customHeight="1">
      <c r="A207" s="111"/>
      <c r="B207" s="391"/>
      <c r="C207" s="116"/>
      <c r="D207" s="117">
        <f t="shared" si="3"/>
        <v>0</v>
      </c>
      <c r="E207" s="117"/>
      <c r="F207" s="117">
        <v>17506</v>
      </c>
      <c r="G207" s="117"/>
      <c r="H207" s="117">
        <v>-17506</v>
      </c>
      <c r="I207"/>
      <c r="J207"/>
      <c r="K207"/>
      <c r="L207"/>
    </row>
    <row r="208" spans="1:12" ht="24.75" customHeight="1">
      <c r="A208" s="328"/>
      <c r="B208" s="328"/>
      <c r="C208" s="99" t="s">
        <v>127</v>
      </c>
      <c r="D208" s="100">
        <f t="shared" si="3"/>
        <v>322358177</v>
      </c>
      <c r="E208" s="100">
        <f>101022855+E212+E214+E216+E218+E220+E222+E224+E226+E228+E230+E232+E234+E236+E238+E240+E242+E244+E247+E249+E251+E253+E255+E257+E259+E261+E263+E266+E270</f>
        <v>92581527</v>
      </c>
      <c r="F208" s="100">
        <f>78114786+F212+F214+F216+F218+F220+F222+F224+F226+F228+F230+F232+F234+F236+F238+F240+F242+F244+F247+F249+F251+F253+F255+F257+F259+F261+F263+F266+F270</f>
        <v>99305067</v>
      </c>
      <c r="G208" s="100">
        <f>72223955+G212+G214+G216+G218+G220+G222+G224+G226+G228+G230+G232+G234+G236+G238+G240+G242+G244+G247+G249+G251+G253+G255+G257+G259+G261+G263+G266+G270</f>
        <v>66628735</v>
      </c>
      <c r="H208" s="100">
        <f>70645998+H212+H214+H216+H218+H220+H222+H224+H226+H228+H230+H232+H234+H236+H238+H240+H242+H244+H247+H249+H251+H253+H255+H257+H259+H261+H263+H266+H270</f>
        <v>63842848</v>
      </c>
      <c r="I208"/>
      <c r="J208"/>
      <c r="K208"/>
      <c r="L208"/>
    </row>
    <row r="209" spans="1:12" ht="20.25" customHeight="1" thickBot="1">
      <c r="A209" s="126"/>
      <c r="B209" s="126"/>
      <c r="C209" s="127" t="s">
        <v>523</v>
      </c>
      <c r="D209" s="103">
        <f t="shared" si="3"/>
        <v>320727508</v>
      </c>
      <c r="E209" s="103">
        <f>101022590+E212+E214+E216+E218+E220+E222+E224+E226+E228+E230+E232+E234+E236+E238+E240+E242+E244+E247+E249+E251+E253+E255+E257+E259+E261+E263+E266</f>
        <v>92581279</v>
      </c>
      <c r="F209" s="103">
        <f>76485072+F212+F214+F216+F218+F220+F222+F224+F226+F228+F230+F232+F234+F236+F238+F240+F242+F244+F247+F249+F251+F253+F255+F257+F259+F261+F263+F266</f>
        <v>97675336</v>
      </c>
      <c r="G209" s="103">
        <f>72223610+G212+G214+G216+G218+G220+G222+G224+G226+G228+G230+G232+G234+G236+G238+G240+G242+G244+G247+G249+G251+G253+G255+G257+G259+G261+G263+G266</f>
        <v>66628390</v>
      </c>
      <c r="H209" s="103">
        <f>70645653+H212+H214+H216+H218+H220+H222+H224+H226+H228+H230+H232+H234+H236+H238+H240+H242+H244+H247+H249+H251+H253+H255+H257+H259+H261+H263+H266</f>
        <v>63842503</v>
      </c>
      <c r="I209"/>
      <c r="J209"/>
      <c r="K209"/>
      <c r="L209"/>
    </row>
    <row r="210" spans="1:12" ht="22.5" customHeight="1" thickTop="1">
      <c r="A210" s="114">
        <v>801</v>
      </c>
      <c r="B210" s="115"/>
      <c r="C210" s="104" t="s">
        <v>532</v>
      </c>
      <c r="D210" s="114">
        <f t="shared" si="3"/>
        <v>284615174</v>
      </c>
      <c r="E210" s="114">
        <f>87985560+E212+E214+E216+E218+E220+E222+E224+E226+E228+E230+E232+E234+E236+E238+E240+E242+E244</f>
        <v>82436088</v>
      </c>
      <c r="F210" s="114">
        <f>67565695+F212+F214+F216+F218+F220+F222+F224+F226+F228+F230+F232+F234+F236+F238+F240+F242+F244</f>
        <v>85339618</v>
      </c>
      <c r="G210" s="114">
        <f>64699330+G212+G214+G216+G218+G220+G222+G224+G226+G228+G230+G232+G234+G236+G238+G240+G242+G244</f>
        <v>59364110</v>
      </c>
      <c r="H210" s="114">
        <f>64038508+H212+H214+H216+H218+H220+H222+H224+H226+H228+H230+H232+H234+H236+H238+H240+H242+H244</f>
        <v>57475358</v>
      </c>
      <c r="I210"/>
      <c r="J210"/>
      <c r="K210"/>
      <c r="L210"/>
    </row>
    <row r="211" spans="1:12" ht="22.5" customHeight="1">
      <c r="A211" s="268"/>
      <c r="B211" s="108">
        <v>80101</v>
      </c>
      <c r="C211" s="92" t="s">
        <v>533</v>
      </c>
      <c r="D211" s="113">
        <f t="shared" si="3"/>
        <v>78545157</v>
      </c>
      <c r="E211" s="113">
        <v>25165564</v>
      </c>
      <c r="F211" s="113">
        <v>18429763</v>
      </c>
      <c r="G211" s="113">
        <v>17782220</v>
      </c>
      <c r="H211" s="113">
        <v>17167610</v>
      </c>
      <c r="I211"/>
      <c r="J211"/>
      <c r="K211"/>
      <c r="L211"/>
    </row>
    <row r="212" spans="1:12" ht="22.5" customHeight="1">
      <c r="A212" s="268"/>
      <c r="B212" s="111"/>
      <c r="C212" s="111"/>
      <c r="D212" s="112">
        <f t="shared" si="3"/>
        <v>87301</v>
      </c>
      <c r="E212" s="112">
        <v>-2300472</v>
      </c>
      <c r="F212" s="112">
        <v>4244200</v>
      </c>
      <c r="G212" s="112">
        <f>43101-1000000</f>
        <v>-956899</v>
      </c>
      <c r="H212" s="112">
        <v>-899528</v>
      </c>
      <c r="I212"/>
      <c r="J212"/>
      <c r="K212"/>
      <c r="L212"/>
    </row>
    <row r="213" spans="1:8" s="1" customFormat="1" ht="22.5" customHeight="1">
      <c r="A213" s="113"/>
      <c r="B213" s="92">
        <v>80102</v>
      </c>
      <c r="C213" s="92" t="s">
        <v>286</v>
      </c>
      <c r="D213" s="113">
        <f t="shared" si="3"/>
        <v>5928400</v>
      </c>
      <c r="E213" s="113">
        <v>2200000</v>
      </c>
      <c r="F213" s="113">
        <v>1390000</v>
      </c>
      <c r="G213" s="113">
        <v>1090000</v>
      </c>
      <c r="H213" s="113">
        <v>1248400</v>
      </c>
    </row>
    <row r="214" spans="1:12" ht="22.5" customHeight="1">
      <c r="A214" s="268"/>
      <c r="B214" s="111"/>
      <c r="C214" s="111"/>
      <c r="D214" s="112">
        <f t="shared" si="3"/>
        <v>-221450</v>
      </c>
      <c r="E214" s="112">
        <v>-457444</v>
      </c>
      <c r="F214" s="112">
        <v>400000</v>
      </c>
      <c r="G214" s="112"/>
      <c r="H214" s="112">
        <v>-164006</v>
      </c>
      <c r="I214"/>
      <c r="J214"/>
      <c r="K214"/>
      <c r="L214"/>
    </row>
    <row r="215" spans="1:8" s="1" customFormat="1" ht="22.5" customHeight="1">
      <c r="A215" s="113"/>
      <c r="B215" s="92">
        <v>80103</v>
      </c>
      <c r="C215" s="92" t="s">
        <v>61</v>
      </c>
      <c r="D215" s="113">
        <f t="shared" si="3"/>
        <v>1479880</v>
      </c>
      <c r="E215" s="113">
        <v>394673</v>
      </c>
      <c r="F215" s="113">
        <v>450000</v>
      </c>
      <c r="G215" s="113">
        <v>330000</v>
      </c>
      <c r="H215" s="113">
        <v>305207</v>
      </c>
    </row>
    <row r="216" spans="1:13" s="11" customFormat="1" ht="22.5" customHeight="1">
      <c r="A216" s="433"/>
      <c r="B216" s="109"/>
      <c r="C216" s="109"/>
      <c r="D216" s="110">
        <f t="shared" si="3"/>
        <v>42000</v>
      </c>
      <c r="E216" s="110"/>
      <c r="F216" s="110">
        <v>42000</v>
      </c>
      <c r="G216" s="110"/>
      <c r="H216" s="110"/>
      <c r="I216"/>
      <c r="J216"/>
      <c r="K216"/>
      <c r="L216"/>
      <c r="M216"/>
    </row>
    <row r="217" spans="1:12" ht="22.5" customHeight="1">
      <c r="A217" s="268"/>
      <c r="B217" s="108">
        <v>80104</v>
      </c>
      <c r="C217" s="108" t="s">
        <v>501</v>
      </c>
      <c r="D217" s="94">
        <f t="shared" si="3"/>
        <v>40883734</v>
      </c>
      <c r="E217" s="94">
        <v>12065930</v>
      </c>
      <c r="F217" s="94">
        <v>9943204</v>
      </c>
      <c r="G217" s="94">
        <v>9200000</v>
      </c>
      <c r="H217" s="94">
        <v>9674600</v>
      </c>
      <c r="I217"/>
      <c r="J217"/>
      <c r="K217"/>
      <c r="L217"/>
    </row>
    <row r="218" spans="1:12" ht="22.5" customHeight="1">
      <c r="A218" s="268"/>
      <c r="B218" s="105"/>
      <c r="C218" s="105"/>
      <c r="D218" s="112">
        <f t="shared" si="3"/>
        <v>10865</v>
      </c>
      <c r="E218" s="112"/>
      <c r="F218" s="112">
        <f>10865+2480000</f>
        <v>2490865</v>
      </c>
      <c r="G218" s="112">
        <v>-1000000</v>
      </c>
      <c r="H218" s="112">
        <v>-1480000</v>
      </c>
      <c r="I218"/>
      <c r="J218"/>
      <c r="K218"/>
      <c r="L218"/>
    </row>
    <row r="219" spans="1:8" s="1" customFormat="1" ht="22.5" customHeight="1">
      <c r="A219" s="113"/>
      <c r="B219" s="92">
        <v>80105</v>
      </c>
      <c r="C219" s="92" t="s">
        <v>270</v>
      </c>
      <c r="D219" s="113">
        <f t="shared" si="3"/>
        <v>1468200</v>
      </c>
      <c r="E219" s="113">
        <v>510000</v>
      </c>
      <c r="F219" s="113">
        <v>340000</v>
      </c>
      <c r="G219" s="113">
        <v>310000</v>
      </c>
      <c r="H219" s="113">
        <v>308200</v>
      </c>
    </row>
    <row r="220" spans="1:8" s="11" customFormat="1" ht="22.5" customHeight="1">
      <c r="A220" s="110"/>
      <c r="B220" s="111"/>
      <c r="C220" s="111"/>
      <c r="D220" s="112">
        <f t="shared" si="3"/>
        <v>0</v>
      </c>
      <c r="E220" s="112">
        <v>-60487</v>
      </c>
      <c r="F220" s="112">
        <v>140000</v>
      </c>
      <c r="G220" s="112">
        <v>-30000</v>
      </c>
      <c r="H220" s="112">
        <v>-49513</v>
      </c>
    </row>
    <row r="221" spans="1:12" ht="18.75" customHeight="1">
      <c r="A221" s="92"/>
      <c r="B221" s="92">
        <v>80110</v>
      </c>
      <c r="C221" s="92" t="s">
        <v>534</v>
      </c>
      <c r="D221" s="113">
        <f t="shared" si="3"/>
        <v>45172346</v>
      </c>
      <c r="E221" s="113">
        <v>15077766</v>
      </c>
      <c r="F221" s="113">
        <v>9843700</v>
      </c>
      <c r="G221" s="113">
        <v>10161180</v>
      </c>
      <c r="H221" s="113">
        <v>10089700</v>
      </c>
      <c r="I221"/>
      <c r="J221"/>
      <c r="K221"/>
      <c r="L221"/>
    </row>
    <row r="222" spans="1:13" s="11" customFormat="1" ht="18.75" customHeight="1">
      <c r="A222" s="109"/>
      <c r="B222" s="111"/>
      <c r="C222" s="111"/>
      <c r="D222" s="112">
        <f t="shared" si="3"/>
        <v>100000</v>
      </c>
      <c r="E222" s="112">
        <v>-1488797</v>
      </c>
      <c r="F222" s="112">
        <v>3700000</v>
      </c>
      <c r="G222" s="112">
        <v>-1000000</v>
      </c>
      <c r="H222" s="112">
        <v>-1111203</v>
      </c>
      <c r="I222"/>
      <c r="J222"/>
      <c r="K222"/>
      <c r="L222"/>
      <c r="M222"/>
    </row>
    <row r="223" spans="1:8" s="1" customFormat="1" ht="18.75" customHeight="1">
      <c r="A223" s="92"/>
      <c r="B223" s="92">
        <v>80111</v>
      </c>
      <c r="C223" s="92" t="s">
        <v>287</v>
      </c>
      <c r="D223" s="113">
        <f t="shared" si="3"/>
        <v>3771200</v>
      </c>
      <c r="E223" s="113">
        <v>1500000</v>
      </c>
      <c r="F223" s="113">
        <v>880000</v>
      </c>
      <c r="G223" s="113">
        <v>780000</v>
      </c>
      <c r="H223" s="113">
        <v>611200</v>
      </c>
    </row>
    <row r="224" spans="1:13" s="11" customFormat="1" ht="18.75" customHeight="1">
      <c r="A224" s="109"/>
      <c r="B224" s="111"/>
      <c r="C224" s="111"/>
      <c r="D224" s="112">
        <f t="shared" si="3"/>
        <v>203000</v>
      </c>
      <c r="E224" s="112">
        <v>-287121</v>
      </c>
      <c r="F224" s="112">
        <v>500000</v>
      </c>
      <c r="G224" s="112">
        <v>-59879</v>
      </c>
      <c r="H224" s="112">
        <v>50000</v>
      </c>
      <c r="I224"/>
      <c r="J224"/>
      <c r="K224"/>
      <c r="L224"/>
      <c r="M224"/>
    </row>
    <row r="225" spans="1:8" s="1" customFormat="1" ht="18" customHeight="1">
      <c r="A225" s="92"/>
      <c r="B225" s="92">
        <v>80113</v>
      </c>
      <c r="C225" s="92" t="s">
        <v>294</v>
      </c>
      <c r="D225" s="113">
        <f t="shared" si="3"/>
        <v>472300</v>
      </c>
      <c r="E225" s="113">
        <v>210690</v>
      </c>
      <c r="F225" s="113">
        <v>120690</v>
      </c>
      <c r="G225" s="113">
        <v>50230</v>
      </c>
      <c r="H225" s="113">
        <v>90690</v>
      </c>
    </row>
    <row r="226" spans="1:13" s="11" customFormat="1" ht="18" customHeight="1">
      <c r="A226" s="109"/>
      <c r="B226" s="111"/>
      <c r="C226" s="111"/>
      <c r="D226" s="112">
        <f t="shared" si="3"/>
        <v>12965</v>
      </c>
      <c r="E226" s="112">
        <v>-70200</v>
      </c>
      <c r="F226" s="112">
        <v>103165</v>
      </c>
      <c r="G226" s="112"/>
      <c r="H226" s="112">
        <v>-20000</v>
      </c>
      <c r="I226"/>
      <c r="J226"/>
      <c r="K226"/>
      <c r="L226"/>
      <c r="M226"/>
    </row>
    <row r="227" spans="1:12" ht="18" customHeight="1">
      <c r="A227" s="92"/>
      <c r="B227" s="92">
        <v>80120</v>
      </c>
      <c r="C227" s="92" t="s">
        <v>535</v>
      </c>
      <c r="D227" s="94">
        <f t="shared" si="3"/>
        <v>40161400</v>
      </c>
      <c r="E227" s="94">
        <v>11421637</v>
      </c>
      <c r="F227" s="94">
        <v>9328800</v>
      </c>
      <c r="G227" s="94">
        <v>9407263</v>
      </c>
      <c r="H227" s="94">
        <v>10003700</v>
      </c>
      <c r="I227"/>
      <c r="J227"/>
      <c r="K227"/>
      <c r="L227"/>
    </row>
    <row r="228" spans="1:13" s="11" customFormat="1" ht="18" customHeight="1">
      <c r="A228" s="109"/>
      <c r="B228" s="111"/>
      <c r="C228" s="111"/>
      <c r="D228" s="112">
        <f t="shared" si="3"/>
        <v>48500</v>
      </c>
      <c r="E228" s="112"/>
      <c r="F228" s="112">
        <v>2550500</v>
      </c>
      <c r="G228" s="112">
        <v>-1000000</v>
      </c>
      <c r="H228" s="112">
        <v>-1502000</v>
      </c>
      <c r="I228"/>
      <c r="J228"/>
      <c r="K228"/>
      <c r="L228"/>
      <c r="M228"/>
    </row>
    <row r="229" spans="1:8" s="1" customFormat="1" ht="18" customHeight="1">
      <c r="A229" s="92"/>
      <c r="B229" s="92">
        <v>80121</v>
      </c>
      <c r="C229" s="92" t="s">
        <v>271</v>
      </c>
      <c r="D229" s="113">
        <f t="shared" si="3"/>
        <v>1307600</v>
      </c>
      <c r="E229" s="113">
        <v>480000</v>
      </c>
      <c r="F229" s="113">
        <v>300000</v>
      </c>
      <c r="G229" s="113">
        <v>270000</v>
      </c>
      <c r="H229" s="113">
        <v>257600</v>
      </c>
    </row>
    <row r="230" spans="1:13" s="11" customFormat="1" ht="18" customHeight="1">
      <c r="A230" s="109"/>
      <c r="B230" s="109"/>
      <c r="C230" s="109"/>
      <c r="D230" s="110">
        <f t="shared" si="3"/>
        <v>0</v>
      </c>
      <c r="E230" s="110">
        <v>-110732</v>
      </c>
      <c r="F230" s="110">
        <v>110732</v>
      </c>
      <c r="G230" s="110"/>
      <c r="H230" s="110"/>
      <c r="I230"/>
      <c r="J230"/>
      <c r="K230"/>
      <c r="L230"/>
      <c r="M230"/>
    </row>
    <row r="231" spans="1:8" s="1" customFormat="1" ht="18" customHeight="1">
      <c r="A231" s="92"/>
      <c r="B231" s="108">
        <v>80123</v>
      </c>
      <c r="C231" s="108" t="s">
        <v>296</v>
      </c>
      <c r="D231" s="94">
        <f t="shared" si="3"/>
        <v>7335700</v>
      </c>
      <c r="E231" s="94">
        <v>2280000</v>
      </c>
      <c r="F231" s="94">
        <v>1700000</v>
      </c>
      <c r="G231" s="94">
        <v>1600000</v>
      </c>
      <c r="H231" s="94">
        <v>1755700</v>
      </c>
    </row>
    <row r="232" spans="1:13" s="11" customFormat="1" ht="18" customHeight="1">
      <c r="A232" s="109"/>
      <c r="B232" s="111"/>
      <c r="C232" s="111"/>
      <c r="D232" s="112">
        <f t="shared" si="3"/>
        <v>53000</v>
      </c>
      <c r="E232" s="112"/>
      <c r="F232" s="112">
        <v>596000</v>
      </c>
      <c r="G232" s="112">
        <v>-200000</v>
      </c>
      <c r="H232" s="112">
        <v>-343000</v>
      </c>
      <c r="I232"/>
      <c r="J232"/>
      <c r="K232"/>
      <c r="L232"/>
      <c r="M232"/>
    </row>
    <row r="233" spans="1:8" s="1" customFormat="1" ht="18" customHeight="1">
      <c r="A233" s="92"/>
      <c r="B233" s="92">
        <v>80124</v>
      </c>
      <c r="C233" s="92" t="s">
        <v>272</v>
      </c>
      <c r="D233" s="113">
        <f t="shared" si="3"/>
        <v>533000</v>
      </c>
      <c r="E233" s="113">
        <v>180000</v>
      </c>
      <c r="F233" s="113">
        <v>125000</v>
      </c>
      <c r="G233" s="113">
        <v>115000</v>
      </c>
      <c r="H233" s="113">
        <v>113000</v>
      </c>
    </row>
    <row r="234" spans="1:13" s="11" customFormat="1" ht="18" customHeight="1">
      <c r="A234" s="109"/>
      <c r="B234" s="111"/>
      <c r="C234" s="111"/>
      <c r="D234" s="112">
        <f t="shared" si="3"/>
        <v>0</v>
      </c>
      <c r="E234" s="112">
        <v>-23852</v>
      </c>
      <c r="F234" s="112">
        <v>27752</v>
      </c>
      <c r="G234" s="112"/>
      <c r="H234" s="112">
        <v>-3900</v>
      </c>
      <c r="I234"/>
      <c r="J234"/>
      <c r="K234"/>
      <c r="L234"/>
      <c r="M234"/>
    </row>
    <row r="235" spans="1:12" ht="18" customHeight="1">
      <c r="A235" s="92"/>
      <c r="B235" s="92">
        <v>80130</v>
      </c>
      <c r="C235" s="92" t="s">
        <v>536</v>
      </c>
      <c r="D235" s="113">
        <f t="shared" si="3"/>
        <v>36681658</v>
      </c>
      <c r="E235" s="113">
        <v>10739300</v>
      </c>
      <c r="F235" s="113">
        <v>8418476</v>
      </c>
      <c r="G235" s="113">
        <v>8644332</v>
      </c>
      <c r="H235" s="113">
        <v>8879550</v>
      </c>
      <c r="I235"/>
      <c r="J235"/>
      <c r="K235"/>
      <c r="L235"/>
    </row>
    <row r="236" spans="1:13" s="11" customFormat="1" ht="18" customHeight="1">
      <c r="A236" s="111"/>
      <c r="B236" s="111"/>
      <c r="C236" s="111"/>
      <c r="D236" s="112">
        <f t="shared" si="3"/>
        <v>-12000</v>
      </c>
      <c r="E236" s="112"/>
      <c r="F236" s="112">
        <v>1468200</v>
      </c>
      <c r="G236" s="112">
        <v>-480200</v>
      </c>
      <c r="H236" s="112">
        <v>-1000000</v>
      </c>
      <c r="I236"/>
      <c r="J236"/>
      <c r="K236"/>
      <c r="L236"/>
      <c r="M236"/>
    </row>
    <row r="237" spans="1:8" s="1" customFormat="1" ht="18" customHeight="1">
      <c r="A237" s="92"/>
      <c r="B237" s="92">
        <v>80132</v>
      </c>
      <c r="C237" s="92" t="s">
        <v>273</v>
      </c>
      <c r="D237" s="113">
        <f t="shared" si="3"/>
        <v>3341000</v>
      </c>
      <c r="E237" s="113">
        <v>1360000</v>
      </c>
      <c r="F237" s="113">
        <v>700000</v>
      </c>
      <c r="G237" s="113">
        <v>700000</v>
      </c>
      <c r="H237" s="113">
        <v>581000</v>
      </c>
    </row>
    <row r="238" spans="1:13" s="11" customFormat="1" ht="18" customHeight="1">
      <c r="A238" s="109"/>
      <c r="B238" s="111"/>
      <c r="C238" s="111"/>
      <c r="D238" s="112">
        <f t="shared" si="3"/>
        <v>0</v>
      </c>
      <c r="E238" s="112">
        <v>-338481</v>
      </c>
      <c r="F238" s="112">
        <v>338481</v>
      </c>
      <c r="G238" s="112"/>
      <c r="H238" s="112"/>
      <c r="I238"/>
      <c r="J238"/>
      <c r="K238"/>
      <c r="L238"/>
      <c r="M238"/>
    </row>
    <row r="239" spans="1:8" s="1" customFormat="1" ht="18" customHeight="1">
      <c r="A239" s="92"/>
      <c r="B239" s="92">
        <v>80134</v>
      </c>
      <c r="C239" s="92" t="s">
        <v>274</v>
      </c>
      <c r="D239" s="113">
        <f t="shared" si="3"/>
        <v>4373400</v>
      </c>
      <c r="E239" s="113">
        <v>1600000</v>
      </c>
      <c r="F239" s="113">
        <v>1000000</v>
      </c>
      <c r="G239" s="113">
        <v>900000</v>
      </c>
      <c r="H239" s="113">
        <v>873400</v>
      </c>
    </row>
    <row r="240" spans="1:13" s="11" customFormat="1" ht="18" customHeight="1">
      <c r="A240" s="109"/>
      <c r="B240" s="111"/>
      <c r="C240" s="111"/>
      <c r="D240" s="112">
        <f t="shared" si="3"/>
        <v>0</v>
      </c>
      <c r="E240" s="112">
        <v>-206793</v>
      </c>
      <c r="F240" s="112">
        <v>246793</v>
      </c>
      <c r="G240" s="112"/>
      <c r="H240" s="112">
        <v>-40000</v>
      </c>
      <c r="I240"/>
      <c r="J240"/>
      <c r="K240"/>
      <c r="L240"/>
      <c r="M240"/>
    </row>
    <row r="241" spans="1:12" ht="26.25" customHeight="1">
      <c r="A241" s="92"/>
      <c r="B241" s="92">
        <v>80140</v>
      </c>
      <c r="C241" s="119" t="s">
        <v>74</v>
      </c>
      <c r="D241" s="113">
        <f t="shared" si="3"/>
        <v>9033868</v>
      </c>
      <c r="E241" s="113">
        <v>2800000</v>
      </c>
      <c r="F241" s="113">
        <v>2029000</v>
      </c>
      <c r="G241" s="113">
        <v>2325668</v>
      </c>
      <c r="H241" s="113">
        <v>1879200</v>
      </c>
      <c r="I241"/>
      <c r="J241"/>
      <c r="K241"/>
      <c r="L241"/>
    </row>
    <row r="242" spans="1:13" s="11" customFormat="1" ht="18.75" customHeight="1">
      <c r="A242" s="109"/>
      <c r="B242" s="111"/>
      <c r="C242" s="111"/>
      <c r="D242" s="112">
        <f t="shared" si="3"/>
        <v>1900</v>
      </c>
      <c r="E242" s="112">
        <v>-205093</v>
      </c>
      <c r="F242" s="112">
        <v>327400</v>
      </c>
      <c r="G242" s="112">
        <v>-120407</v>
      </c>
      <c r="H242" s="112"/>
      <c r="I242"/>
      <c r="J242"/>
      <c r="K242"/>
      <c r="L242"/>
      <c r="M242"/>
    </row>
    <row r="243" spans="1:8" s="1" customFormat="1" ht="18.75" customHeight="1">
      <c r="A243" s="92"/>
      <c r="B243" s="108">
        <v>80195</v>
      </c>
      <c r="C243" s="108" t="s">
        <v>531</v>
      </c>
      <c r="D243" s="94">
        <f t="shared" si="3"/>
        <v>2300250</v>
      </c>
      <c r="E243" s="94"/>
      <c r="F243" s="94">
        <v>1767062</v>
      </c>
      <c r="G243" s="94">
        <v>533188</v>
      </c>
      <c r="H243" s="94"/>
    </row>
    <row r="244" spans="1:13" s="11" customFormat="1" ht="18.75" customHeight="1">
      <c r="A244" s="111"/>
      <c r="B244" s="111"/>
      <c r="C244" s="111"/>
      <c r="D244" s="112">
        <f t="shared" si="3"/>
        <v>0</v>
      </c>
      <c r="E244" s="112"/>
      <c r="F244" s="112">
        <v>487835</v>
      </c>
      <c r="G244" s="112">
        <v>-487835</v>
      </c>
      <c r="H244" s="112"/>
      <c r="I244"/>
      <c r="J244"/>
      <c r="K244"/>
      <c r="L244"/>
      <c r="M244"/>
    </row>
    <row r="245" spans="1:12" ht="19.5" customHeight="1">
      <c r="A245" s="114">
        <v>854</v>
      </c>
      <c r="B245" s="115"/>
      <c r="C245" s="115" t="s">
        <v>537</v>
      </c>
      <c r="D245" s="120">
        <f t="shared" si="3"/>
        <v>35080269</v>
      </c>
      <c r="E245" s="114">
        <f>12812760+E247+E249+E251+E253+E255+E257+E259+E261+E263</f>
        <v>10084286</v>
      </c>
      <c r="F245" s="114">
        <f>8486627+F247+F249+F251+F253+F255+F257+F259+F261+F263</f>
        <v>11739603</v>
      </c>
      <c r="G245" s="114">
        <f>7360250+G247+G249+G251+G253+G255+G257+G259+G261+G263</f>
        <v>7100250</v>
      </c>
      <c r="H245" s="114">
        <f>6396130+H247+H249+H251+H253+H255+H257+H259+H261+H263</f>
        <v>6156130</v>
      </c>
      <c r="I245"/>
      <c r="J245"/>
      <c r="K245"/>
      <c r="L245"/>
    </row>
    <row r="246" spans="1:8" s="51" customFormat="1" ht="18.75" customHeight="1">
      <c r="A246" s="831"/>
      <c r="B246" s="829">
        <v>85401</v>
      </c>
      <c r="C246" s="837" t="s">
        <v>297</v>
      </c>
      <c r="D246" s="830">
        <f t="shared" si="3"/>
        <v>6408420</v>
      </c>
      <c r="E246" s="831">
        <v>2300000</v>
      </c>
      <c r="F246" s="838">
        <v>1400000</v>
      </c>
      <c r="G246" s="831">
        <v>1500000</v>
      </c>
      <c r="H246" s="831">
        <v>1208420</v>
      </c>
    </row>
    <row r="247" spans="1:8" s="50" customFormat="1" ht="18.75" customHeight="1">
      <c r="A247" s="833"/>
      <c r="B247" s="832"/>
      <c r="C247" s="839"/>
      <c r="D247" s="833">
        <f t="shared" si="3"/>
        <v>1000</v>
      </c>
      <c r="E247" s="833">
        <v>-497438</v>
      </c>
      <c r="F247" s="840">
        <v>598438</v>
      </c>
      <c r="G247" s="833">
        <v>-100000</v>
      </c>
      <c r="H247" s="833"/>
    </row>
    <row r="248" spans="1:12" ht="18.75" customHeight="1">
      <c r="A248" s="123"/>
      <c r="B248" s="108">
        <v>85403</v>
      </c>
      <c r="C248" s="122" t="s">
        <v>607</v>
      </c>
      <c r="D248" s="124">
        <f t="shared" si="3"/>
        <v>7022098</v>
      </c>
      <c r="E248" s="94">
        <v>2700000</v>
      </c>
      <c r="F248" s="95">
        <v>1609298</v>
      </c>
      <c r="G248" s="124">
        <v>1390000</v>
      </c>
      <c r="H248" s="94">
        <v>1322800</v>
      </c>
      <c r="I248"/>
      <c r="J248"/>
      <c r="K248"/>
      <c r="L248"/>
    </row>
    <row r="249" spans="1:13" s="11" customFormat="1" ht="18.75" customHeight="1">
      <c r="A249" s="327"/>
      <c r="B249" s="111"/>
      <c r="C249" s="111"/>
      <c r="D249" s="125">
        <f t="shared" si="3"/>
        <v>0</v>
      </c>
      <c r="E249" s="112">
        <v>-513580</v>
      </c>
      <c r="F249" s="121">
        <v>613580</v>
      </c>
      <c r="G249" s="125"/>
      <c r="H249" s="112">
        <v>-100000</v>
      </c>
      <c r="I249"/>
      <c r="J249"/>
      <c r="K249"/>
      <c r="L249"/>
      <c r="M249"/>
    </row>
    <row r="250" spans="1:12" ht="26.25" customHeight="1">
      <c r="A250" s="123"/>
      <c r="B250" s="108">
        <v>85406</v>
      </c>
      <c r="C250" s="841" t="s">
        <v>275</v>
      </c>
      <c r="D250" s="124">
        <f t="shared" si="3"/>
        <v>5539800</v>
      </c>
      <c r="E250" s="94">
        <v>2000000</v>
      </c>
      <c r="F250" s="95">
        <v>1300000</v>
      </c>
      <c r="G250" s="124">
        <v>1200000</v>
      </c>
      <c r="H250" s="94">
        <v>1039800</v>
      </c>
      <c r="I250"/>
      <c r="J250"/>
      <c r="K250"/>
      <c r="L250"/>
    </row>
    <row r="251" spans="1:13" s="11" customFormat="1" ht="18.75" customHeight="1">
      <c r="A251" s="327"/>
      <c r="B251" s="111"/>
      <c r="C251" s="111"/>
      <c r="D251" s="125">
        <f aca="true" t="shared" si="4" ref="D251:D270">SUM(E251:H251)</f>
        <v>0</v>
      </c>
      <c r="E251" s="112">
        <v>-536457</v>
      </c>
      <c r="F251" s="121">
        <v>536457</v>
      </c>
      <c r="G251" s="125"/>
      <c r="H251" s="112"/>
      <c r="I251"/>
      <c r="J251"/>
      <c r="K251"/>
      <c r="L251"/>
      <c r="M251"/>
    </row>
    <row r="252" spans="1:12" ht="18.75" customHeight="1">
      <c r="A252" s="123"/>
      <c r="B252" s="108">
        <v>85407</v>
      </c>
      <c r="C252" s="122" t="s">
        <v>276</v>
      </c>
      <c r="D252" s="124">
        <f t="shared" si="4"/>
        <v>2351200</v>
      </c>
      <c r="E252" s="94">
        <v>900000</v>
      </c>
      <c r="F252" s="95">
        <v>500000</v>
      </c>
      <c r="G252" s="124">
        <v>500000</v>
      </c>
      <c r="H252" s="94">
        <v>451200</v>
      </c>
      <c r="I252"/>
      <c r="J252"/>
      <c r="K252"/>
      <c r="L252"/>
    </row>
    <row r="253" spans="1:13" s="11" customFormat="1" ht="18.75" customHeight="1">
      <c r="A253" s="327"/>
      <c r="B253" s="111"/>
      <c r="C253" s="111"/>
      <c r="D253" s="125">
        <f t="shared" si="4"/>
        <v>0</v>
      </c>
      <c r="E253" s="112">
        <v>-242489</v>
      </c>
      <c r="F253" s="121">
        <v>242489</v>
      </c>
      <c r="G253" s="125"/>
      <c r="H253" s="112"/>
      <c r="I253"/>
      <c r="J253"/>
      <c r="K253"/>
      <c r="L253"/>
      <c r="M253"/>
    </row>
    <row r="254" spans="1:12" ht="18.75" customHeight="1">
      <c r="A254" s="123"/>
      <c r="B254" s="108">
        <v>85410</v>
      </c>
      <c r="C254" s="122" t="s">
        <v>756</v>
      </c>
      <c r="D254" s="124">
        <f t="shared" si="4"/>
        <v>6008947</v>
      </c>
      <c r="E254" s="94">
        <v>2210000</v>
      </c>
      <c r="F254" s="95">
        <v>1400347</v>
      </c>
      <c r="G254" s="124">
        <v>1380000</v>
      </c>
      <c r="H254" s="94">
        <v>1018600</v>
      </c>
      <c r="I254"/>
      <c r="J254"/>
      <c r="K254"/>
      <c r="L254"/>
    </row>
    <row r="255" spans="1:13" s="11" customFormat="1" ht="18.75" customHeight="1">
      <c r="A255" s="327"/>
      <c r="B255" s="111"/>
      <c r="C255" s="111"/>
      <c r="D255" s="125">
        <f t="shared" si="4"/>
        <v>0</v>
      </c>
      <c r="E255" s="112">
        <v>-323455</v>
      </c>
      <c r="F255" s="121">
        <v>513455</v>
      </c>
      <c r="G255" s="125">
        <v>-150000</v>
      </c>
      <c r="H255" s="112">
        <v>-40000</v>
      </c>
      <c r="I255"/>
      <c r="J255"/>
      <c r="K255"/>
      <c r="L255"/>
      <c r="M255"/>
    </row>
    <row r="256" spans="1:8" s="684" customFormat="1" ht="18.75" customHeight="1">
      <c r="A256" s="686"/>
      <c r="B256" s="92">
        <v>85415</v>
      </c>
      <c r="C256" s="1122" t="s">
        <v>341</v>
      </c>
      <c r="D256" s="1123">
        <f t="shared" si="4"/>
        <v>896622</v>
      </c>
      <c r="E256" s="113">
        <v>172760</v>
      </c>
      <c r="F256" s="353">
        <v>604982</v>
      </c>
      <c r="G256" s="1123">
        <v>48000</v>
      </c>
      <c r="H256" s="113">
        <v>70880</v>
      </c>
    </row>
    <row r="257" spans="1:13" s="11" customFormat="1" ht="18.75" customHeight="1">
      <c r="A257" s="327"/>
      <c r="B257" s="111"/>
      <c r="C257" s="111"/>
      <c r="D257" s="125">
        <f t="shared" si="4"/>
        <v>13502</v>
      </c>
      <c r="E257" s="112">
        <v>-56073</v>
      </c>
      <c r="F257" s="121">
        <v>89575</v>
      </c>
      <c r="G257" s="125"/>
      <c r="H257" s="112">
        <v>-20000</v>
      </c>
      <c r="I257"/>
      <c r="J257"/>
      <c r="K257"/>
      <c r="L257"/>
      <c r="M257"/>
    </row>
    <row r="258" spans="1:8" s="684" customFormat="1" ht="18.75" customHeight="1">
      <c r="A258" s="686"/>
      <c r="B258" s="108">
        <v>85417</v>
      </c>
      <c r="C258" s="122" t="s">
        <v>277</v>
      </c>
      <c r="D258" s="124">
        <f t="shared" si="4"/>
        <v>250000</v>
      </c>
      <c r="E258" s="94">
        <v>110000</v>
      </c>
      <c r="F258" s="95">
        <v>50000</v>
      </c>
      <c r="G258" s="124">
        <v>50000</v>
      </c>
      <c r="H258" s="94">
        <v>40000</v>
      </c>
    </row>
    <row r="259" spans="1:13" s="11" customFormat="1" ht="18.75" customHeight="1">
      <c r="A259" s="327"/>
      <c r="B259" s="111"/>
      <c r="C259" s="111"/>
      <c r="D259" s="125">
        <f t="shared" si="4"/>
        <v>0</v>
      </c>
      <c r="E259" s="112">
        <v>-29333</v>
      </c>
      <c r="F259" s="121">
        <v>49333</v>
      </c>
      <c r="G259" s="125">
        <v>-10000</v>
      </c>
      <c r="H259" s="112">
        <v>-10000</v>
      </c>
      <c r="I259"/>
      <c r="J259"/>
      <c r="K259"/>
      <c r="L259"/>
      <c r="M259"/>
    </row>
    <row r="260" spans="1:8" s="684" customFormat="1" ht="18.75" customHeight="1">
      <c r="A260" s="686"/>
      <c r="B260" s="108">
        <v>85421</v>
      </c>
      <c r="C260" s="122" t="s">
        <v>194</v>
      </c>
      <c r="D260" s="124">
        <f t="shared" si="4"/>
        <v>522000</v>
      </c>
      <c r="E260" s="94">
        <v>220000</v>
      </c>
      <c r="F260" s="95">
        <v>102000</v>
      </c>
      <c r="G260" s="124">
        <v>100000</v>
      </c>
      <c r="H260" s="94">
        <v>100000</v>
      </c>
    </row>
    <row r="261" spans="1:13" s="11" customFormat="1" ht="18.75" customHeight="1">
      <c r="A261" s="327"/>
      <c r="B261" s="111"/>
      <c r="C261" s="111"/>
      <c r="D261" s="125">
        <f t="shared" si="4"/>
        <v>0</v>
      </c>
      <c r="E261" s="112">
        <v>-92043</v>
      </c>
      <c r="F261" s="121">
        <v>92043</v>
      </c>
      <c r="G261" s="125"/>
      <c r="H261" s="112"/>
      <c r="I261"/>
      <c r="J261"/>
      <c r="K261"/>
      <c r="L261"/>
      <c r="M261"/>
    </row>
    <row r="262" spans="1:8" s="684" customFormat="1" ht="18.75" customHeight="1">
      <c r="A262" s="686"/>
      <c r="B262" s="108">
        <v>85495</v>
      </c>
      <c r="C262" s="122" t="s">
        <v>531</v>
      </c>
      <c r="D262" s="124">
        <f t="shared" si="4"/>
        <v>5906680</v>
      </c>
      <c r="E262" s="94">
        <v>2200000</v>
      </c>
      <c r="F262" s="95">
        <v>1450000</v>
      </c>
      <c r="G262" s="124">
        <v>1142250</v>
      </c>
      <c r="H262" s="94">
        <v>1114430</v>
      </c>
    </row>
    <row r="263" spans="1:13" s="11" customFormat="1" ht="18.75" customHeight="1">
      <c r="A263" s="126"/>
      <c r="B263" s="111"/>
      <c r="C263" s="111"/>
      <c r="D263" s="125">
        <f t="shared" si="4"/>
        <v>10000</v>
      </c>
      <c r="E263" s="112">
        <v>-437606</v>
      </c>
      <c r="F263" s="121">
        <v>517606</v>
      </c>
      <c r="G263" s="125"/>
      <c r="H263" s="112">
        <v>-70000</v>
      </c>
      <c r="I263"/>
      <c r="J263"/>
      <c r="K263"/>
      <c r="L263"/>
      <c r="M263"/>
    </row>
    <row r="264" spans="1:12" ht="19.5" customHeight="1">
      <c r="A264" s="114">
        <v>926</v>
      </c>
      <c r="B264" s="115"/>
      <c r="C264" s="115" t="s">
        <v>244</v>
      </c>
      <c r="D264" s="120">
        <f t="shared" si="4"/>
        <v>415120</v>
      </c>
      <c r="E264" s="114">
        <f>211720+E266</f>
        <v>48355</v>
      </c>
      <c r="F264" s="114">
        <f>203400+F266</f>
        <v>366765</v>
      </c>
      <c r="G264" s="114"/>
      <c r="H264" s="114"/>
      <c r="I264"/>
      <c r="J264"/>
      <c r="K264"/>
      <c r="L264"/>
    </row>
    <row r="265" spans="1:8" s="684" customFormat="1" ht="18.75" customHeight="1">
      <c r="A265" s="1152"/>
      <c r="B265" s="108">
        <v>92605</v>
      </c>
      <c r="C265" s="122" t="s">
        <v>246</v>
      </c>
      <c r="D265" s="124">
        <f t="shared" si="4"/>
        <v>415120</v>
      </c>
      <c r="E265" s="94">
        <v>211720</v>
      </c>
      <c r="F265" s="95">
        <v>203400</v>
      </c>
      <c r="G265" s="124"/>
      <c r="H265" s="94"/>
    </row>
    <row r="266" spans="1:13" s="11" customFormat="1" ht="18.75" customHeight="1">
      <c r="A266" s="126"/>
      <c r="B266" s="111"/>
      <c r="C266" s="111"/>
      <c r="D266" s="125">
        <f t="shared" si="4"/>
        <v>0</v>
      </c>
      <c r="E266" s="112">
        <v>-163365</v>
      </c>
      <c r="F266" s="121">
        <v>163365</v>
      </c>
      <c r="G266" s="125"/>
      <c r="H266" s="112"/>
      <c r="I266"/>
      <c r="J266"/>
      <c r="K266"/>
      <c r="L266"/>
      <c r="M266"/>
    </row>
    <row r="267" spans="1:12" ht="29.25" customHeight="1" thickBot="1">
      <c r="A267" s="126"/>
      <c r="B267" s="126"/>
      <c r="C267" s="102" t="s">
        <v>539</v>
      </c>
      <c r="D267" s="103">
        <f t="shared" si="4"/>
        <v>1300</v>
      </c>
      <c r="E267" s="103">
        <f>265+E270</f>
        <v>248</v>
      </c>
      <c r="F267" s="103">
        <f>345+F270</f>
        <v>362</v>
      </c>
      <c r="G267" s="103">
        <f>345+G270</f>
        <v>345</v>
      </c>
      <c r="H267" s="103">
        <f>345+H270</f>
        <v>345</v>
      </c>
      <c r="I267"/>
      <c r="J267"/>
      <c r="K267"/>
      <c r="L267"/>
    </row>
    <row r="268" spans="1:12" ht="18.75" customHeight="1" thickTop="1">
      <c r="A268" s="114">
        <v>851</v>
      </c>
      <c r="B268" s="115"/>
      <c r="C268" s="104" t="s">
        <v>620</v>
      </c>
      <c r="D268" s="114">
        <f t="shared" si="4"/>
        <v>1300</v>
      </c>
      <c r="E268" s="114">
        <f>265+E270</f>
        <v>248</v>
      </c>
      <c r="F268" s="114">
        <f>345+F270</f>
        <v>362</v>
      </c>
      <c r="G268" s="114">
        <f>345+G270</f>
        <v>345</v>
      </c>
      <c r="H268" s="114">
        <f>345+H270</f>
        <v>345</v>
      </c>
      <c r="I268"/>
      <c r="J268"/>
      <c r="K268"/>
      <c r="L268"/>
    </row>
    <row r="269" spans="1:12" ht="27" customHeight="1">
      <c r="A269" s="268"/>
      <c r="B269" s="108">
        <v>85156</v>
      </c>
      <c r="C269" s="119" t="s">
        <v>92</v>
      </c>
      <c r="D269" s="113">
        <f t="shared" si="4"/>
        <v>1300</v>
      </c>
      <c r="E269" s="113">
        <v>265</v>
      </c>
      <c r="F269" s="113">
        <v>345</v>
      </c>
      <c r="G269" s="113">
        <v>345</v>
      </c>
      <c r="H269" s="113">
        <v>345</v>
      </c>
      <c r="I269"/>
      <c r="J269"/>
      <c r="K269"/>
      <c r="L269"/>
    </row>
    <row r="270" spans="1:12" ht="18.75" customHeight="1">
      <c r="A270" s="194"/>
      <c r="B270" s="111"/>
      <c r="C270" s="111"/>
      <c r="D270" s="112">
        <f t="shared" si="4"/>
        <v>0</v>
      </c>
      <c r="E270" s="112">
        <v>-17</v>
      </c>
      <c r="F270" s="112">
        <v>17</v>
      </c>
      <c r="G270" s="112"/>
      <c r="H270" s="112"/>
      <c r="I270"/>
      <c r="J270"/>
      <c r="K270"/>
      <c r="L270"/>
    </row>
    <row r="271" spans="9:12" ht="12.75">
      <c r="I271"/>
      <c r="J271"/>
      <c r="K271"/>
      <c r="L271"/>
    </row>
    <row r="272" spans="9:12" ht="12.75">
      <c r="I272"/>
      <c r="J272"/>
      <c r="K272"/>
      <c r="L272"/>
    </row>
    <row r="273" spans="9:12" ht="12.75">
      <c r="I273"/>
      <c r="J273"/>
      <c r="K273"/>
      <c r="L273"/>
    </row>
    <row r="274" spans="9:12" ht="12.75">
      <c r="I274"/>
      <c r="J274"/>
      <c r="K274"/>
      <c r="L274"/>
    </row>
    <row r="275" spans="3:12" ht="12.75">
      <c r="C275" s="17" t="s">
        <v>24</v>
      </c>
      <c r="I275"/>
      <c r="J275"/>
      <c r="K275"/>
      <c r="L275"/>
    </row>
    <row r="276" spans="3:12" ht="12.75">
      <c r="C276" s="17" t="s">
        <v>23</v>
      </c>
      <c r="I276"/>
      <c r="J276"/>
      <c r="K276"/>
      <c r="L276"/>
    </row>
    <row r="277" ht="12.75">
      <c r="C277" s="17" t="s">
        <v>22</v>
      </c>
    </row>
  </sheetData>
  <mergeCells count="1">
    <mergeCell ref="D7:D8"/>
  </mergeCells>
  <printOptions horizontalCentered="1"/>
  <pageMargins left="0.3937007874015748" right="0.3937007874015748" top="0.45" bottom="0.48" header="0.4" footer="0.35"/>
  <pageSetup firstPageNumber="60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5.75390625" style="1" customWidth="1"/>
    <col min="2" max="2" width="7.00390625" style="1" customWidth="1"/>
    <col min="3" max="3" width="57.875" style="1" customWidth="1"/>
    <col min="4" max="4" width="14.75390625" style="1" customWidth="1"/>
    <col min="5" max="6" width="13.375" style="1" customWidth="1"/>
    <col min="7" max="7" width="13.75390625" style="1" customWidth="1"/>
    <col min="8" max="8" width="13.875" style="1" customWidth="1"/>
    <col min="9" max="9" width="11.625" style="1" customWidth="1"/>
    <col min="10" max="16384" width="9.125" style="1" customWidth="1"/>
  </cols>
  <sheetData>
    <row r="1" spans="1:7" ht="15.75" customHeight="1">
      <c r="A1" s="782"/>
      <c r="B1" s="783" t="s">
        <v>282</v>
      </c>
      <c r="C1" s="784"/>
      <c r="G1" s="72" t="s">
        <v>133</v>
      </c>
    </row>
    <row r="2" spans="1:7" ht="15.75" customHeight="1">
      <c r="A2" s="782"/>
      <c r="B2" s="783" t="s">
        <v>283</v>
      </c>
      <c r="C2" s="784"/>
      <c r="D2" s="789"/>
      <c r="E2" s="789"/>
      <c r="F2" s="789"/>
      <c r="G2" s="789" t="s">
        <v>186</v>
      </c>
    </row>
    <row r="3" spans="2:7" ht="15.75" customHeight="1">
      <c r="B3" s="2" t="s">
        <v>284</v>
      </c>
      <c r="C3" s="790"/>
      <c r="G3" s="789" t="s">
        <v>512</v>
      </c>
    </row>
    <row r="4" spans="1:7" ht="15.75" customHeight="1">
      <c r="A4" s="782"/>
      <c r="B4" s="791"/>
      <c r="C4" s="792"/>
      <c r="G4" s="789" t="s">
        <v>265</v>
      </c>
    </row>
    <row r="5" spans="3:8" ht="23.25" customHeight="1" thickBot="1">
      <c r="C5" s="17"/>
      <c r="H5" s="73" t="s">
        <v>514</v>
      </c>
    </row>
    <row r="6" spans="1:8" ht="44.25" customHeight="1" thickBot="1" thickTop="1">
      <c r="A6" s="4" t="s">
        <v>549</v>
      </c>
      <c r="B6" s="5" t="s">
        <v>289</v>
      </c>
      <c r="C6" s="5" t="s">
        <v>290</v>
      </c>
      <c r="D6" s="5" t="s">
        <v>291</v>
      </c>
      <c r="E6" s="5" t="s">
        <v>494</v>
      </c>
      <c r="F6" s="5" t="s">
        <v>495</v>
      </c>
      <c r="G6" s="5" t="s">
        <v>496</v>
      </c>
      <c r="H6" s="5" t="s">
        <v>497</v>
      </c>
    </row>
    <row r="7" spans="1:8" ht="15" customHeight="1" thickBot="1" thickTop="1">
      <c r="A7" s="19">
        <v>1</v>
      </c>
      <c r="B7" s="19">
        <v>2</v>
      </c>
      <c r="C7" s="19">
        <v>3</v>
      </c>
      <c r="D7" s="793">
        <v>4</v>
      </c>
      <c r="E7" s="793">
        <v>5</v>
      </c>
      <c r="F7" s="793">
        <v>6</v>
      </c>
      <c r="G7" s="19">
        <v>7</v>
      </c>
      <c r="H7" s="19">
        <v>8</v>
      </c>
    </row>
    <row r="8" spans="1:8" ht="21" customHeight="1" thickBot="1" thickTop="1">
      <c r="A8" s="796"/>
      <c r="B8" s="796"/>
      <c r="C8" s="1149" t="s">
        <v>140</v>
      </c>
      <c r="D8" s="1127">
        <f>SUM(E8:H8)</f>
        <v>3065800</v>
      </c>
      <c r="E8" s="1127">
        <v>756250</v>
      </c>
      <c r="F8" s="1127">
        <v>756250</v>
      </c>
      <c r="G8" s="1127">
        <v>756250</v>
      </c>
      <c r="H8" s="1127">
        <v>797050</v>
      </c>
    </row>
    <row r="9" spans="1:8" ht="21" customHeight="1" thickBot="1" thickTop="1">
      <c r="A9" s="796"/>
      <c r="B9" s="796"/>
      <c r="C9" s="1147" t="s">
        <v>142</v>
      </c>
      <c r="D9" s="1148">
        <f>SUM(E9:H9)</f>
        <v>3065800</v>
      </c>
      <c r="E9" s="1148">
        <v>756250</v>
      </c>
      <c r="F9" s="1148">
        <v>756250</v>
      </c>
      <c r="G9" s="1148">
        <v>756250</v>
      </c>
      <c r="H9" s="1148">
        <v>797050</v>
      </c>
    </row>
    <row r="10" spans="1:8" ht="21" customHeight="1" thickBot="1">
      <c r="A10" s="796"/>
      <c r="B10" s="796"/>
      <c r="C10" s="797" t="s">
        <v>521</v>
      </c>
      <c r="D10" s="798">
        <f aca="true" t="shared" si="0" ref="D10:D15">SUM(E10:H10)</f>
        <v>3441000</v>
      </c>
      <c r="E10" s="798">
        <f>342500+E15</f>
        <v>207200</v>
      </c>
      <c r="F10" s="798">
        <f>617000+F15</f>
        <v>752300</v>
      </c>
      <c r="G10" s="798">
        <f>889600+G15</f>
        <v>889600</v>
      </c>
      <c r="H10" s="798">
        <f>1591900+H15</f>
        <v>1591900</v>
      </c>
    </row>
    <row r="11" spans="1:8" ht="21" customHeight="1" thickTop="1">
      <c r="A11" s="796"/>
      <c r="B11" s="796"/>
      <c r="C11" s="799" t="s">
        <v>554</v>
      </c>
      <c r="D11" s="800">
        <f t="shared" si="0"/>
        <v>3396800</v>
      </c>
      <c r="E11" s="800">
        <f>332500+E15</f>
        <v>197200</v>
      </c>
      <c r="F11" s="800">
        <f>596500+F15</f>
        <v>731800</v>
      </c>
      <c r="G11" s="800">
        <f>877900+G15</f>
        <v>877900</v>
      </c>
      <c r="H11" s="800">
        <f>1589900+H15</f>
        <v>1589900</v>
      </c>
    </row>
    <row r="12" spans="1:8" ht="21" customHeight="1">
      <c r="A12" s="801"/>
      <c r="B12" s="801"/>
      <c r="C12" s="802" t="s">
        <v>293</v>
      </c>
      <c r="D12" s="803">
        <f t="shared" si="0"/>
        <v>1170000</v>
      </c>
      <c r="E12" s="803">
        <f>300000+E15</f>
        <v>164700</v>
      </c>
      <c r="F12" s="803">
        <f>470000+F15</f>
        <v>605300</v>
      </c>
      <c r="G12" s="803">
        <f>400000+G15</f>
        <v>400000</v>
      </c>
      <c r="H12" s="803"/>
    </row>
    <row r="13" spans="1:8" ht="18" customHeight="1">
      <c r="A13" s="459">
        <v>900</v>
      </c>
      <c r="B13" s="459"/>
      <c r="C13" s="459" t="s">
        <v>48</v>
      </c>
      <c r="D13" s="804">
        <f t="shared" si="0"/>
        <v>1170000</v>
      </c>
      <c r="E13" s="804">
        <f>300000+E15</f>
        <v>164700</v>
      </c>
      <c r="F13" s="804">
        <f>470000+F15</f>
        <v>605300</v>
      </c>
      <c r="G13" s="794">
        <f>400000+G15</f>
        <v>400000</v>
      </c>
      <c r="H13" s="794"/>
    </row>
    <row r="14" spans="1:8" ht="18" customHeight="1">
      <c r="A14" s="404"/>
      <c r="B14" s="399">
        <v>90011</v>
      </c>
      <c r="C14" s="399" t="s">
        <v>292</v>
      </c>
      <c r="D14" s="795">
        <f t="shared" si="0"/>
        <v>1170000</v>
      </c>
      <c r="E14" s="795">
        <v>300000</v>
      </c>
      <c r="F14" s="795">
        <v>470000</v>
      </c>
      <c r="G14" s="795">
        <v>400000</v>
      </c>
      <c r="H14" s="805"/>
    </row>
    <row r="15" spans="1:8" ht="19.5" customHeight="1">
      <c r="A15" s="424"/>
      <c r="B15" s="424"/>
      <c r="C15" s="424"/>
      <c r="D15" s="409">
        <f t="shared" si="0"/>
        <v>0</v>
      </c>
      <c r="E15" s="409">
        <v>-135300</v>
      </c>
      <c r="F15" s="409">
        <v>135300</v>
      </c>
      <c r="G15" s="409"/>
      <c r="H15" s="409"/>
    </row>
    <row r="16" ht="16.5" customHeight="1"/>
    <row r="17" spans="5:7" ht="12.75">
      <c r="E17" s="25"/>
      <c r="G17" s="25"/>
    </row>
    <row r="18" spans="3:7" ht="12.75">
      <c r="C18" s="17" t="s">
        <v>24</v>
      </c>
      <c r="E18" s="25"/>
      <c r="G18" s="25"/>
    </row>
    <row r="19" spans="3:7" ht="12.75">
      <c r="C19" s="17" t="s">
        <v>23</v>
      </c>
      <c r="E19" s="25"/>
      <c r="G19" s="25"/>
    </row>
    <row r="20" ht="12.75">
      <c r="C20" s="17" t="s">
        <v>22</v>
      </c>
    </row>
  </sheetData>
  <printOptions horizontalCentered="1"/>
  <pageMargins left="0.5905511811023623" right="0.5905511811023623" top="0.984251968503937" bottom="0.984251968503937" header="0.5118110236220472" footer="0.5118110236220472"/>
  <pageSetup firstPageNumber="70" useFirstPageNumber="1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1"/>
  <sheetViews>
    <sheetView zoomScaleSheetLayoutView="75" workbookViewId="0" topLeftCell="A220">
      <selection activeCell="D264" sqref="D264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hidden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431</v>
      </c>
    </row>
    <row r="2" ht="18" customHeight="1">
      <c r="G2" s="1" t="s">
        <v>186</v>
      </c>
    </row>
    <row r="3" ht="18" customHeight="1">
      <c r="G3" s="1" t="s">
        <v>512</v>
      </c>
    </row>
    <row r="4" spans="4:7" ht="18" customHeight="1">
      <c r="D4" s="2" t="s">
        <v>581</v>
      </c>
      <c r="G4" s="1" t="s">
        <v>265</v>
      </c>
    </row>
    <row r="5" ht="18.75" customHeight="1" thickBot="1">
      <c r="H5" s="3" t="s">
        <v>514</v>
      </c>
    </row>
    <row r="6" spans="1:8" ht="78.75" customHeight="1" thickBot="1" thickTop="1">
      <c r="A6" s="4" t="s">
        <v>515</v>
      </c>
      <c r="B6" s="4" t="s">
        <v>516</v>
      </c>
      <c r="C6" s="5" t="s">
        <v>517</v>
      </c>
      <c r="D6" s="5" t="s">
        <v>138</v>
      </c>
      <c r="E6" s="5" t="s">
        <v>569</v>
      </c>
      <c r="F6" s="5" t="s">
        <v>552</v>
      </c>
      <c r="G6" s="5" t="s">
        <v>542</v>
      </c>
      <c r="H6" s="5" t="s">
        <v>520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2" ht="18.75" customHeight="1" thickBot="1" thickTop="1">
      <c r="A8" s="163"/>
      <c r="B8" s="283"/>
      <c r="C8" s="283"/>
      <c r="D8" s="297" t="s">
        <v>521</v>
      </c>
      <c r="E8" s="286">
        <v>791983307</v>
      </c>
      <c r="F8" s="286">
        <f>F10+F178+F190</f>
        <v>1003876</v>
      </c>
      <c r="G8" s="286">
        <f>G10+G178+G190</f>
        <v>1873732</v>
      </c>
      <c r="H8" s="286">
        <f>E8+G8-F8</f>
        <v>792853163</v>
      </c>
      <c r="I8" s="8">
        <f>G8-F8</f>
        <v>869856</v>
      </c>
      <c r="J8" s="8"/>
      <c r="K8" s="8"/>
      <c r="L8" s="8"/>
    </row>
    <row r="9" spans="1:10" ht="13.5" customHeight="1">
      <c r="A9" s="92"/>
      <c r="B9" s="92"/>
      <c r="C9" s="92"/>
      <c r="D9" s="92" t="s">
        <v>522</v>
      </c>
      <c r="E9" s="152"/>
      <c r="F9" s="152"/>
      <c r="G9" s="152"/>
      <c r="H9" s="152"/>
      <c r="J9" s="9"/>
    </row>
    <row r="10" spans="1:12" ht="18" customHeight="1" thickBot="1">
      <c r="A10" s="176"/>
      <c r="B10" s="176"/>
      <c r="C10" s="176"/>
      <c r="D10" s="106" t="s">
        <v>523</v>
      </c>
      <c r="E10" s="484">
        <v>708289373</v>
      </c>
      <c r="F10" s="103">
        <f>F11+F22+F26+F30+F36+F94+F111+F136+F151+F172</f>
        <v>804845</v>
      </c>
      <c r="G10" s="103">
        <f>G11+G22+G26+G30+G36+G94+G111+G136+G151+G172</f>
        <v>977046</v>
      </c>
      <c r="H10" s="103">
        <f aca="true" t="shared" si="0" ref="H10:H15">E10+G10-F10</f>
        <v>708461574</v>
      </c>
      <c r="I10" s="8"/>
      <c r="J10" s="8"/>
      <c r="L10" s="8"/>
    </row>
    <row r="11" spans="1:12" ht="21" customHeight="1" thickTop="1">
      <c r="A11" s="104">
        <v>600</v>
      </c>
      <c r="B11" s="104"/>
      <c r="C11" s="104"/>
      <c r="D11" s="104" t="s">
        <v>626</v>
      </c>
      <c r="E11" s="114">
        <v>66084724</v>
      </c>
      <c r="F11" s="114">
        <f>F12+F19</f>
        <v>290000</v>
      </c>
      <c r="G11" s="114">
        <f>G12+G19</f>
        <v>290000</v>
      </c>
      <c r="H11" s="114">
        <f t="shared" si="0"/>
        <v>66084724</v>
      </c>
      <c r="J11" s="8"/>
      <c r="L11" s="8"/>
    </row>
    <row r="12" spans="1:12" ht="21" customHeight="1">
      <c r="A12" s="92"/>
      <c r="B12" s="176">
        <v>60015</v>
      </c>
      <c r="C12" s="176"/>
      <c r="D12" s="172" t="s">
        <v>627</v>
      </c>
      <c r="E12" s="198">
        <v>41360000</v>
      </c>
      <c r="F12" s="198">
        <f>F13+F15</f>
        <v>240000</v>
      </c>
      <c r="G12" s="198">
        <f>G13+G15</f>
        <v>290000</v>
      </c>
      <c r="H12" s="198">
        <f t="shared" si="0"/>
        <v>41410000</v>
      </c>
      <c r="J12" s="8"/>
      <c r="L12" s="8"/>
    </row>
    <row r="13" spans="1:12" s="13" customFormat="1" ht="18.75" customHeight="1">
      <c r="A13" s="399"/>
      <c r="B13" s="399"/>
      <c r="C13" s="399"/>
      <c r="D13" s="417" t="s">
        <v>463</v>
      </c>
      <c r="E13" s="425">
        <v>400000</v>
      </c>
      <c r="F13" s="425">
        <f>F14</f>
        <v>240000</v>
      </c>
      <c r="G13" s="425"/>
      <c r="H13" s="425">
        <f t="shared" si="0"/>
        <v>160000</v>
      </c>
      <c r="J13" s="14"/>
      <c r="L13" s="14"/>
    </row>
    <row r="14" spans="1:12" s="13" customFormat="1" ht="18.75" customHeight="1" hidden="1">
      <c r="A14" s="399"/>
      <c r="B14" s="399"/>
      <c r="C14" s="419">
        <v>4270</v>
      </c>
      <c r="D14" s="419" t="s">
        <v>462</v>
      </c>
      <c r="E14" s="419">
        <v>400000</v>
      </c>
      <c r="F14" s="426">
        <v>240000</v>
      </c>
      <c r="G14" s="426"/>
      <c r="H14" s="426">
        <f t="shared" si="0"/>
        <v>160000</v>
      </c>
      <c r="J14" s="14"/>
      <c r="L14" s="14"/>
    </row>
    <row r="15" spans="1:12" ht="19.5" customHeight="1">
      <c r="A15" s="92"/>
      <c r="B15" s="105"/>
      <c r="C15" s="105"/>
      <c r="D15" s="1031" t="s">
        <v>615</v>
      </c>
      <c r="E15" s="1032">
        <v>30374060</v>
      </c>
      <c r="F15" s="1032"/>
      <c r="G15" s="1032">
        <f>G18</f>
        <v>290000</v>
      </c>
      <c r="H15" s="1032">
        <f t="shared" si="0"/>
        <v>30664060</v>
      </c>
      <c r="J15" s="8"/>
      <c r="L15" s="8"/>
    </row>
    <row r="16" spans="1:12" s="11" customFormat="1" ht="25.5" customHeight="1" hidden="1">
      <c r="A16" s="109"/>
      <c r="B16" s="109"/>
      <c r="C16" s="109"/>
      <c r="D16" s="695" t="s">
        <v>134</v>
      </c>
      <c r="E16" s="696"/>
      <c r="F16" s="696"/>
      <c r="G16" s="696">
        <v>240000</v>
      </c>
      <c r="H16" s="696">
        <f>E16-F16+G16</f>
        <v>240000</v>
      </c>
      <c r="J16" s="12"/>
      <c r="L16" s="12"/>
    </row>
    <row r="17" spans="1:12" s="11" customFormat="1" ht="19.5" customHeight="1" hidden="1">
      <c r="A17" s="109"/>
      <c r="B17" s="109"/>
      <c r="C17" s="109"/>
      <c r="D17" s="695" t="s">
        <v>629</v>
      </c>
      <c r="E17" s="696">
        <v>414060</v>
      </c>
      <c r="F17" s="696"/>
      <c r="G17" s="696">
        <v>50000</v>
      </c>
      <c r="H17" s="696">
        <f>E17+G17-F17</f>
        <v>464060</v>
      </c>
      <c r="J17" s="12"/>
      <c r="L17" s="12"/>
    </row>
    <row r="18" spans="1:12" ht="19.5" customHeight="1" hidden="1">
      <c r="A18" s="92"/>
      <c r="B18" s="105"/>
      <c r="C18" s="111">
        <v>6050</v>
      </c>
      <c r="D18" s="116" t="s">
        <v>606</v>
      </c>
      <c r="E18" s="117">
        <v>24474060</v>
      </c>
      <c r="F18" s="117"/>
      <c r="G18" s="117">
        <f>SUM(G16:G17)</f>
        <v>290000</v>
      </c>
      <c r="H18" s="117">
        <f>E18+G18-F18</f>
        <v>24764060</v>
      </c>
      <c r="J18" s="8"/>
      <c r="L18" s="8"/>
    </row>
    <row r="19" spans="1:12" s="13" customFormat="1" ht="18.75" customHeight="1">
      <c r="A19" s="92"/>
      <c r="B19" s="176">
        <v>60016</v>
      </c>
      <c r="C19" s="176"/>
      <c r="D19" s="176" t="s">
        <v>461</v>
      </c>
      <c r="E19" s="194">
        <v>6835000</v>
      </c>
      <c r="F19" s="194">
        <f>F20</f>
        <v>50000</v>
      </c>
      <c r="G19" s="194"/>
      <c r="H19" s="194">
        <f>E19+G19-F19</f>
        <v>6785000</v>
      </c>
      <c r="J19" s="14"/>
      <c r="L19" s="14"/>
    </row>
    <row r="20" spans="1:12" s="13" customFormat="1" ht="18.75" customHeight="1">
      <c r="A20" s="399"/>
      <c r="B20" s="399"/>
      <c r="C20" s="399"/>
      <c r="D20" s="417" t="s">
        <v>135</v>
      </c>
      <c r="E20" s="425">
        <v>1150000</v>
      </c>
      <c r="F20" s="425">
        <f>F21</f>
        <v>50000</v>
      </c>
      <c r="G20" s="425"/>
      <c r="H20" s="425">
        <f>E20+G20-F20</f>
        <v>1100000</v>
      </c>
      <c r="J20" s="14"/>
      <c r="L20" s="14"/>
    </row>
    <row r="21" spans="1:12" s="13" customFormat="1" ht="18.75" customHeight="1" hidden="1">
      <c r="A21" s="424"/>
      <c r="B21" s="424"/>
      <c r="C21" s="10">
        <v>4270</v>
      </c>
      <c r="D21" s="10" t="s">
        <v>462</v>
      </c>
      <c r="E21" s="398">
        <v>1150000</v>
      </c>
      <c r="F21" s="398">
        <v>50000</v>
      </c>
      <c r="G21" s="398"/>
      <c r="H21" s="398">
        <f>E21+G21-F21</f>
        <v>1100000</v>
      </c>
      <c r="J21" s="14"/>
      <c r="L21" s="14"/>
    </row>
    <row r="22" spans="1:12" s="13" customFormat="1" ht="18.75" customHeight="1">
      <c r="A22" s="115">
        <v>710</v>
      </c>
      <c r="B22" s="115"/>
      <c r="C22" s="267"/>
      <c r="D22" s="138" t="s">
        <v>478</v>
      </c>
      <c r="E22" s="120">
        <v>2241400</v>
      </c>
      <c r="F22" s="120"/>
      <c r="G22" s="120"/>
      <c r="H22" s="120">
        <f>E22-F22+G22</f>
        <v>2241400</v>
      </c>
      <c r="J22" s="14"/>
      <c r="L22" s="14"/>
    </row>
    <row r="23" spans="1:12" s="13" customFormat="1" ht="18" customHeight="1">
      <c r="A23" s="92"/>
      <c r="B23" s="172">
        <v>71004</v>
      </c>
      <c r="C23" s="1020"/>
      <c r="D23" s="176" t="s">
        <v>136</v>
      </c>
      <c r="E23" s="194">
        <v>163000</v>
      </c>
      <c r="F23" s="194"/>
      <c r="G23" s="194"/>
      <c r="H23" s="194">
        <f>E23-F23+G23</f>
        <v>163000</v>
      </c>
      <c r="J23" s="14"/>
      <c r="L23" s="14"/>
    </row>
    <row r="24" spans="1:12" s="13" customFormat="1" ht="18.75" customHeight="1">
      <c r="A24" s="399"/>
      <c r="B24" s="399"/>
      <c r="C24" s="399"/>
      <c r="D24" s="405" t="s">
        <v>94</v>
      </c>
      <c r="E24" s="425">
        <v>158000</v>
      </c>
      <c r="F24" s="425"/>
      <c r="G24" s="425"/>
      <c r="H24" s="425">
        <f>E24+G24-F24</f>
        <v>158000</v>
      </c>
      <c r="J24" s="14"/>
      <c r="L24" s="14"/>
    </row>
    <row r="25" spans="1:12" s="13" customFormat="1" ht="18" customHeight="1">
      <c r="A25" s="399"/>
      <c r="B25" s="399"/>
      <c r="C25" s="10"/>
      <c r="D25" s="397" t="s">
        <v>595</v>
      </c>
      <c r="E25" s="398"/>
      <c r="F25" s="398"/>
      <c r="G25" s="398">
        <v>2400</v>
      </c>
      <c r="H25" s="398">
        <f>E25+G25-F25</f>
        <v>2400</v>
      </c>
      <c r="J25" s="14"/>
      <c r="L25" s="14"/>
    </row>
    <row r="26" spans="1:12" s="13" customFormat="1" ht="18" customHeight="1">
      <c r="A26" s="115">
        <v>750</v>
      </c>
      <c r="B26" s="115"/>
      <c r="C26" s="267"/>
      <c r="D26" s="138" t="s">
        <v>526</v>
      </c>
      <c r="E26" s="120">
        <v>53664637</v>
      </c>
      <c r="F26" s="120"/>
      <c r="G26" s="120"/>
      <c r="H26" s="120">
        <f>E26-F26+G26</f>
        <v>53664637</v>
      </c>
      <c r="J26" s="14"/>
      <c r="L26" s="14"/>
    </row>
    <row r="27" spans="1:12" s="13" customFormat="1" ht="18" customHeight="1">
      <c r="A27" s="92"/>
      <c r="B27" s="176">
        <v>75022</v>
      </c>
      <c r="C27" s="176"/>
      <c r="D27" s="176" t="s">
        <v>631</v>
      </c>
      <c r="E27" s="194">
        <v>1525000</v>
      </c>
      <c r="F27" s="194"/>
      <c r="G27" s="194"/>
      <c r="H27" s="194">
        <f>E27-F27+G27</f>
        <v>1525000</v>
      </c>
      <c r="J27" s="14"/>
      <c r="L27" s="14"/>
    </row>
    <row r="28" spans="1:12" s="13" customFormat="1" ht="18" customHeight="1">
      <c r="A28" s="399"/>
      <c r="B28" s="399"/>
      <c r="C28" s="399"/>
      <c r="D28" s="405" t="s">
        <v>110</v>
      </c>
      <c r="E28" s="425">
        <v>409000</v>
      </c>
      <c r="F28" s="425"/>
      <c r="G28" s="425"/>
      <c r="H28" s="425">
        <f>E28+G28-F28</f>
        <v>409000</v>
      </c>
      <c r="J28" s="14"/>
      <c r="L28" s="14"/>
    </row>
    <row r="29" spans="1:12" s="13" customFormat="1" ht="18" customHeight="1">
      <c r="A29" s="399"/>
      <c r="B29" s="399"/>
      <c r="C29" s="10"/>
      <c r="D29" s="397" t="s">
        <v>567</v>
      </c>
      <c r="E29" s="398">
        <v>20000</v>
      </c>
      <c r="F29" s="398">
        <v>2500</v>
      </c>
      <c r="G29" s="398"/>
      <c r="H29" s="398">
        <f>E29+G29-F29</f>
        <v>17500</v>
      </c>
      <c r="J29" s="14"/>
      <c r="L29" s="14"/>
    </row>
    <row r="30" spans="1:12" s="13" customFormat="1" ht="18" customHeight="1">
      <c r="A30" s="115">
        <v>754</v>
      </c>
      <c r="B30" s="115"/>
      <c r="C30" s="267"/>
      <c r="D30" s="138" t="s">
        <v>467</v>
      </c>
      <c r="E30" s="120">
        <v>5808000</v>
      </c>
      <c r="F30" s="120"/>
      <c r="G30" s="120"/>
      <c r="H30" s="120">
        <f>E30-F30+G30</f>
        <v>5808000</v>
      </c>
      <c r="J30" s="14"/>
      <c r="L30" s="14"/>
    </row>
    <row r="31" spans="1:12" s="13" customFormat="1" ht="18" customHeight="1">
      <c r="A31" s="92"/>
      <c r="B31" s="176">
        <v>75405</v>
      </c>
      <c r="C31" s="176"/>
      <c r="D31" s="176" t="s">
        <v>230</v>
      </c>
      <c r="E31" s="194">
        <v>500000</v>
      </c>
      <c r="F31" s="194"/>
      <c r="G31" s="194"/>
      <c r="H31" s="194">
        <f>E31-F31+G31</f>
        <v>500000</v>
      </c>
      <c r="J31" s="14"/>
      <c r="L31" s="14"/>
    </row>
    <row r="32" spans="1:12" s="13" customFormat="1" ht="26.25" customHeight="1">
      <c r="A32" s="399"/>
      <c r="B32" s="399"/>
      <c r="C32" s="399"/>
      <c r="D32" s="405" t="s">
        <v>172</v>
      </c>
      <c r="E32" s="425">
        <v>500000</v>
      </c>
      <c r="F32" s="425"/>
      <c r="G32" s="425"/>
      <c r="H32" s="425">
        <f>E32+G32-F32</f>
        <v>500000</v>
      </c>
      <c r="J32" s="14"/>
      <c r="L32" s="14"/>
    </row>
    <row r="33" spans="1:12" s="13" customFormat="1" ht="18" customHeight="1" hidden="1">
      <c r="A33" s="399"/>
      <c r="B33" s="399"/>
      <c r="C33" s="419">
        <v>4210</v>
      </c>
      <c r="D33" s="396" t="s">
        <v>525</v>
      </c>
      <c r="E33" s="426"/>
      <c r="F33" s="426"/>
      <c r="G33" s="426">
        <v>1720</v>
      </c>
      <c r="H33" s="426">
        <f>E33+G33-F33</f>
        <v>1720</v>
      </c>
      <c r="J33" s="14"/>
      <c r="L33" s="14"/>
    </row>
    <row r="34" spans="1:12" s="752" customFormat="1" ht="18" customHeight="1">
      <c r="A34" s="397"/>
      <c r="B34" s="397"/>
      <c r="C34" s="10"/>
      <c r="D34" s="423" t="s">
        <v>178</v>
      </c>
      <c r="E34" s="432">
        <v>500000</v>
      </c>
      <c r="F34" s="432">
        <v>1720</v>
      </c>
      <c r="G34" s="432"/>
      <c r="H34" s="432">
        <f>E34+G34-F34</f>
        <v>498280</v>
      </c>
      <c r="J34" s="753"/>
      <c r="L34" s="753"/>
    </row>
    <row r="35" spans="1:12" s="13" customFormat="1" ht="18" customHeight="1" hidden="1">
      <c r="A35" s="399"/>
      <c r="B35" s="399"/>
      <c r="C35" s="419">
        <v>6050</v>
      </c>
      <c r="D35" s="167" t="s">
        <v>606</v>
      </c>
      <c r="E35" s="426">
        <v>500000</v>
      </c>
      <c r="F35" s="426">
        <f>F34</f>
        <v>1720</v>
      </c>
      <c r="G35" s="426"/>
      <c r="H35" s="426">
        <f>E35+G35-F35</f>
        <v>498280</v>
      </c>
      <c r="J35" s="14"/>
      <c r="L35" s="14"/>
    </row>
    <row r="36" spans="1:12" ht="18.75" customHeight="1">
      <c r="A36" s="104">
        <v>801</v>
      </c>
      <c r="B36" s="104"/>
      <c r="C36" s="104"/>
      <c r="D36" s="104" t="s">
        <v>532</v>
      </c>
      <c r="E36" s="114">
        <v>322861325</v>
      </c>
      <c r="F36" s="114">
        <f>F37+F49+F55+F61+F64+F69+F74+F82+F88+F91</f>
        <v>311400</v>
      </c>
      <c r="G36" s="114">
        <f>G37+G49+G55+G61+G64+G69+G74+G82+G88+G91</f>
        <v>356001</v>
      </c>
      <c r="H36" s="114">
        <f>E36-F36+G36</f>
        <v>322905926</v>
      </c>
      <c r="I36" s="8">
        <f>G36-F36</f>
        <v>44601</v>
      </c>
      <c r="J36" s="8"/>
      <c r="L36" s="8"/>
    </row>
    <row r="37" spans="1:12" ht="18.75" customHeight="1">
      <c r="A37" s="92"/>
      <c r="B37" s="172">
        <v>80101</v>
      </c>
      <c r="C37" s="172"/>
      <c r="D37" s="172" t="s">
        <v>533</v>
      </c>
      <c r="E37" s="198">
        <v>89750835</v>
      </c>
      <c r="F37" s="198">
        <f>F38+F41+F43+F47</f>
        <v>1550</v>
      </c>
      <c r="G37" s="198">
        <f>G38+G41+G43+G47</f>
        <v>47301</v>
      </c>
      <c r="H37" s="198">
        <f>E37-F37+G37</f>
        <v>89796586</v>
      </c>
      <c r="J37" s="8"/>
      <c r="L37" s="8"/>
    </row>
    <row r="38" spans="1:12" s="413" customFormat="1" ht="19.5" customHeight="1">
      <c r="A38" s="411"/>
      <c r="B38" s="412"/>
      <c r="C38" s="399"/>
      <c r="D38" s="465" t="s">
        <v>527</v>
      </c>
      <c r="E38" s="486">
        <v>12113286</v>
      </c>
      <c r="F38" s="486"/>
      <c r="G38" s="486"/>
      <c r="H38" s="486">
        <f>E38-F38+G38</f>
        <v>12113286</v>
      </c>
      <c r="J38" s="414"/>
      <c r="L38" s="414"/>
    </row>
    <row r="39" spans="1:12" s="413" customFormat="1" ht="19.5" customHeight="1">
      <c r="A39" s="411"/>
      <c r="B39" s="412"/>
      <c r="C39" s="396"/>
      <c r="D39" s="473" t="s">
        <v>179</v>
      </c>
      <c r="E39" s="474">
        <v>918760</v>
      </c>
      <c r="F39" s="474"/>
      <c r="G39" s="474">
        <v>2500</v>
      </c>
      <c r="H39" s="474">
        <f aca="true" t="shared" si="1" ref="H39:H60">E39+G39-F39</f>
        <v>921260</v>
      </c>
      <c r="J39" s="414"/>
      <c r="L39" s="414"/>
    </row>
    <row r="40" spans="1:12" s="413" customFormat="1" ht="19.5" customHeight="1" hidden="1">
      <c r="A40" s="411"/>
      <c r="B40" s="412"/>
      <c r="C40" s="490">
        <v>4300</v>
      </c>
      <c r="D40" s="396" t="s">
        <v>524</v>
      </c>
      <c r="E40" s="487">
        <v>1058368</v>
      </c>
      <c r="F40" s="487">
        <v>2500</v>
      </c>
      <c r="G40" s="487"/>
      <c r="H40" s="487">
        <f t="shared" si="1"/>
        <v>1055868</v>
      </c>
      <c r="J40" s="414"/>
      <c r="L40" s="414"/>
    </row>
    <row r="41" spans="1:12" s="413" customFormat="1" ht="19.5" customHeight="1">
      <c r="A41" s="411"/>
      <c r="B41" s="412"/>
      <c r="C41" s="399"/>
      <c r="D41" s="1040" t="s">
        <v>58</v>
      </c>
      <c r="E41" s="1041">
        <v>10879750</v>
      </c>
      <c r="F41" s="1041">
        <f>F42</f>
        <v>1550</v>
      </c>
      <c r="G41" s="1041"/>
      <c r="H41" s="1041">
        <f t="shared" si="1"/>
        <v>10878200</v>
      </c>
      <c r="J41" s="414"/>
      <c r="L41" s="414"/>
    </row>
    <row r="42" spans="1:12" s="413" customFormat="1" ht="19.5" customHeight="1" hidden="1">
      <c r="A42" s="411"/>
      <c r="B42" s="412"/>
      <c r="C42" s="397">
        <v>4110</v>
      </c>
      <c r="D42" s="396" t="s">
        <v>529</v>
      </c>
      <c r="E42" s="487">
        <v>9603160</v>
      </c>
      <c r="F42" s="487">
        <v>1550</v>
      </c>
      <c r="G42" s="487"/>
      <c r="H42" s="487">
        <f t="shared" si="1"/>
        <v>9601610</v>
      </c>
      <c r="J42" s="414"/>
      <c r="L42" s="414"/>
    </row>
    <row r="43" spans="1:12" s="413" customFormat="1" ht="19.5" customHeight="1">
      <c r="A43" s="411"/>
      <c r="B43" s="412"/>
      <c r="C43" s="399"/>
      <c r="D43" s="417" t="s">
        <v>285</v>
      </c>
      <c r="E43" s="425">
        <v>370000</v>
      </c>
      <c r="F43" s="425"/>
      <c r="G43" s="425">
        <f>SUM(G44:G46)</f>
        <v>4200</v>
      </c>
      <c r="H43" s="425">
        <f t="shared" si="1"/>
        <v>374200</v>
      </c>
      <c r="J43" s="414"/>
      <c r="L43" s="414"/>
    </row>
    <row r="44" spans="1:12" s="413" customFormat="1" ht="19.5" customHeight="1">
      <c r="A44" s="411"/>
      <c r="B44" s="412"/>
      <c r="C44" s="396"/>
      <c r="D44" s="473" t="s">
        <v>180</v>
      </c>
      <c r="E44" s="474">
        <v>300000</v>
      </c>
      <c r="F44" s="474"/>
      <c r="G44" s="474">
        <v>2920</v>
      </c>
      <c r="H44" s="474">
        <f t="shared" si="1"/>
        <v>302920</v>
      </c>
      <c r="J44" s="414"/>
      <c r="L44" s="414"/>
    </row>
    <row r="45" spans="1:12" s="413" customFormat="1" ht="19.5" customHeight="1" hidden="1">
      <c r="A45" s="411"/>
      <c r="B45" s="412"/>
      <c r="C45" s="490">
        <v>4110</v>
      </c>
      <c r="D45" s="397" t="s">
        <v>529</v>
      </c>
      <c r="E45" s="409">
        <v>44910</v>
      </c>
      <c r="F45" s="409"/>
      <c r="G45" s="409">
        <v>1200</v>
      </c>
      <c r="H45" s="409">
        <f t="shared" si="1"/>
        <v>46110</v>
      </c>
      <c r="J45" s="414"/>
      <c r="L45" s="414"/>
    </row>
    <row r="46" spans="1:12" s="413" customFormat="1" ht="19.5" customHeight="1" hidden="1">
      <c r="A46" s="411"/>
      <c r="B46" s="412"/>
      <c r="C46" s="490">
        <v>4120</v>
      </c>
      <c r="D46" s="1033" t="s">
        <v>530</v>
      </c>
      <c r="E46" s="430">
        <v>6780</v>
      </c>
      <c r="F46" s="430"/>
      <c r="G46" s="430">
        <v>80</v>
      </c>
      <c r="H46" s="430">
        <f t="shared" si="1"/>
        <v>6860</v>
      </c>
      <c r="J46" s="414"/>
      <c r="L46" s="414"/>
    </row>
    <row r="47" spans="1:12" s="413" customFormat="1" ht="18.75" customHeight="1">
      <c r="A47" s="411"/>
      <c r="B47" s="412"/>
      <c r="C47" s="399"/>
      <c r="D47" s="1042" t="s">
        <v>229</v>
      </c>
      <c r="E47" s="486"/>
      <c r="F47" s="486"/>
      <c r="G47" s="486">
        <f>G48</f>
        <v>43101</v>
      </c>
      <c r="H47" s="486">
        <f t="shared" si="1"/>
        <v>43101</v>
      </c>
      <c r="J47" s="414"/>
      <c r="L47" s="414"/>
    </row>
    <row r="48" spans="1:12" s="413" customFormat="1" ht="18.75" customHeight="1" hidden="1">
      <c r="A48" s="411"/>
      <c r="B48" s="412"/>
      <c r="C48" s="396">
        <v>4240</v>
      </c>
      <c r="D48" s="397" t="s">
        <v>574</v>
      </c>
      <c r="E48" s="487"/>
      <c r="F48" s="487"/>
      <c r="G48" s="487">
        <v>43101</v>
      </c>
      <c r="H48" s="487">
        <f t="shared" si="1"/>
        <v>43101</v>
      </c>
      <c r="J48" s="414"/>
      <c r="L48" s="414"/>
    </row>
    <row r="49" spans="1:12" ht="18.75" customHeight="1">
      <c r="A49" s="92"/>
      <c r="B49" s="172">
        <v>80102</v>
      </c>
      <c r="C49" s="172"/>
      <c r="D49" s="172" t="s">
        <v>286</v>
      </c>
      <c r="E49" s="198">
        <v>5928400</v>
      </c>
      <c r="F49" s="198">
        <f>F50+F52</f>
        <v>221450</v>
      </c>
      <c r="G49" s="198"/>
      <c r="H49" s="198">
        <f t="shared" si="1"/>
        <v>5706950</v>
      </c>
      <c r="J49" s="8"/>
      <c r="L49" s="8"/>
    </row>
    <row r="50" spans="1:12" s="413" customFormat="1" ht="19.5" customHeight="1">
      <c r="A50" s="411"/>
      <c r="B50" s="412"/>
      <c r="C50" s="399"/>
      <c r="D50" s="465" t="s">
        <v>59</v>
      </c>
      <c r="E50" s="486">
        <v>4550900</v>
      </c>
      <c r="F50" s="486">
        <f>F51</f>
        <v>167720</v>
      </c>
      <c r="G50" s="486"/>
      <c r="H50" s="486">
        <f t="shared" si="1"/>
        <v>4383180</v>
      </c>
      <c r="J50" s="414"/>
      <c r="L50" s="414"/>
    </row>
    <row r="51" spans="1:12" s="413" customFormat="1" ht="19.5" customHeight="1" hidden="1">
      <c r="A51" s="411"/>
      <c r="B51" s="412"/>
      <c r="C51" s="397">
        <v>4010</v>
      </c>
      <c r="D51" s="397" t="s">
        <v>576</v>
      </c>
      <c r="E51" s="409">
        <v>4203278</v>
      </c>
      <c r="F51" s="409">
        <v>167720</v>
      </c>
      <c r="G51" s="409"/>
      <c r="H51" s="409">
        <f t="shared" si="1"/>
        <v>4035558</v>
      </c>
      <c r="J51" s="414"/>
      <c r="L51" s="414"/>
    </row>
    <row r="52" spans="1:12" s="413" customFormat="1" ht="19.5" customHeight="1">
      <c r="A52" s="411"/>
      <c r="B52" s="412"/>
      <c r="C52" s="399"/>
      <c r="D52" s="417" t="s">
        <v>58</v>
      </c>
      <c r="E52" s="425">
        <v>887500</v>
      </c>
      <c r="F52" s="425">
        <f>SUM(F53:F54)</f>
        <v>53730</v>
      </c>
      <c r="G52" s="425"/>
      <c r="H52" s="425">
        <f t="shared" si="1"/>
        <v>833770</v>
      </c>
      <c r="J52" s="414"/>
      <c r="L52" s="414"/>
    </row>
    <row r="53" spans="1:12" s="413" customFormat="1" ht="19.5" customHeight="1" hidden="1">
      <c r="A53" s="411"/>
      <c r="B53" s="412"/>
      <c r="C53" s="396">
        <v>4110</v>
      </c>
      <c r="D53" s="396" t="s">
        <v>529</v>
      </c>
      <c r="E53" s="487">
        <v>787990</v>
      </c>
      <c r="F53" s="487">
        <v>53600</v>
      </c>
      <c r="G53" s="487"/>
      <c r="H53" s="487">
        <f t="shared" si="1"/>
        <v>734390</v>
      </c>
      <c r="J53" s="414"/>
      <c r="L53" s="414"/>
    </row>
    <row r="54" spans="1:12" s="413" customFormat="1" ht="19.5" customHeight="1" hidden="1">
      <c r="A54" s="411"/>
      <c r="B54" s="412"/>
      <c r="C54" s="490">
        <v>4120</v>
      </c>
      <c r="D54" s="490" t="s">
        <v>530</v>
      </c>
      <c r="E54" s="430">
        <v>99510</v>
      </c>
      <c r="F54" s="430">
        <v>130</v>
      </c>
      <c r="G54" s="430"/>
      <c r="H54" s="430">
        <f t="shared" si="1"/>
        <v>99380</v>
      </c>
      <c r="J54" s="414"/>
      <c r="L54" s="414"/>
    </row>
    <row r="55" spans="1:12" ht="18.75" customHeight="1">
      <c r="A55" s="92"/>
      <c r="B55" s="172">
        <v>80103</v>
      </c>
      <c r="C55" s="172"/>
      <c r="D55" s="172" t="s">
        <v>61</v>
      </c>
      <c r="E55" s="198">
        <v>1525000</v>
      </c>
      <c r="F55" s="198"/>
      <c r="G55" s="198">
        <f>G56+G58</f>
        <v>15800</v>
      </c>
      <c r="H55" s="198">
        <f t="shared" si="1"/>
        <v>1540800</v>
      </c>
      <c r="J55" s="8"/>
      <c r="L55" s="8"/>
    </row>
    <row r="56" spans="1:12" s="413" customFormat="1" ht="19.5" customHeight="1">
      <c r="A56" s="411"/>
      <c r="B56" s="412"/>
      <c r="C56" s="404"/>
      <c r="D56" s="509" t="s">
        <v>59</v>
      </c>
      <c r="E56" s="485">
        <v>1160500</v>
      </c>
      <c r="F56" s="485"/>
      <c r="G56" s="485">
        <f>G57</f>
        <v>11800</v>
      </c>
      <c r="H56" s="485">
        <f t="shared" si="1"/>
        <v>1172300</v>
      </c>
      <c r="J56" s="414"/>
      <c r="L56" s="414"/>
    </row>
    <row r="57" spans="1:12" s="413" customFormat="1" ht="19.5" customHeight="1" hidden="1">
      <c r="A57" s="411"/>
      <c r="B57" s="412"/>
      <c r="C57" s="397">
        <v>4010</v>
      </c>
      <c r="D57" s="397" t="s">
        <v>576</v>
      </c>
      <c r="E57" s="409">
        <v>1089239</v>
      </c>
      <c r="F57" s="409"/>
      <c r="G57" s="409">
        <f>35000-23200</f>
        <v>11800</v>
      </c>
      <c r="H57" s="409">
        <f t="shared" si="1"/>
        <v>1101039</v>
      </c>
      <c r="J57" s="414"/>
      <c r="L57" s="414"/>
    </row>
    <row r="58" spans="1:12" s="413" customFormat="1" ht="19.5" customHeight="1">
      <c r="A58" s="411"/>
      <c r="B58" s="415"/>
      <c r="C58" s="424"/>
      <c r="D58" s="424" t="s">
        <v>58</v>
      </c>
      <c r="E58" s="1034">
        <v>226500</v>
      </c>
      <c r="F58" s="1034"/>
      <c r="G58" s="1034">
        <f>G59+G60</f>
        <v>4000</v>
      </c>
      <c r="H58" s="1034">
        <f t="shared" si="1"/>
        <v>230500</v>
      </c>
      <c r="J58" s="414"/>
      <c r="L58" s="414"/>
    </row>
    <row r="59" spans="1:12" s="413" customFormat="1" ht="19.5" customHeight="1" hidden="1">
      <c r="A59" s="411"/>
      <c r="B59" s="412"/>
      <c r="C59" s="396">
        <v>4110</v>
      </c>
      <c r="D59" s="396" t="s">
        <v>529</v>
      </c>
      <c r="E59" s="487">
        <v>199050</v>
      </c>
      <c r="F59" s="487"/>
      <c r="G59" s="487">
        <f>6000-3000</f>
        <v>3000</v>
      </c>
      <c r="H59" s="487">
        <f t="shared" si="1"/>
        <v>202050</v>
      </c>
      <c r="J59" s="414"/>
      <c r="L59" s="414"/>
    </row>
    <row r="60" spans="1:12" s="413" customFormat="1" ht="19.5" customHeight="1" hidden="1">
      <c r="A60" s="411"/>
      <c r="B60" s="412"/>
      <c r="C60" s="490">
        <v>4120</v>
      </c>
      <c r="D60" s="490" t="s">
        <v>530</v>
      </c>
      <c r="E60" s="430">
        <v>27450</v>
      </c>
      <c r="F60" s="430"/>
      <c r="G60" s="430">
        <v>1000</v>
      </c>
      <c r="H60" s="430">
        <f t="shared" si="1"/>
        <v>28450</v>
      </c>
      <c r="J60" s="414"/>
      <c r="L60" s="414"/>
    </row>
    <row r="61" spans="1:12" ht="18.75" customHeight="1">
      <c r="A61" s="92"/>
      <c r="B61" s="172">
        <v>80104</v>
      </c>
      <c r="C61" s="172"/>
      <c r="D61" s="172" t="s">
        <v>501</v>
      </c>
      <c r="E61" s="198">
        <v>46178040</v>
      </c>
      <c r="F61" s="198"/>
      <c r="G61" s="198"/>
      <c r="H61" s="198">
        <f>E61-F61+G61</f>
        <v>46178040</v>
      </c>
      <c r="J61" s="8"/>
      <c r="L61" s="8"/>
    </row>
    <row r="62" spans="1:12" s="413" customFormat="1" ht="19.5" customHeight="1">
      <c r="A62" s="411"/>
      <c r="B62" s="412"/>
      <c r="C62" s="399"/>
      <c r="D62" s="465" t="s">
        <v>527</v>
      </c>
      <c r="E62" s="486">
        <v>5663540</v>
      </c>
      <c r="F62" s="486"/>
      <c r="G62" s="486"/>
      <c r="H62" s="486">
        <f>E62-F62+G62</f>
        <v>5663540</v>
      </c>
      <c r="J62" s="414"/>
      <c r="L62" s="414"/>
    </row>
    <row r="63" spans="1:12" s="413" customFormat="1" ht="19.5" customHeight="1">
      <c r="A63" s="411"/>
      <c r="B63" s="415"/>
      <c r="C63" s="397"/>
      <c r="D63" s="1143" t="s">
        <v>179</v>
      </c>
      <c r="E63" s="1144">
        <v>127731</v>
      </c>
      <c r="F63" s="1144">
        <v>8425</v>
      </c>
      <c r="G63" s="1144"/>
      <c r="H63" s="1144">
        <f>E63+G63-F63</f>
        <v>119306</v>
      </c>
      <c r="J63" s="414"/>
      <c r="L63" s="414"/>
    </row>
    <row r="64" spans="1:12" ht="19.5" customHeight="1">
      <c r="A64" s="163"/>
      <c r="B64" s="176">
        <v>80111</v>
      </c>
      <c r="C64" s="176"/>
      <c r="D64" s="176" t="s">
        <v>287</v>
      </c>
      <c r="E64" s="194">
        <v>3807000</v>
      </c>
      <c r="F64" s="194"/>
      <c r="G64" s="194">
        <f>G65+G67</f>
        <v>203000</v>
      </c>
      <c r="H64" s="194">
        <f aca="true" t="shared" si="2" ref="H64:H85">E64+G64-F64</f>
        <v>4010000</v>
      </c>
      <c r="I64" s="8"/>
      <c r="J64" s="8"/>
      <c r="L64" s="8"/>
    </row>
    <row r="65" spans="1:12" ht="18" customHeight="1">
      <c r="A65" s="92"/>
      <c r="B65" s="92"/>
      <c r="C65" s="92"/>
      <c r="D65" s="231" t="s">
        <v>430</v>
      </c>
      <c r="E65" s="232">
        <v>2917800</v>
      </c>
      <c r="F65" s="232"/>
      <c r="G65" s="232">
        <f>G66</f>
        <v>153000</v>
      </c>
      <c r="H65" s="232">
        <f t="shared" si="2"/>
        <v>3070800</v>
      </c>
      <c r="J65" s="8"/>
      <c r="L65" s="8"/>
    </row>
    <row r="66" spans="1:12" ht="18" customHeight="1" hidden="1">
      <c r="A66" s="92"/>
      <c r="B66" s="92"/>
      <c r="C66" s="111">
        <v>4010</v>
      </c>
      <c r="D66" s="397" t="s">
        <v>576</v>
      </c>
      <c r="E66" s="112">
        <v>2689307</v>
      </c>
      <c r="F66" s="112"/>
      <c r="G66" s="112">
        <v>153000</v>
      </c>
      <c r="H66" s="112">
        <f t="shared" si="2"/>
        <v>2842307</v>
      </c>
      <c r="J66" s="8"/>
      <c r="L66" s="8"/>
    </row>
    <row r="67" spans="1:12" s="413" customFormat="1" ht="19.5" customHeight="1">
      <c r="A67" s="411"/>
      <c r="B67" s="415"/>
      <c r="C67" s="424"/>
      <c r="D67" s="424" t="s">
        <v>58</v>
      </c>
      <c r="E67" s="1034">
        <v>569200</v>
      </c>
      <c r="F67" s="1034"/>
      <c r="G67" s="1034">
        <f>G68</f>
        <v>50000</v>
      </c>
      <c r="H67" s="1034">
        <f t="shared" si="2"/>
        <v>619200</v>
      </c>
      <c r="J67" s="414"/>
      <c r="L67" s="414"/>
    </row>
    <row r="68" spans="1:12" s="413" customFormat="1" ht="19.5" customHeight="1" hidden="1">
      <c r="A68" s="411"/>
      <c r="B68" s="415"/>
      <c r="C68" s="397">
        <v>4110</v>
      </c>
      <c r="D68" s="397" t="s">
        <v>529</v>
      </c>
      <c r="E68" s="409">
        <v>497700</v>
      </c>
      <c r="F68" s="409"/>
      <c r="G68" s="409">
        <v>50000</v>
      </c>
      <c r="H68" s="409">
        <f t="shared" si="2"/>
        <v>547700</v>
      </c>
      <c r="J68" s="414"/>
      <c r="L68" s="414"/>
    </row>
    <row r="69" spans="1:12" ht="19.5" customHeight="1">
      <c r="A69" s="163"/>
      <c r="B69" s="176">
        <v>80120</v>
      </c>
      <c r="C69" s="176"/>
      <c r="D69" s="176" t="s">
        <v>535</v>
      </c>
      <c r="E69" s="194">
        <v>45431000</v>
      </c>
      <c r="F69" s="194">
        <f>F70+F72+F73</f>
        <v>15000</v>
      </c>
      <c r="G69" s="194">
        <f>G70+G72+G73</f>
        <v>48500</v>
      </c>
      <c r="H69" s="194">
        <f t="shared" si="2"/>
        <v>45464500</v>
      </c>
      <c r="I69" s="8"/>
      <c r="J69" s="8"/>
      <c r="L69" s="8"/>
    </row>
    <row r="70" spans="1:12" ht="18" customHeight="1">
      <c r="A70" s="92"/>
      <c r="B70" s="92"/>
      <c r="C70" s="92"/>
      <c r="D70" s="231" t="s">
        <v>527</v>
      </c>
      <c r="E70" s="232">
        <v>5012000</v>
      </c>
      <c r="F70" s="232"/>
      <c r="G70" s="232">
        <v>43000</v>
      </c>
      <c r="H70" s="232">
        <f t="shared" si="2"/>
        <v>5055000</v>
      </c>
      <c r="J70" s="8"/>
      <c r="L70" s="8"/>
    </row>
    <row r="71" spans="1:12" s="11" customFormat="1" ht="18" customHeight="1">
      <c r="A71" s="109"/>
      <c r="B71" s="109"/>
      <c r="C71" s="109"/>
      <c r="D71" s="246" t="s">
        <v>567</v>
      </c>
      <c r="E71" s="247">
        <v>500000</v>
      </c>
      <c r="F71" s="247"/>
      <c r="G71" s="247">
        <v>1025</v>
      </c>
      <c r="H71" s="247">
        <f t="shared" si="2"/>
        <v>501025</v>
      </c>
      <c r="J71" s="12"/>
      <c r="L71" s="12"/>
    </row>
    <row r="72" spans="1:12" s="413" customFormat="1" ht="19.5" customHeight="1">
      <c r="A72" s="411"/>
      <c r="B72" s="412"/>
      <c r="C72" s="399"/>
      <c r="D72" s="465" t="s">
        <v>58</v>
      </c>
      <c r="E72" s="486">
        <v>5769900</v>
      </c>
      <c r="F72" s="486">
        <v>15000</v>
      </c>
      <c r="G72" s="486"/>
      <c r="H72" s="486">
        <f t="shared" si="2"/>
        <v>5754900</v>
      </c>
      <c r="J72" s="414"/>
      <c r="L72" s="414"/>
    </row>
    <row r="73" spans="1:12" ht="18" customHeight="1">
      <c r="A73" s="92"/>
      <c r="B73" s="105"/>
      <c r="C73" s="105"/>
      <c r="D73" s="424" t="s">
        <v>615</v>
      </c>
      <c r="E73" s="233">
        <v>701500</v>
      </c>
      <c r="F73" s="233"/>
      <c r="G73" s="233">
        <v>5500</v>
      </c>
      <c r="H73" s="233">
        <f t="shared" si="2"/>
        <v>707000</v>
      </c>
      <c r="J73" s="8"/>
      <c r="L73" s="8"/>
    </row>
    <row r="74" spans="1:12" ht="19.5" customHeight="1">
      <c r="A74" s="163"/>
      <c r="B74" s="176">
        <v>80123</v>
      </c>
      <c r="C74" s="176"/>
      <c r="D74" s="176" t="s">
        <v>296</v>
      </c>
      <c r="E74" s="194">
        <v>7877000</v>
      </c>
      <c r="F74" s="194"/>
      <c r="G74" s="194">
        <f>G75+G79</f>
        <v>38000</v>
      </c>
      <c r="H74" s="194">
        <f t="shared" si="2"/>
        <v>7915000</v>
      </c>
      <c r="I74" s="8"/>
      <c r="J74" s="8"/>
      <c r="L74" s="8"/>
    </row>
    <row r="75" spans="1:12" ht="18" customHeight="1">
      <c r="A75" s="92"/>
      <c r="B75" s="108"/>
      <c r="C75" s="108"/>
      <c r="D75" s="265" t="s">
        <v>527</v>
      </c>
      <c r="E75" s="195">
        <v>565000</v>
      </c>
      <c r="F75" s="195"/>
      <c r="G75" s="195">
        <f>SUM(G76:G78)</f>
        <v>23000</v>
      </c>
      <c r="H75" s="195">
        <f t="shared" si="2"/>
        <v>588000</v>
      </c>
      <c r="J75" s="8"/>
      <c r="L75" s="8"/>
    </row>
    <row r="76" spans="1:12" s="11" customFormat="1" ht="18" customHeight="1" hidden="1">
      <c r="A76" s="109"/>
      <c r="B76" s="109"/>
      <c r="C76" s="111">
        <v>4210</v>
      </c>
      <c r="D76" s="260" t="s">
        <v>525</v>
      </c>
      <c r="E76" s="112">
        <v>24650</v>
      </c>
      <c r="F76" s="112"/>
      <c r="G76" s="112">
        <v>6000</v>
      </c>
      <c r="H76" s="112">
        <f t="shared" si="2"/>
        <v>30650</v>
      </c>
      <c r="J76" s="12"/>
      <c r="L76" s="12"/>
    </row>
    <row r="77" spans="1:12" s="11" customFormat="1" ht="18" customHeight="1" hidden="1">
      <c r="A77" s="109"/>
      <c r="B77" s="109"/>
      <c r="C77" s="111">
        <v>4260</v>
      </c>
      <c r="D77" s="260" t="s">
        <v>528</v>
      </c>
      <c r="E77" s="112">
        <v>1350</v>
      </c>
      <c r="F77" s="112"/>
      <c r="G77" s="112">
        <v>8000</v>
      </c>
      <c r="H77" s="112">
        <f t="shared" si="2"/>
        <v>9350</v>
      </c>
      <c r="J77" s="12"/>
      <c r="L77" s="12"/>
    </row>
    <row r="78" spans="1:12" ht="18" customHeight="1" hidden="1">
      <c r="A78" s="92"/>
      <c r="B78" s="92"/>
      <c r="C78" s="111">
        <v>4300</v>
      </c>
      <c r="D78" s="397" t="s">
        <v>524</v>
      </c>
      <c r="E78" s="112">
        <v>16100</v>
      </c>
      <c r="F78" s="112"/>
      <c r="G78" s="112">
        <v>9000</v>
      </c>
      <c r="H78" s="112">
        <f t="shared" si="2"/>
        <v>25100</v>
      </c>
      <c r="J78" s="8"/>
      <c r="L78" s="8"/>
    </row>
    <row r="79" spans="1:12" s="413" customFormat="1" ht="19.5" customHeight="1">
      <c r="A79" s="411"/>
      <c r="B79" s="415"/>
      <c r="C79" s="424"/>
      <c r="D79" s="424" t="s">
        <v>58</v>
      </c>
      <c r="E79" s="1034">
        <v>1108200</v>
      </c>
      <c r="F79" s="1034"/>
      <c r="G79" s="1034">
        <f>G80</f>
        <v>15000</v>
      </c>
      <c r="H79" s="1034">
        <f t="shared" si="2"/>
        <v>1123200</v>
      </c>
      <c r="J79" s="414"/>
      <c r="L79" s="414"/>
    </row>
    <row r="80" spans="1:12" s="413" customFormat="1" ht="19.5" customHeight="1" hidden="1">
      <c r="A80" s="411"/>
      <c r="B80" s="412"/>
      <c r="C80" s="396">
        <v>4110</v>
      </c>
      <c r="D80" s="396" t="s">
        <v>529</v>
      </c>
      <c r="E80" s="487">
        <v>969300</v>
      </c>
      <c r="F80" s="487"/>
      <c r="G80" s="487">
        <f>30000-15000</f>
        <v>15000</v>
      </c>
      <c r="H80" s="487">
        <f t="shared" si="2"/>
        <v>984300</v>
      </c>
      <c r="J80" s="414"/>
      <c r="L80" s="414"/>
    </row>
    <row r="81" spans="1:12" s="413" customFormat="1" ht="25.5" customHeight="1">
      <c r="A81" s="1069"/>
      <c r="B81" s="1070"/>
      <c r="C81" s="1071"/>
      <c r="D81" s="1071"/>
      <c r="E81" s="1072"/>
      <c r="F81" s="1072"/>
      <c r="G81" s="1072"/>
      <c r="H81" s="1072"/>
      <c r="J81" s="414"/>
      <c r="L81" s="414"/>
    </row>
    <row r="82" spans="1:12" ht="19.5" customHeight="1">
      <c r="A82" s="163"/>
      <c r="B82" s="176">
        <v>80130</v>
      </c>
      <c r="C82" s="176"/>
      <c r="D82" s="176" t="s">
        <v>536</v>
      </c>
      <c r="E82" s="194">
        <v>45880332</v>
      </c>
      <c r="F82" s="194">
        <f>F83+F86</f>
        <v>71500</v>
      </c>
      <c r="G82" s="194"/>
      <c r="H82" s="194">
        <f t="shared" si="2"/>
        <v>45808832</v>
      </c>
      <c r="I82" s="8"/>
      <c r="J82" s="8"/>
      <c r="L82" s="8"/>
    </row>
    <row r="83" spans="1:12" ht="18" customHeight="1">
      <c r="A83" s="92"/>
      <c r="B83" s="108"/>
      <c r="C83" s="108"/>
      <c r="D83" s="265" t="s">
        <v>527</v>
      </c>
      <c r="E83" s="195">
        <v>5443132</v>
      </c>
      <c r="F83" s="195">
        <v>41500</v>
      </c>
      <c r="G83" s="195"/>
      <c r="H83" s="195">
        <f t="shared" si="2"/>
        <v>5401632</v>
      </c>
      <c r="J83" s="8"/>
      <c r="L83" s="8"/>
    </row>
    <row r="84" spans="1:12" ht="18" customHeight="1" hidden="1">
      <c r="A84" s="92"/>
      <c r="B84" s="92"/>
      <c r="C84" s="111">
        <v>4260</v>
      </c>
      <c r="D84" s="397" t="s">
        <v>528</v>
      </c>
      <c r="E84" s="112">
        <v>2052530</v>
      </c>
      <c r="F84" s="112"/>
      <c r="G84" s="112"/>
      <c r="H84" s="112">
        <f t="shared" si="2"/>
        <v>2052530</v>
      </c>
      <c r="J84" s="8"/>
      <c r="L84" s="8"/>
    </row>
    <row r="85" spans="1:12" ht="18" customHeight="1" hidden="1">
      <c r="A85" s="92"/>
      <c r="B85" s="92"/>
      <c r="C85" s="111">
        <v>4300</v>
      </c>
      <c r="D85" s="397" t="s">
        <v>524</v>
      </c>
      <c r="E85" s="112">
        <v>384360</v>
      </c>
      <c r="F85" s="112"/>
      <c r="G85" s="112"/>
      <c r="H85" s="112">
        <f t="shared" si="2"/>
        <v>384360</v>
      </c>
      <c r="J85" s="8"/>
      <c r="L85" s="8"/>
    </row>
    <row r="86" spans="1:12" ht="19.5" customHeight="1">
      <c r="A86" s="92"/>
      <c r="B86" s="176"/>
      <c r="C86" s="424"/>
      <c r="D86" s="424" t="s">
        <v>58</v>
      </c>
      <c r="E86" s="1034">
        <v>5127000</v>
      </c>
      <c r="F86" s="1034">
        <f>F87</f>
        <v>30000</v>
      </c>
      <c r="G86" s="1034"/>
      <c r="H86" s="1034">
        <f>E86+G86-F86</f>
        <v>5097000</v>
      </c>
      <c r="J86" s="8"/>
      <c r="L86" s="8"/>
    </row>
    <row r="87" spans="1:12" s="413" customFormat="1" ht="18.75" customHeight="1" hidden="1">
      <c r="A87" s="411"/>
      <c r="B87" s="412"/>
      <c r="C87" s="396">
        <v>4110</v>
      </c>
      <c r="D87" s="396" t="s">
        <v>529</v>
      </c>
      <c r="E87" s="487">
        <v>4496410</v>
      </c>
      <c r="F87" s="1068">
        <v>30000</v>
      </c>
      <c r="G87" s="487"/>
      <c r="H87" s="487">
        <f>E87+G87-F87</f>
        <v>4466410</v>
      </c>
      <c r="J87" s="414"/>
      <c r="L87" s="414"/>
    </row>
    <row r="88" spans="1:12" ht="25.5" customHeight="1">
      <c r="A88" s="163"/>
      <c r="B88" s="176">
        <v>80140</v>
      </c>
      <c r="C88" s="176"/>
      <c r="D88" s="173" t="s">
        <v>74</v>
      </c>
      <c r="E88" s="407">
        <v>9188648</v>
      </c>
      <c r="F88" s="194">
        <f>F89+F90</f>
        <v>1900</v>
      </c>
      <c r="G88" s="194">
        <f>G89+G90</f>
        <v>1900</v>
      </c>
      <c r="H88" s="194">
        <f>E88+G88-F88</f>
        <v>9188648</v>
      </c>
      <c r="I88" s="8"/>
      <c r="J88" s="8"/>
      <c r="L88" s="8"/>
    </row>
    <row r="89" spans="1:12" ht="18.75" customHeight="1">
      <c r="A89" s="92"/>
      <c r="B89" s="108"/>
      <c r="C89" s="108"/>
      <c r="D89" s="265" t="s">
        <v>527</v>
      </c>
      <c r="E89" s="195">
        <v>1319668</v>
      </c>
      <c r="F89" s="195"/>
      <c r="G89" s="195">
        <v>1900</v>
      </c>
      <c r="H89" s="195">
        <f>E89+G89-F89</f>
        <v>1321568</v>
      </c>
      <c r="J89" s="8"/>
      <c r="L89" s="8"/>
    </row>
    <row r="90" spans="1:12" ht="19.5" customHeight="1">
      <c r="A90" s="92"/>
      <c r="B90" s="176"/>
      <c r="C90" s="424"/>
      <c r="D90" s="424" t="s">
        <v>58</v>
      </c>
      <c r="E90" s="1034">
        <v>1274400</v>
      </c>
      <c r="F90" s="1034">
        <v>1900</v>
      </c>
      <c r="G90" s="1034"/>
      <c r="H90" s="1034">
        <f>E90+G90-F90</f>
        <v>1272500</v>
      </c>
      <c r="J90" s="8"/>
      <c r="L90" s="8"/>
    </row>
    <row r="91" spans="1:12" ht="19.5" customHeight="1">
      <c r="A91" s="92"/>
      <c r="B91" s="176">
        <v>80195</v>
      </c>
      <c r="C91" s="176"/>
      <c r="D91" s="176" t="s">
        <v>531</v>
      </c>
      <c r="E91" s="194">
        <v>2333750</v>
      </c>
      <c r="F91" s="194"/>
      <c r="G91" s="194">
        <f>G92</f>
        <v>1500</v>
      </c>
      <c r="H91" s="194">
        <f>E91-F91+G91</f>
        <v>2335250</v>
      </c>
      <c r="J91" s="8"/>
      <c r="L91" s="8"/>
    </row>
    <row r="92" spans="1:12" ht="19.5" customHeight="1">
      <c r="A92" s="92"/>
      <c r="B92" s="108"/>
      <c r="C92" s="135"/>
      <c r="D92" s="265" t="s">
        <v>308</v>
      </c>
      <c r="E92" s="195"/>
      <c r="F92" s="195"/>
      <c r="G92" s="195">
        <v>1500</v>
      </c>
      <c r="H92" s="195">
        <f>E92-F92+G92</f>
        <v>1500</v>
      </c>
      <c r="J92" s="8"/>
      <c r="L92" s="8"/>
    </row>
    <row r="93" spans="1:12" s="11" customFormat="1" ht="19.5" customHeight="1">
      <c r="A93" s="109"/>
      <c r="B93" s="111"/>
      <c r="C93" s="221"/>
      <c r="D93" s="111" t="s">
        <v>180</v>
      </c>
      <c r="E93" s="112"/>
      <c r="F93" s="112"/>
      <c r="G93" s="112">
        <v>1500</v>
      </c>
      <c r="H93" s="112">
        <f>E93-F93+G93</f>
        <v>1500</v>
      </c>
      <c r="J93" s="12"/>
      <c r="L93" s="12"/>
    </row>
    <row r="94" spans="1:12" ht="18" customHeight="1">
      <c r="A94" s="115">
        <v>851</v>
      </c>
      <c r="B94" s="104"/>
      <c r="C94" s="196"/>
      <c r="D94" s="132" t="s">
        <v>620</v>
      </c>
      <c r="E94" s="133">
        <v>12655000</v>
      </c>
      <c r="F94" s="133"/>
      <c r="G94" s="133"/>
      <c r="H94" s="133">
        <f aca="true" t="shared" si="3" ref="H94:H127">E94+G94-F94</f>
        <v>12655000</v>
      </c>
      <c r="J94" s="8"/>
      <c r="L94" s="8"/>
    </row>
    <row r="95" spans="1:12" ht="18" customHeight="1">
      <c r="A95" s="92"/>
      <c r="B95" s="172">
        <v>85153</v>
      </c>
      <c r="C95" s="176"/>
      <c r="D95" s="173" t="s">
        <v>420</v>
      </c>
      <c r="E95" s="198">
        <v>110000</v>
      </c>
      <c r="F95" s="198"/>
      <c r="G95" s="198"/>
      <c r="H95" s="198">
        <f t="shared" si="3"/>
        <v>110000</v>
      </c>
      <c r="J95" s="8"/>
      <c r="L95" s="8"/>
    </row>
    <row r="96" spans="1:12" ht="27" customHeight="1">
      <c r="A96" s="92"/>
      <c r="B96" s="92"/>
      <c r="C96" s="92"/>
      <c r="D96" s="119" t="s">
        <v>421</v>
      </c>
      <c r="E96" s="232">
        <v>110000</v>
      </c>
      <c r="F96" s="232"/>
      <c r="G96" s="232"/>
      <c r="H96" s="232">
        <f t="shared" si="3"/>
        <v>110000</v>
      </c>
      <c r="J96" s="8"/>
      <c r="L96" s="8"/>
    </row>
    <row r="97" spans="1:12" ht="18" customHeight="1" hidden="1">
      <c r="A97" s="92"/>
      <c r="B97" s="92"/>
      <c r="C97" s="92"/>
      <c r="D97" s="1043" t="s">
        <v>425</v>
      </c>
      <c r="E97" s="259">
        <v>60000</v>
      </c>
      <c r="F97" s="259"/>
      <c r="G97" s="259"/>
      <c r="H97" s="259">
        <f t="shared" si="3"/>
        <v>60000</v>
      </c>
      <c r="J97" s="8"/>
      <c r="L97" s="8"/>
    </row>
    <row r="98" spans="1:12" s="11" customFormat="1" ht="18" customHeight="1">
      <c r="A98" s="109"/>
      <c r="B98" s="109"/>
      <c r="C98" s="111"/>
      <c r="D98" s="1044" t="s">
        <v>180</v>
      </c>
      <c r="E98" s="112">
        <v>9931</v>
      </c>
      <c r="F98" s="112"/>
      <c r="G98" s="112">
        <v>2159</v>
      </c>
      <c r="H98" s="112">
        <f t="shared" si="3"/>
        <v>12090</v>
      </c>
      <c r="J98" s="12"/>
      <c r="L98" s="12"/>
    </row>
    <row r="99" spans="1:12" ht="18" customHeight="1">
      <c r="A99" s="92"/>
      <c r="B99" s="172">
        <v>85154</v>
      </c>
      <c r="C99" s="176"/>
      <c r="D99" s="173" t="s">
        <v>621</v>
      </c>
      <c r="E99" s="198">
        <v>5000000</v>
      </c>
      <c r="F99" s="198"/>
      <c r="G99" s="198"/>
      <c r="H99" s="198">
        <f t="shared" si="3"/>
        <v>5000000</v>
      </c>
      <c r="J99" s="8"/>
      <c r="L99" s="8"/>
    </row>
    <row r="100" spans="1:12" ht="27" customHeight="1">
      <c r="A100" s="92"/>
      <c r="B100" s="92"/>
      <c r="C100" s="92"/>
      <c r="D100" s="180" t="s">
        <v>566</v>
      </c>
      <c r="E100" s="232">
        <v>5000000</v>
      </c>
      <c r="F100" s="232"/>
      <c r="G100" s="232"/>
      <c r="H100" s="232">
        <f t="shared" si="3"/>
        <v>5000000</v>
      </c>
      <c r="J100" s="8"/>
      <c r="L100" s="8"/>
    </row>
    <row r="101" spans="1:12" ht="92.25" customHeight="1" hidden="1">
      <c r="A101" s="92"/>
      <c r="B101" s="92"/>
      <c r="C101" s="109"/>
      <c r="D101" s="401" t="s">
        <v>177</v>
      </c>
      <c r="E101" s="113">
        <v>1200000</v>
      </c>
      <c r="F101" s="113"/>
      <c r="G101" s="113"/>
      <c r="H101" s="113">
        <f t="shared" si="3"/>
        <v>1200000</v>
      </c>
      <c r="J101" s="8"/>
      <c r="L101" s="8"/>
    </row>
    <row r="102" spans="1:12" ht="18" customHeight="1">
      <c r="A102" s="92"/>
      <c r="B102" s="105"/>
      <c r="C102" s="111"/>
      <c r="D102" s="1044" t="s">
        <v>180</v>
      </c>
      <c r="E102" s="262">
        <v>445696</v>
      </c>
      <c r="F102" s="262"/>
      <c r="G102" s="262">
        <v>36998</v>
      </c>
      <c r="H102" s="262">
        <f t="shared" si="3"/>
        <v>482694</v>
      </c>
      <c r="J102" s="8"/>
      <c r="L102" s="8"/>
    </row>
    <row r="103" spans="1:12" ht="18" customHeight="1" hidden="1">
      <c r="A103" s="92"/>
      <c r="B103" s="92"/>
      <c r="C103" s="111">
        <v>4110</v>
      </c>
      <c r="D103" s="397" t="s">
        <v>529</v>
      </c>
      <c r="E103" s="112">
        <v>15092</v>
      </c>
      <c r="F103" s="112">
        <v>167</v>
      </c>
      <c r="G103" s="112"/>
      <c r="H103" s="112">
        <f t="shared" si="3"/>
        <v>14925</v>
      </c>
      <c r="J103" s="8"/>
      <c r="L103" s="8"/>
    </row>
    <row r="104" spans="1:12" ht="18" customHeight="1" hidden="1">
      <c r="A104" s="92"/>
      <c r="B104" s="92"/>
      <c r="C104" s="111">
        <v>4120</v>
      </c>
      <c r="D104" s="490" t="s">
        <v>530</v>
      </c>
      <c r="E104" s="112">
        <v>2061</v>
      </c>
      <c r="F104" s="112">
        <v>22</v>
      </c>
      <c r="G104" s="112"/>
      <c r="H104" s="112">
        <f t="shared" si="3"/>
        <v>2039</v>
      </c>
      <c r="J104" s="8"/>
      <c r="L104" s="8"/>
    </row>
    <row r="105" spans="1:12" ht="18" customHeight="1" hidden="1">
      <c r="A105" s="92"/>
      <c r="B105" s="105"/>
      <c r="C105" s="111">
        <v>4300</v>
      </c>
      <c r="D105" s="111" t="s">
        <v>524</v>
      </c>
      <c r="E105" s="166">
        <v>594601</v>
      </c>
      <c r="F105" s="166">
        <v>36809</v>
      </c>
      <c r="G105" s="166"/>
      <c r="H105" s="166">
        <f t="shared" si="3"/>
        <v>557792</v>
      </c>
      <c r="J105" s="8"/>
      <c r="L105" s="8"/>
    </row>
    <row r="106" spans="1:12" ht="19.5" customHeight="1">
      <c r="A106" s="92"/>
      <c r="B106" s="176">
        <v>85195</v>
      </c>
      <c r="C106" s="176"/>
      <c r="D106" s="173" t="s">
        <v>531</v>
      </c>
      <c r="E106" s="194">
        <v>445000</v>
      </c>
      <c r="F106" s="194"/>
      <c r="G106" s="194"/>
      <c r="H106" s="194">
        <f t="shared" si="3"/>
        <v>445000</v>
      </c>
      <c r="J106" s="8"/>
      <c r="L106" s="8"/>
    </row>
    <row r="107" spans="1:12" ht="27.75" customHeight="1">
      <c r="A107" s="92"/>
      <c r="B107" s="92"/>
      <c r="C107" s="108"/>
      <c r="D107" s="405" t="s">
        <v>181</v>
      </c>
      <c r="E107" s="195">
        <v>425000</v>
      </c>
      <c r="F107" s="195"/>
      <c r="G107" s="195"/>
      <c r="H107" s="195">
        <f t="shared" si="3"/>
        <v>425000</v>
      </c>
      <c r="J107" s="8"/>
      <c r="L107" s="8"/>
    </row>
    <row r="108" spans="1:12" ht="25.5" customHeight="1" hidden="1">
      <c r="A108" s="92"/>
      <c r="B108" s="92"/>
      <c r="C108" s="92"/>
      <c r="D108" s="400" t="s">
        <v>429</v>
      </c>
      <c r="E108" s="259">
        <v>150000</v>
      </c>
      <c r="F108" s="259"/>
      <c r="G108" s="259"/>
      <c r="H108" s="259">
        <f t="shared" si="3"/>
        <v>150000</v>
      </c>
      <c r="J108" s="8"/>
      <c r="L108" s="8"/>
    </row>
    <row r="109" spans="1:12" ht="18.75" customHeight="1" hidden="1">
      <c r="A109" s="92"/>
      <c r="B109" s="92"/>
      <c r="C109" s="111">
        <v>4300</v>
      </c>
      <c r="D109" s="111" t="s">
        <v>524</v>
      </c>
      <c r="E109" s="112">
        <v>54740</v>
      </c>
      <c r="F109" s="112"/>
      <c r="G109" s="112"/>
      <c r="H109" s="112">
        <f t="shared" si="3"/>
        <v>54740</v>
      </c>
      <c r="J109" s="8"/>
      <c r="L109" s="8"/>
    </row>
    <row r="110" spans="1:12" ht="18.75" customHeight="1">
      <c r="A110" s="92"/>
      <c r="B110" s="92"/>
      <c r="C110" s="397"/>
      <c r="D110" s="10" t="s">
        <v>178</v>
      </c>
      <c r="E110" s="112">
        <v>25000</v>
      </c>
      <c r="F110" s="112"/>
      <c r="G110" s="112">
        <v>6000</v>
      </c>
      <c r="H110" s="112">
        <f t="shared" si="3"/>
        <v>31000</v>
      </c>
      <c r="J110" s="8"/>
      <c r="L110" s="8"/>
    </row>
    <row r="111" spans="1:12" ht="18.75" customHeight="1">
      <c r="A111" s="115">
        <v>852</v>
      </c>
      <c r="B111" s="115"/>
      <c r="C111" s="196"/>
      <c r="D111" s="115" t="s">
        <v>511</v>
      </c>
      <c r="E111" s="133">
        <v>86181970</v>
      </c>
      <c r="F111" s="133">
        <f>F112+F118</f>
        <v>101445</v>
      </c>
      <c r="G111" s="133">
        <f>G112+G118</f>
        <v>229045</v>
      </c>
      <c r="H111" s="133">
        <f t="shared" si="3"/>
        <v>86309570</v>
      </c>
      <c r="J111" s="8"/>
      <c r="L111" s="8"/>
    </row>
    <row r="112" spans="1:12" ht="18.75" customHeight="1">
      <c r="A112" s="92"/>
      <c r="B112" s="176">
        <v>85201</v>
      </c>
      <c r="C112" s="176"/>
      <c r="D112" s="173" t="s">
        <v>85</v>
      </c>
      <c r="E112" s="194">
        <v>10501900</v>
      </c>
      <c r="F112" s="194">
        <f>F113+F115</f>
        <v>101445</v>
      </c>
      <c r="G112" s="194">
        <f>G113+G115</f>
        <v>1445</v>
      </c>
      <c r="H112" s="194">
        <f t="shared" si="3"/>
        <v>10401900</v>
      </c>
      <c r="J112" s="8"/>
      <c r="L112" s="8"/>
    </row>
    <row r="113" spans="1:12" ht="18.75" customHeight="1">
      <c r="A113" s="92"/>
      <c r="B113" s="92"/>
      <c r="C113" s="92"/>
      <c r="D113" s="180" t="s">
        <v>527</v>
      </c>
      <c r="E113" s="195">
        <v>1808490</v>
      </c>
      <c r="F113" s="195">
        <f>F114</f>
        <v>101445</v>
      </c>
      <c r="G113" s="195"/>
      <c r="H113" s="195">
        <f t="shared" si="3"/>
        <v>1707045</v>
      </c>
      <c r="J113" s="8"/>
      <c r="L113" s="8"/>
    </row>
    <row r="114" spans="1:12" ht="18.75" customHeight="1">
      <c r="A114" s="92"/>
      <c r="B114" s="92"/>
      <c r="C114" s="109"/>
      <c r="D114" s="473" t="s">
        <v>567</v>
      </c>
      <c r="E114" s="247">
        <v>238790</v>
      </c>
      <c r="F114" s="247">
        <f>1445+100000</f>
        <v>101445</v>
      </c>
      <c r="G114" s="247"/>
      <c r="H114" s="247">
        <f t="shared" si="3"/>
        <v>137345</v>
      </c>
      <c r="J114" s="8"/>
      <c r="L114" s="8"/>
    </row>
    <row r="115" spans="1:12" ht="18.75" customHeight="1">
      <c r="A115" s="92"/>
      <c r="B115" s="105"/>
      <c r="C115" s="105"/>
      <c r="D115" s="424" t="s">
        <v>615</v>
      </c>
      <c r="E115" s="233">
        <v>1097210</v>
      </c>
      <c r="F115" s="233"/>
      <c r="G115" s="233">
        <f>1445</f>
        <v>1445</v>
      </c>
      <c r="H115" s="233">
        <f t="shared" si="3"/>
        <v>1098655</v>
      </c>
      <c r="J115" s="8"/>
      <c r="L115" s="8"/>
    </row>
    <row r="116" spans="1:12" ht="18.75" customHeight="1" hidden="1">
      <c r="A116" s="92"/>
      <c r="B116" s="92"/>
      <c r="C116" s="109"/>
      <c r="D116" s="1035" t="s">
        <v>86</v>
      </c>
      <c r="E116" s="332">
        <v>497210</v>
      </c>
      <c r="F116" s="332"/>
      <c r="G116" s="332">
        <v>1445</v>
      </c>
      <c r="H116" s="332">
        <f t="shared" si="3"/>
        <v>498655</v>
      </c>
      <c r="J116" s="8"/>
      <c r="L116" s="8"/>
    </row>
    <row r="117" spans="1:12" ht="18.75" customHeight="1" hidden="1">
      <c r="A117" s="92"/>
      <c r="B117" s="105"/>
      <c r="C117" s="111">
        <v>6050</v>
      </c>
      <c r="D117" s="111" t="s">
        <v>606</v>
      </c>
      <c r="E117" s="112">
        <v>1097210</v>
      </c>
      <c r="F117" s="112"/>
      <c r="G117" s="112">
        <f>G116</f>
        <v>1445</v>
      </c>
      <c r="H117" s="112">
        <f t="shared" si="3"/>
        <v>1098655</v>
      </c>
      <c r="J117" s="8"/>
      <c r="L117" s="8"/>
    </row>
    <row r="118" spans="1:12" ht="19.5" customHeight="1">
      <c r="A118" s="92"/>
      <c r="B118" s="176">
        <v>85202</v>
      </c>
      <c r="C118" s="176"/>
      <c r="D118" s="173" t="s">
        <v>240</v>
      </c>
      <c r="E118" s="194">
        <v>14055584</v>
      </c>
      <c r="F118" s="194"/>
      <c r="G118" s="194">
        <f>G119+G125+G127</f>
        <v>227600</v>
      </c>
      <c r="H118" s="194">
        <f t="shared" si="3"/>
        <v>14283184</v>
      </c>
      <c r="J118" s="8"/>
      <c r="L118" s="8"/>
    </row>
    <row r="119" spans="1:12" ht="19.5" customHeight="1">
      <c r="A119" s="92"/>
      <c r="B119" s="92"/>
      <c r="C119" s="108"/>
      <c r="D119" s="180" t="s">
        <v>527</v>
      </c>
      <c r="E119" s="195">
        <v>3730000</v>
      </c>
      <c r="F119" s="195"/>
      <c r="G119" s="195">
        <f>SUM(G120:G124)</f>
        <v>119400</v>
      </c>
      <c r="H119" s="195">
        <f t="shared" si="3"/>
        <v>3849400</v>
      </c>
      <c r="J119" s="8"/>
      <c r="L119" s="8"/>
    </row>
    <row r="120" spans="1:12" s="11" customFormat="1" ht="19.5" customHeight="1" hidden="1">
      <c r="A120" s="109"/>
      <c r="B120" s="109"/>
      <c r="C120" s="111">
        <v>4210</v>
      </c>
      <c r="D120" s="260" t="s">
        <v>525</v>
      </c>
      <c r="E120" s="112">
        <v>507000</v>
      </c>
      <c r="F120" s="112"/>
      <c r="G120" s="112">
        <v>80800</v>
      </c>
      <c r="H120" s="112">
        <f t="shared" si="3"/>
        <v>587800</v>
      </c>
      <c r="J120" s="12"/>
      <c r="L120" s="12"/>
    </row>
    <row r="121" spans="1:12" s="11" customFormat="1" ht="19.5" customHeight="1" hidden="1">
      <c r="A121" s="109"/>
      <c r="B121" s="109"/>
      <c r="C121" s="109">
        <v>4260</v>
      </c>
      <c r="D121" s="825" t="s">
        <v>528</v>
      </c>
      <c r="E121" s="110">
        <v>840000</v>
      </c>
      <c r="F121" s="110"/>
      <c r="G121" s="110">
        <v>9600</v>
      </c>
      <c r="H121" s="110">
        <f t="shared" si="3"/>
        <v>849600</v>
      </c>
      <c r="J121" s="12"/>
      <c r="L121" s="12"/>
    </row>
    <row r="122" spans="1:12" ht="18.75" customHeight="1">
      <c r="A122" s="105"/>
      <c r="B122" s="105"/>
      <c r="C122" s="111"/>
      <c r="D122" s="1143" t="s">
        <v>567</v>
      </c>
      <c r="E122" s="239">
        <v>208000</v>
      </c>
      <c r="F122" s="239"/>
      <c r="G122" s="239">
        <v>22000</v>
      </c>
      <c r="H122" s="239">
        <f t="shared" si="3"/>
        <v>230000</v>
      </c>
      <c r="J122" s="8"/>
      <c r="L122" s="8"/>
    </row>
    <row r="123" spans="1:12" ht="18.75" customHeight="1" hidden="1">
      <c r="A123" s="92"/>
      <c r="B123" s="92"/>
      <c r="C123" s="111">
        <v>4300</v>
      </c>
      <c r="D123" s="111" t="s">
        <v>524</v>
      </c>
      <c r="E123" s="112">
        <v>419650</v>
      </c>
      <c r="F123" s="112"/>
      <c r="G123" s="112">
        <v>5000</v>
      </c>
      <c r="H123" s="112">
        <f t="shared" si="3"/>
        <v>424650</v>
      </c>
      <c r="J123" s="8"/>
      <c r="L123" s="8"/>
    </row>
    <row r="124" spans="1:12" ht="18.75" customHeight="1" hidden="1">
      <c r="A124" s="92"/>
      <c r="B124" s="92"/>
      <c r="C124" s="165">
        <v>4410</v>
      </c>
      <c r="D124" s="165" t="s">
        <v>288</v>
      </c>
      <c r="E124" s="434">
        <v>13000</v>
      </c>
      <c r="F124" s="434"/>
      <c r="G124" s="434">
        <v>2000</v>
      </c>
      <c r="H124" s="434">
        <f t="shared" si="3"/>
        <v>15000</v>
      </c>
      <c r="J124" s="8"/>
      <c r="L124" s="8"/>
    </row>
    <row r="125" spans="1:12" ht="25.5" customHeight="1">
      <c r="A125" s="92"/>
      <c r="B125" s="92"/>
      <c r="C125" s="105"/>
      <c r="D125" s="1056" t="s">
        <v>252</v>
      </c>
      <c r="E125" s="1057">
        <v>327000</v>
      </c>
      <c r="F125" s="1057"/>
      <c r="G125" s="1057">
        <f>G126</f>
        <v>8200</v>
      </c>
      <c r="H125" s="1057">
        <f t="shared" si="3"/>
        <v>335200</v>
      </c>
      <c r="J125" s="8"/>
      <c r="L125" s="8"/>
    </row>
    <row r="126" spans="1:12" ht="42.75" customHeight="1" hidden="1">
      <c r="A126" s="92"/>
      <c r="B126" s="105"/>
      <c r="C126" s="111">
        <v>2830</v>
      </c>
      <c r="D126" s="260" t="s">
        <v>453</v>
      </c>
      <c r="E126" s="112">
        <v>327000</v>
      </c>
      <c r="F126" s="112"/>
      <c r="G126" s="112">
        <v>8200</v>
      </c>
      <c r="H126" s="112">
        <f t="shared" si="3"/>
        <v>335200</v>
      </c>
      <c r="J126" s="8"/>
      <c r="L126" s="8"/>
    </row>
    <row r="127" spans="1:12" ht="18" customHeight="1">
      <c r="A127" s="92"/>
      <c r="B127" s="105"/>
      <c r="C127" s="105"/>
      <c r="D127" s="1145" t="s">
        <v>615</v>
      </c>
      <c r="E127" s="233">
        <v>936584</v>
      </c>
      <c r="F127" s="233"/>
      <c r="G127" s="233">
        <v>100000</v>
      </c>
      <c r="H127" s="233">
        <f t="shared" si="3"/>
        <v>1036584</v>
      </c>
      <c r="J127" s="8"/>
      <c r="L127" s="8"/>
    </row>
    <row r="128" spans="1:12" ht="18.75" customHeight="1">
      <c r="A128" s="163"/>
      <c r="B128" s="176">
        <v>85219</v>
      </c>
      <c r="C128" s="245"/>
      <c r="D128" s="176" t="s">
        <v>185</v>
      </c>
      <c r="E128" s="174">
        <v>11448600</v>
      </c>
      <c r="F128" s="174"/>
      <c r="G128" s="174"/>
      <c r="H128" s="174">
        <f aca="true" t="shared" si="4" ref="H128:H135">E128-F128+G128</f>
        <v>11448600</v>
      </c>
      <c r="J128" s="8"/>
      <c r="L128" s="8"/>
    </row>
    <row r="129" spans="1:12" ht="18.75" customHeight="1">
      <c r="A129" s="163"/>
      <c r="B129" s="135"/>
      <c r="C129" s="226"/>
      <c r="D129" s="265" t="s">
        <v>527</v>
      </c>
      <c r="E129" s="184">
        <v>1574600</v>
      </c>
      <c r="F129" s="184"/>
      <c r="G129" s="184"/>
      <c r="H129" s="184">
        <f t="shared" si="4"/>
        <v>1574600</v>
      </c>
      <c r="J129" s="8"/>
      <c r="L129" s="8"/>
    </row>
    <row r="130" spans="1:12" ht="18.75" customHeight="1">
      <c r="A130" s="163"/>
      <c r="B130" s="176"/>
      <c r="C130" s="136"/>
      <c r="D130" s="397" t="s">
        <v>567</v>
      </c>
      <c r="E130" s="117">
        <v>10000</v>
      </c>
      <c r="F130" s="117"/>
      <c r="G130" s="117">
        <v>30000</v>
      </c>
      <c r="H130" s="117">
        <f t="shared" si="4"/>
        <v>40000</v>
      </c>
      <c r="J130" s="8"/>
      <c r="L130" s="8"/>
    </row>
    <row r="131" spans="1:12" ht="18.75" customHeight="1" hidden="1">
      <c r="A131" s="163"/>
      <c r="B131" s="176"/>
      <c r="C131" s="162">
        <v>4300</v>
      </c>
      <c r="D131" s="162" t="s">
        <v>524</v>
      </c>
      <c r="E131" s="117">
        <v>905000</v>
      </c>
      <c r="F131" s="117">
        <v>30000</v>
      </c>
      <c r="G131" s="117"/>
      <c r="H131" s="117">
        <f t="shared" si="4"/>
        <v>875000</v>
      </c>
      <c r="J131" s="8"/>
      <c r="L131" s="8"/>
    </row>
    <row r="132" spans="1:12" ht="25.5" customHeight="1">
      <c r="A132" s="163"/>
      <c r="B132" s="176">
        <v>85220</v>
      </c>
      <c r="C132" s="245"/>
      <c r="D132" s="173" t="s">
        <v>195</v>
      </c>
      <c r="E132" s="174">
        <v>128000</v>
      </c>
      <c r="F132" s="174"/>
      <c r="G132" s="174"/>
      <c r="H132" s="174">
        <f t="shared" si="4"/>
        <v>128000</v>
      </c>
      <c r="J132" s="8"/>
      <c r="L132" s="8"/>
    </row>
    <row r="133" spans="1:12" ht="18.75" customHeight="1">
      <c r="A133" s="163"/>
      <c r="B133" s="135"/>
      <c r="C133" s="229"/>
      <c r="D133" s="265" t="s">
        <v>196</v>
      </c>
      <c r="E133" s="184">
        <v>120000</v>
      </c>
      <c r="F133" s="184"/>
      <c r="G133" s="184"/>
      <c r="H133" s="184">
        <f t="shared" si="4"/>
        <v>120000</v>
      </c>
      <c r="J133" s="8"/>
      <c r="L133" s="8"/>
    </row>
    <row r="134" spans="1:12" ht="18.75" customHeight="1">
      <c r="A134" s="176"/>
      <c r="B134" s="176"/>
      <c r="C134" s="136"/>
      <c r="D134" s="260" t="s">
        <v>180</v>
      </c>
      <c r="E134" s="117"/>
      <c r="F134" s="117"/>
      <c r="G134" s="117">
        <v>400</v>
      </c>
      <c r="H134" s="117">
        <f t="shared" si="4"/>
        <v>400</v>
      </c>
      <c r="J134" s="8"/>
      <c r="L134" s="8"/>
    </row>
    <row r="135" spans="1:12" ht="18.75" customHeight="1" hidden="1">
      <c r="A135" s="163"/>
      <c r="B135" s="163"/>
      <c r="C135" s="111">
        <v>4300</v>
      </c>
      <c r="D135" s="111" t="s">
        <v>524</v>
      </c>
      <c r="E135" s="117">
        <v>19500</v>
      </c>
      <c r="F135" s="117">
        <v>400</v>
      </c>
      <c r="G135" s="117"/>
      <c r="H135" s="117">
        <f t="shared" si="4"/>
        <v>19100</v>
      </c>
      <c r="J135" s="8"/>
      <c r="L135" s="8"/>
    </row>
    <row r="136" spans="1:12" ht="18.75" customHeight="1">
      <c r="A136" s="115">
        <v>854</v>
      </c>
      <c r="B136" s="115"/>
      <c r="C136" s="203"/>
      <c r="D136" s="115" t="s">
        <v>537</v>
      </c>
      <c r="E136" s="220">
        <v>39071062</v>
      </c>
      <c r="F136" s="220">
        <f>F137+F142+F144</f>
        <v>11000</v>
      </c>
      <c r="G136" s="220">
        <f>G137+G142+G144</f>
        <v>11000</v>
      </c>
      <c r="H136" s="220">
        <f>E136+G136-F136</f>
        <v>39071062</v>
      </c>
      <c r="J136" s="8"/>
      <c r="L136" s="8"/>
    </row>
    <row r="137" spans="1:12" ht="18.75" customHeight="1">
      <c r="A137" s="163"/>
      <c r="B137" s="176">
        <v>85401</v>
      </c>
      <c r="C137" s="245"/>
      <c r="D137" s="176" t="s">
        <v>297</v>
      </c>
      <c r="E137" s="174">
        <v>6931000</v>
      </c>
      <c r="F137" s="174">
        <f>F138+F140</f>
        <v>1000</v>
      </c>
      <c r="G137" s="174">
        <f>G138+G140</f>
        <v>1000</v>
      </c>
      <c r="H137" s="174">
        <f>E137-F137+G137</f>
        <v>6931000</v>
      </c>
      <c r="J137" s="8"/>
      <c r="L137" s="8"/>
    </row>
    <row r="138" spans="1:12" ht="18.75" customHeight="1">
      <c r="A138" s="163"/>
      <c r="B138" s="135"/>
      <c r="C138" s="229"/>
      <c r="D138" s="265" t="s">
        <v>570</v>
      </c>
      <c r="E138" s="184">
        <v>381700</v>
      </c>
      <c r="F138" s="184"/>
      <c r="G138" s="184">
        <f>G139</f>
        <v>1000</v>
      </c>
      <c r="H138" s="184">
        <f>E138-F138+G138</f>
        <v>382700</v>
      </c>
      <c r="J138" s="8"/>
      <c r="L138" s="8"/>
    </row>
    <row r="139" spans="1:12" ht="18.75" customHeight="1" hidden="1">
      <c r="A139" s="163"/>
      <c r="B139" s="163"/>
      <c r="C139" s="136">
        <v>3020</v>
      </c>
      <c r="D139" s="111" t="s">
        <v>616</v>
      </c>
      <c r="E139" s="117">
        <v>8770</v>
      </c>
      <c r="F139" s="117"/>
      <c r="G139" s="117">
        <v>1000</v>
      </c>
      <c r="H139" s="117">
        <f>E139-F139+G139</f>
        <v>9770</v>
      </c>
      <c r="J139" s="8"/>
      <c r="L139" s="8"/>
    </row>
    <row r="140" spans="1:12" s="413" customFormat="1" ht="18.75" customHeight="1">
      <c r="A140" s="411"/>
      <c r="B140" s="415"/>
      <c r="C140" s="424"/>
      <c r="D140" s="424" t="s">
        <v>58</v>
      </c>
      <c r="E140" s="1034">
        <v>1064600</v>
      </c>
      <c r="F140" s="1034">
        <f>F141</f>
        <v>1000</v>
      </c>
      <c r="G140" s="1034"/>
      <c r="H140" s="1034">
        <f>E140+G140-F140</f>
        <v>1063600</v>
      </c>
      <c r="J140" s="414"/>
      <c r="L140" s="414"/>
    </row>
    <row r="141" spans="1:12" s="413" customFormat="1" ht="18.75" customHeight="1" hidden="1">
      <c r="A141" s="411"/>
      <c r="B141" s="415"/>
      <c r="C141" s="397">
        <v>4110</v>
      </c>
      <c r="D141" s="397" t="s">
        <v>529</v>
      </c>
      <c r="E141" s="409">
        <v>938540</v>
      </c>
      <c r="F141" s="409">
        <v>1000</v>
      </c>
      <c r="G141" s="409"/>
      <c r="H141" s="409">
        <f>E141+G141-F141</f>
        <v>937540</v>
      </c>
      <c r="J141" s="414"/>
      <c r="L141" s="414"/>
    </row>
    <row r="142" spans="1:12" ht="25.5" customHeight="1">
      <c r="A142" s="163"/>
      <c r="B142" s="172">
        <v>85406</v>
      </c>
      <c r="C142" s="226"/>
      <c r="D142" s="192" t="s">
        <v>275</v>
      </c>
      <c r="E142" s="205">
        <v>5769000</v>
      </c>
      <c r="F142" s="205">
        <f>F143</f>
        <v>10000</v>
      </c>
      <c r="G142" s="205"/>
      <c r="H142" s="205">
        <f>E142+G142-F142</f>
        <v>5759000</v>
      </c>
      <c r="J142" s="8"/>
      <c r="L142" s="8"/>
    </row>
    <row r="143" spans="1:12" ht="18.75" customHeight="1">
      <c r="A143" s="163"/>
      <c r="B143" s="172"/>
      <c r="C143" s="226"/>
      <c r="D143" s="182" t="s">
        <v>58</v>
      </c>
      <c r="E143" s="179">
        <v>840800</v>
      </c>
      <c r="F143" s="179">
        <v>10000</v>
      </c>
      <c r="G143" s="179"/>
      <c r="H143" s="179">
        <f>E143+G143-F143</f>
        <v>830800</v>
      </c>
      <c r="J143" s="8"/>
      <c r="L143" s="8"/>
    </row>
    <row r="144" spans="1:12" ht="18.75" customHeight="1">
      <c r="A144" s="163"/>
      <c r="B144" s="176">
        <v>85415</v>
      </c>
      <c r="C144" s="245"/>
      <c r="D144" s="176" t="s">
        <v>341</v>
      </c>
      <c r="E144" s="174">
        <v>2065212</v>
      </c>
      <c r="F144" s="174"/>
      <c r="G144" s="174">
        <f>G145</f>
        <v>10000</v>
      </c>
      <c r="H144" s="174">
        <f aca="true" t="shared" si="5" ref="H144:H151">E144-F144+G144</f>
        <v>2075212</v>
      </c>
      <c r="J144" s="8"/>
      <c r="L144" s="8"/>
    </row>
    <row r="145" spans="1:12" ht="25.5" customHeight="1">
      <c r="A145" s="163"/>
      <c r="B145" s="172"/>
      <c r="C145" s="226"/>
      <c r="D145" s="178" t="s">
        <v>184</v>
      </c>
      <c r="E145" s="179"/>
      <c r="F145" s="179"/>
      <c r="G145" s="179">
        <v>10000</v>
      </c>
      <c r="H145" s="179">
        <f t="shared" si="5"/>
        <v>10000</v>
      </c>
      <c r="J145" s="8"/>
      <c r="L145" s="8"/>
    </row>
    <row r="146" spans="1:12" ht="18.75" customHeight="1" hidden="1">
      <c r="A146" s="163"/>
      <c r="B146" s="176">
        <v>85495</v>
      </c>
      <c r="C146" s="245"/>
      <c r="D146" s="176" t="s">
        <v>531</v>
      </c>
      <c r="E146" s="174">
        <v>6018250</v>
      </c>
      <c r="F146" s="174">
        <f>F147</f>
        <v>10000</v>
      </c>
      <c r="G146" s="174">
        <f>G147</f>
        <v>10000</v>
      </c>
      <c r="H146" s="174">
        <f t="shared" si="5"/>
        <v>6018250</v>
      </c>
      <c r="J146" s="8"/>
      <c r="L146" s="8"/>
    </row>
    <row r="147" spans="1:12" ht="18.75" customHeight="1" hidden="1">
      <c r="A147" s="163"/>
      <c r="B147" s="135"/>
      <c r="C147" s="229"/>
      <c r="D147" s="265" t="s">
        <v>570</v>
      </c>
      <c r="E147" s="184">
        <v>1393400</v>
      </c>
      <c r="F147" s="184">
        <f>SUM(F148:F150)</f>
        <v>10000</v>
      </c>
      <c r="G147" s="184">
        <f>SUM(G148:G150)</f>
        <v>10000</v>
      </c>
      <c r="H147" s="184">
        <f t="shared" si="5"/>
        <v>1393400</v>
      </c>
      <c r="J147" s="8"/>
      <c r="L147" s="8"/>
    </row>
    <row r="148" spans="1:12" ht="18.75" customHeight="1" hidden="1">
      <c r="A148" s="163"/>
      <c r="B148" s="163"/>
      <c r="C148" s="136">
        <v>4210</v>
      </c>
      <c r="D148" s="260" t="s">
        <v>525</v>
      </c>
      <c r="E148" s="117">
        <v>163571</v>
      </c>
      <c r="F148" s="117"/>
      <c r="G148" s="117">
        <v>8000</v>
      </c>
      <c r="H148" s="117">
        <f t="shared" si="5"/>
        <v>171571</v>
      </c>
      <c r="J148" s="8"/>
      <c r="L148" s="8"/>
    </row>
    <row r="149" spans="1:12" ht="18.75" customHeight="1" hidden="1">
      <c r="A149" s="163"/>
      <c r="B149" s="163"/>
      <c r="C149" s="826">
        <v>4220</v>
      </c>
      <c r="D149" s="825" t="s">
        <v>82</v>
      </c>
      <c r="E149" s="515">
        <v>527600</v>
      </c>
      <c r="F149" s="515">
        <v>10000</v>
      </c>
      <c r="G149" s="515"/>
      <c r="H149" s="515">
        <f t="shared" si="5"/>
        <v>517600</v>
      </c>
      <c r="J149" s="8"/>
      <c r="L149" s="8"/>
    </row>
    <row r="150" spans="1:12" ht="18.75" customHeight="1" hidden="1">
      <c r="A150" s="163"/>
      <c r="B150" s="163"/>
      <c r="C150" s="322">
        <v>4300</v>
      </c>
      <c r="D150" s="827" t="s">
        <v>524</v>
      </c>
      <c r="E150" s="720">
        <v>112732</v>
      </c>
      <c r="F150" s="720"/>
      <c r="G150" s="720">
        <v>2000</v>
      </c>
      <c r="H150" s="720">
        <f t="shared" si="5"/>
        <v>114732</v>
      </c>
      <c r="J150" s="8"/>
      <c r="L150" s="8"/>
    </row>
    <row r="151" spans="1:8" ht="18.75" customHeight="1">
      <c r="A151" s="115">
        <v>900</v>
      </c>
      <c r="B151" s="115"/>
      <c r="C151" s="115"/>
      <c r="D151" s="222" t="s">
        <v>48</v>
      </c>
      <c r="E151" s="120">
        <v>47668000</v>
      </c>
      <c r="F151" s="120">
        <f>F152+F160</f>
        <v>91000</v>
      </c>
      <c r="G151" s="120">
        <f>G152+G160</f>
        <v>91000</v>
      </c>
      <c r="H151" s="120">
        <f t="shared" si="5"/>
        <v>47668000</v>
      </c>
    </row>
    <row r="152" spans="1:12" ht="18.75" customHeight="1">
      <c r="A152" s="163"/>
      <c r="B152" s="176">
        <v>90001</v>
      </c>
      <c r="C152" s="325"/>
      <c r="D152" s="176" t="s">
        <v>622</v>
      </c>
      <c r="E152" s="194">
        <v>5644000</v>
      </c>
      <c r="F152" s="194">
        <f>F153+F156+F158</f>
        <v>25000</v>
      </c>
      <c r="G152" s="194">
        <f>G153+G156+G158</f>
        <v>25000</v>
      </c>
      <c r="H152" s="194">
        <f aca="true" t="shared" si="6" ref="H152:H164">E152+G152-F152</f>
        <v>5644000</v>
      </c>
      <c r="J152" s="8"/>
      <c r="L152" s="8"/>
    </row>
    <row r="153" spans="1:12" ht="18.75" customHeight="1">
      <c r="A153" s="92"/>
      <c r="B153" s="92"/>
      <c r="C153" s="108"/>
      <c r="D153" s="184" t="s">
        <v>623</v>
      </c>
      <c r="E153" s="195">
        <v>1750000</v>
      </c>
      <c r="F153" s="195"/>
      <c r="G153" s="195"/>
      <c r="H153" s="195">
        <f t="shared" si="6"/>
        <v>1750000</v>
      </c>
      <c r="J153" s="8"/>
      <c r="L153" s="8"/>
    </row>
    <row r="154" spans="1:12" s="11" customFormat="1" ht="18" customHeight="1">
      <c r="A154" s="109"/>
      <c r="B154" s="109"/>
      <c r="C154" s="396"/>
      <c r="D154" s="862" t="s">
        <v>567</v>
      </c>
      <c r="E154" s="247">
        <v>100000</v>
      </c>
      <c r="F154" s="247"/>
      <c r="G154" s="247">
        <v>50000</v>
      </c>
      <c r="H154" s="247">
        <f t="shared" si="6"/>
        <v>150000</v>
      </c>
      <c r="J154" s="12"/>
      <c r="L154" s="12"/>
    </row>
    <row r="155" spans="1:12" ht="18" customHeight="1" hidden="1">
      <c r="A155" s="92"/>
      <c r="B155" s="92"/>
      <c r="C155" s="396">
        <v>4300</v>
      </c>
      <c r="D155" s="396" t="s">
        <v>524</v>
      </c>
      <c r="E155" s="515">
        <v>1648000</v>
      </c>
      <c r="F155" s="515">
        <v>50000</v>
      </c>
      <c r="G155" s="515"/>
      <c r="H155" s="515">
        <f t="shared" si="6"/>
        <v>1598000</v>
      </c>
      <c r="J155" s="8"/>
      <c r="L155" s="8"/>
    </row>
    <row r="156" spans="1:12" ht="39" customHeight="1">
      <c r="A156" s="92"/>
      <c r="B156" s="92"/>
      <c r="C156" s="399"/>
      <c r="D156" s="1045" t="s">
        <v>624</v>
      </c>
      <c r="E156" s="1046">
        <v>250000</v>
      </c>
      <c r="F156" s="1046">
        <f>F157</f>
        <v>25000</v>
      </c>
      <c r="G156" s="1046"/>
      <c r="H156" s="1046">
        <f t="shared" si="6"/>
        <v>225000</v>
      </c>
      <c r="J156" s="8"/>
      <c r="L156" s="8"/>
    </row>
    <row r="157" spans="1:12" ht="18" customHeight="1" hidden="1">
      <c r="A157" s="92"/>
      <c r="B157" s="92"/>
      <c r="C157" s="109">
        <v>4300</v>
      </c>
      <c r="D157" s="396" t="s">
        <v>524</v>
      </c>
      <c r="E157" s="515">
        <v>195000</v>
      </c>
      <c r="F157" s="515">
        <v>25000</v>
      </c>
      <c r="G157" s="515"/>
      <c r="H157" s="515">
        <f t="shared" si="6"/>
        <v>170000</v>
      </c>
      <c r="J157" s="8"/>
      <c r="L157" s="8"/>
    </row>
    <row r="158" spans="1:12" ht="18" customHeight="1">
      <c r="A158" s="92"/>
      <c r="B158" s="92"/>
      <c r="C158" s="92"/>
      <c r="D158" s="417" t="s">
        <v>455</v>
      </c>
      <c r="E158" s="1003">
        <v>79000</v>
      </c>
      <c r="F158" s="1003"/>
      <c r="G158" s="1003">
        <f>G159</f>
        <v>25000</v>
      </c>
      <c r="H158" s="1003">
        <f t="shared" si="6"/>
        <v>104000</v>
      </c>
      <c r="J158" s="8"/>
      <c r="L158" s="8"/>
    </row>
    <row r="159" spans="1:12" s="11" customFormat="1" ht="18" customHeight="1">
      <c r="A159" s="109"/>
      <c r="B159" s="111"/>
      <c r="C159" s="111"/>
      <c r="D159" s="1047" t="s">
        <v>567</v>
      </c>
      <c r="E159" s="395"/>
      <c r="F159" s="395"/>
      <c r="G159" s="395">
        <v>25000</v>
      </c>
      <c r="H159" s="395">
        <f t="shared" si="6"/>
        <v>25000</v>
      </c>
      <c r="J159" s="12"/>
      <c r="L159" s="12"/>
    </row>
    <row r="160" spans="1:12" ht="18.75" customHeight="1">
      <c r="A160" s="163"/>
      <c r="B160" s="176">
        <v>90015</v>
      </c>
      <c r="C160" s="325"/>
      <c r="D160" s="176" t="s">
        <v>456</v>
      </c>
      <c r="E160" s="194">
        <v>7460000</v>
      </c>
      <c r="F160" s="194">
        <f>F161+F163</f>
        <v>66000</v>
      </c>
      <c r="G160" s="194">
        <f>G161+G163</f>
        <v>66000</v>
      </c>
      <c r="H160" s="194">
        <f t="shared" si="6"/>
        <v>7460000</v>
      </c>
      <c r="J160" s="8"/>
      <c r="L160" s="8"/>
    </row>
    <row r="161" spans="1:12" ht="18.75" customHeight="1">
      <c r="A161" s="92"/>
      <c r="B161" s="92"/>
      <c r="C161" s="108"/>
      <c r="D161" s="184" t="s">
        <v>457</v>
      </c>
      <c r="E161" s="195">
        <v>4600000</v>
      </c>
      <c r="F161" s="195">
        <f>SUM(F162:F164)</f>
        <v>66000</v>
      </c>
      <c r="G161" s="195"/>
      <c r="H161" s="195">
        <f t="shared" si="6"/>
        <v>4534000</v>
      </c>
      <c r="J161" s="8"/>
      <c r="L161" s="8"/>
    </row>
    <row r="162" spans="1:12" s="11" customFormat="1" ht="18" customHeight="1" hidden="1">
      <c r="A162" s="109"/>
      <c r="B162" s="109"/>
      <c r="C162" s="396">
        <v>4260</v>
      </c>
      <c r="D162" s="1037" t="s">
        <v>528</v>
      </c>
      <c r="E162" s="110">
        <v>4600000</v>
      </c>
      <c r="F162" s="110">
        <v>66000</v>
      </c>
      <c r="G162" s="110"/>
      <c r="H162" s="110">
        <f t="shared" si="6"/>
        <v>4534000</v>
      </c>
      <c r="J162" s="12"/>
      <c r="L162" s="12"/>
    </row>
    <row r="163" spans="1:12" ht="18" customHeight="1">
      <c r="A163" s="92"/>
      <c r="B163" s="92"/>
      <c r="C163" s="399"/>
      <c r="D163" s="1038" t="s">
        <v>615</v>
      </c>
      <c r="E163" s="1036">
        <v>10000</v>
      </c>
      <c r="F163" s="410"/>
      <c r="G163" s="410">
        <f>G164</f>
        <v>66000</v>
      </c>
      <c r="H163" s="410">
        <f t="shared" si="6"/>
        <v>76000</v>
      </c>
      <c r="J163" s="8"/>
      <c r="L163" s="8"/>
    </row>
    <row r="164" spans="1:12" ht="18" customHeight="1" hidden="1">
      <c r="A164" s="92"/>
      <c r="B164" s="92"/>
      <c r="C164" s="397">
        <v>6050</v>
      </c>
      <c r="D164" s="397" t="s">
        <v>606</v>
      </c>
      <c r="E164" s="117">
        <v>10000</v>
      </c>
      <c r="F164" s="117"/>
      <c r="G164" s="117">
        <v>66000</v>
      </c>
      <c r="H164" s="117">
        <f t="shared" si="6"/>
        <v>76000</v>
      </c>
      <c r="J164" s="8"/>
      <c r="L164" s="8"/>
    </row>
    <row r="165" spans="1:8" ht="18.75" customHeight="1" hidden="1">
      <c r="A165" s="115">
        <v>921</v>
      </c>
      <c r="B165" s="115"/>
      <c r="C165" s="115"/>
      <c r="D165" s="132" t="s">
        <v>745</v>
      </c>
      <c r="E165" s="120">
        <v>13749000</v>
      </c>
      <c r="F165" s="120">
        <f aca="true" t="shared" si="7" ref="F165:G167">F166</f>
        <v>15000</v>
      </c>
      <c r="G165" s="120">
        <f t="shared" si="7"/>
        <v>15000</v>
      </c>
      <c r="H165" s="120">
        <f>E165-F165+G165</f>
        <v>13749000</v>
      </c>
    </row>
    <row r="166" spans="1:12" ht="18.75" customHeight="1" hidden="1">
      <c r="A166" s="163"/>
      <c r="B166" s="176">
        <v>92105</v>
      </c>
      <c r="C166" s="828"/>
      <c r="D166" s="491" t="s">
        <v>743</v>
      </c>
      <c r="E166" s="194">
        <v>992000</v>
      </c>
      <c r="F166" s="194">
        <f t="shared" si="7"/>
        <v>15000</v>
      </c>
      <c r="G166" s="194">
        <f t="shared" si="7"/>
        <v>15000</v>
      </c>
      <c r="H166" s="194">
        <f>E166+G166-F166</f>
        <v>992000</v>
      </c>
      <c r="J166" s="8"/>
      <c r="L166" s="8"/>
    </row>
    <row r="167" spans="1:12" ht="18" customHeight="1" hidden="1">
      <c r="A167" s="92"/>
      <c r="B167" s="92"/>
      <c r="C167" s="404"/>
      <c r="D167" s="405" t="s">
        <v>197</v>
      </c>
      <c r="E167" s="184">
        <v>749000</v>
      </c>
      <c r="F167" s="184">
        <f t="shared" si="7"/>
        <v>15000</v>
      </c>
      <c r="G167" s="184">
        <f t="shared" si="7"/>
        <v>15000</v>
      </c>
      <c r="H167" s="184">
        <f>E167+G167-F167</f>
        <v>749000</v>
      </c>
      <c r="J167" s="8"/>
      <c r="L167" s="8"/>
    </row>
    <row r="168" spans="1:12" ht="18" customHeight="1" hidden="1">
      <c r="A168" s="92"/>
      <c r="B168" s="92"/>
      <c r="C168" s="399"/>
      <c r="D168" s="1021" t="s">
        <v>198</v>
      </c>
      <c r="E168" s="1022">
        <v>61000</v>
      </c>
      <c r="F168" s="1022">
        <f>SUM(F169:F170)</f>
        <v>15000</v>
      </c>
      <c r="G168" s="1022">
        <f>SUM(G169:G170)</f>
        <v>15000</v>
      </c>
      <c r="H168" s="1022">
        <f>E168+G168-F168</f>
        <v>61000</v>
      </c>
      <c r="J168" s="8"/>
      <c r="L168" s="8"/>
    </row>
    <row r="169" spans="1:12" s="11" customFormat="1" ht="25.5" customHeight="1" hidden="1">
      <c r="A169" s="109"/>
      <c r="B169" s="109"/>
      <c r="C169" s="111">
        <v>2810</v>
      </c>
      <c r="D169" s="538" t="s">
        <v>207</v>
      </c>
      <c r="E169" s="117">
        <v>30000</v>
      </c>
      <c r="F169" s="117">
        <v>15000</v>
      </c>
      <c r="G169" s="117"/>
      <c r="H169" s="117">
        <f>E169+G169-F169</f>
        <v>15000</v>
      </c>
      <c r="J169" s="12"/>
      <c r="L169" s="12"/>
    </row>
    <row r="170" spans="1:12" s="11" customFormat="1" ht="25.5" customHeight="1" hidden="1">
      <c r="A170" s="109"/>
      <c r="B170" s="109"/>
      <c r="C170" s="109">
        <v>2820</v>
      </c>
      <c r="D170" s="1037" t="s">
        <v>208</v>
      </c>
      <c r="E170" s="1039">
        <v>25000</v>
      </c>
      <c r="F170" s="1039"/>
      <c r="G170" s="1039">
        <v>15000</v>
      </c>
      <c r="H170" s="1039">
        <f>E170+G170-F170</f>
        <v>40000</v>
      </c>
      <c r="J170" s="12"/>
      <c r="L170" s="12"/>
    </row>
    <row r="171" spans="1:12" s="11" customFormat="1" ht="25.5" customHeight="1">
      <c r="A171" s="1062"/>
      <c r="B171" s="1062"/>
      <c r="C171" s="1062"/>
      <c r="D171" s="1108"/>
      <c r="E171" s="1073"/>
      <c r="F171" s="1073"/>
      <c r="G171" s="1073"/>
      <c r="H171" s="1073"/>
      <c r="J171" s="12"/>
      <c r="L171" s="12"/>
    </row>
    <row r="172" spans="1:8" ht="18.75" customHeight="1">
      <c r="A172" s="104">
        <v>926</v>
      </c>
      <c r="B172" s="104"/>
      <c r="C172" s="104"/>
      <c r="D172" s="132" t="s">
        <v>244</v>
      </c>
      <c r="E172" s="114">
        <v>14906000</v>
      </c>
      <c r="F172" s="114"/>
      <c r="G172" s="114"/>
      <c r="H172" s="114">
        <f>E172-F172+G172</f>
        <v>14906000</v>
      </c>
    </row>
    <row r="173" spans="1:12" ht="18.75" customHeight="1">
      <c r="A173" s="163"/>
      <c r="B173" s="176">
        <v>92605</v>
      </c>
      <c r="C173" s="828"/>
      <c r="D173" s="172" t="s">
        <v>246</v>
      </c>
      <c r="E173" s="194">
        <v>2150000</v>
      </c>
      <c r="F173" s="194"/>
      <c r="G173" s="194"/>
      <c r="H173" s="194">
        <f aca="true" t="shared" si="8" ref="H173:H183">E173+G173-F173</f>
        <v>2150000</v>
      </c>
      <c r="J173" s="8"/>
      <c r="L173" s="8"/>
    </row>
    <row r="174" spans="1:12" ht="18" customHeight="1">
      <c r="A174" s="92"/>
      <c r="B174" s="92"/>
      <c r="C174" s="404"/>
      <c r="D174" s="509" t="s">
        <v>174</v>
      </c>
      <c r="E174" s="184">
        <v>700000</v>
      </c>
      <c r="F174" s="184"/>
      <c r="G174" s="184"/>
      <c r="H174" s="184">
        <f t="shared" si="8"/>
        <v>700000</v>
      </c>
      <c r="J174" s="8"/>
      <c r="L174" s="8"/>
    </row>
    <row r="175" spans="1:12" s="11" customFormat="1" ht="18" customHeight="1" hidden="1">
      <c r="A175" s="109"/>
      <c r="B175" s="109"/>
      <c r="C175" s="397">
        <v>4110</v>
      </c>
      <c r="D175" s="111" t="s">
        <v>529</v>
      </c>
      <c r="E175" s="515">
        <v>97600</v>
      </c>
      <c r="F175" s="515"/>
      <c r="G175" s="515">
        <v>3</v>
      </c>
      <c r="H175" s="515">
        <f t="shared" si="8"/>
        <v>97603</v>
      </c>
      <c r="J175" s="12"/>
      <c r="L175" s="12"/>
    </row>
    <row r="176" spans="1:12" s="11" customFormat="1" ht="18" customHeight="1" hidden="1">
      <c r="A176" s="109"/>
      <c r="B176" s="109"/>
      <c r="C176" s="396">
        <v>4120</v>
      </c>
      <c r="D176" s="165" t="s">
        <v>530</v>
      </c>
      <c r="E176" s="1039">
        <v>14400</v>
      </c>
      <c r="F176" s="1039"/>
      <c r="G176" s="1039">
        <v>1</v>
      </c>
      <c r="H176" s="1039">
        <f t="shared" si="8"/>
        <v>14401</v>
      </c>
      <c r="J176" s="12"/>
      <c r="L176" s="12"/>
    </row>
    <row r="177" spans="1:12" s="11" customFormat="1" ht="18" customHeight="1">
      <c r="A177" s="109"/>
      <c r="B177" s="109"/>
      <c r="C177" s="396"/>
      <c r="D177" s="1143" t="s">
        <v>180</v>
      </c>
      <c r="E177" s="209">
        <v>588000</v>
      </c>
      <c r="F177" s="209">
        <v>4</v>
      </c>
      <c r="G177" s="209"/>
      <c r="H177" s="209">
        <f t="shared" si="8"/>
        <v>587996</v>
      </c>
      <c r="J177" s="12"/>
      <c r="L177" s="12"/>
    </row>
    <row r="178" spans="1:8" ht="28.5" customHeight="1" thickBot="1">
      <c r="A178" s="92"/>
      <c r="B178" s="92"/>
      <c r="C178" s="177"/>
      <c r="D178" s="130" t="s">
        <v>573</v>
      </c>
      <c r="E178" s="131">
        <v>4324113</v>
      </c>
      <c r="F178" s="131"/>
      <c r="G178" s="131">
        <f>G179</f>
        <v>40000</v>
      </c>
      <c r="H178" s="131">
        <f t="shared" si="8"/>
        <v>4364113</v>
      </c>
    </row>
    <row r="179" spans="1:8" s="16" customFormat="1" ht="18.75" customHeight="1" thickTop="1">
      <c r="A179" s="203">
        <v>710</v>
      </c>
      <c r="B179" s="115"/>
      <c r="C179" s="104"/>
      <c r="D179" s="402" t="s">
        <v>175</v>
      </c>
      <c r="E179" s="133"/>
      <c r="F179" s="133"/>
      <c r="G179" s="133">
        <f>G180</f>
        <v>40000</v>
      </c>
      <c r="H179" s="133">
        <f t="shared" si="8"/>
        <v>40000</v>
      </c>
    </row>
    <row r="180" spans="1:8" s="16" customFormat="1" ht="18.75" customHeight="1">
      <c r="A180" s="92"/>
      <c r="B180" s="440">
        <v>71035</v>
      </c>
      <c r="C180" s="440"/>
      <c r="D180" s="403" t="s">
        <v>479</v>
      </c>
      <c r="E180" s="194"/>
      <c r="F180" s="194"/>
      <c r="G180" s="194">
        <f>G181</f>
        <v>40000</v>
      </c>
      <c r="H180" s="194">
        <f t="shared" si="8"/>
        <v>40000</v>
      </c>
    </row>
    <row r="181" spans="1:8" s="16" customFormat="1" ht="25.5" customHeight="1">
      <c r="A181" s="92"/>
      <c r="B181" s="404"/>
      <c r="C181" s="404"/>
      <c r="D181" s="527" t="s">
        <v>483</v>
      </c>
      <c r="E181" s="195"/>
      <c r="F181" s="195"/>
      <c r="G181" s="195">
        <f>SUM(G182:G183)</f>
        <v>40000</v>
      </c>
      <c r="H181" s="195">
        <f t="shared" si="8"/>
        <v>40000</v>
      </c>
    </row>
    <row r="182" spans="1:8" s="170" customFormat="1" ht="18.75" customHeight="1">
      <c r="A182" s="109"/>
      <c r="B182" s="396"/>
      <c r="C182" s="397"/>
      <c r="D182" s="1047" t="s">
        <v>567</v>
      </c>
      <c r="E182" s="112"/>
      <c r="F182" s="112"/>
      <c r="G182" s="112">
        <v>2000</v>
      </c>
      <c r="H182" s="112">
        <f t="shared" si="8"/>
        <v>2000</v>
      </c>
    </row>
    <row r="183" spans="1:8" s="16" customFormat="1" ht="18.75" customHeight="1" hidden="1">
      <c r="A183" s="105"/>
      <c r="B183" s="399"/>
      <c r="C183" s="397">
        <v>4300</v>
      </c>
      <c r="D183" s="397" t="s">
        <v>524</v>
      </c>
      <c r="E183" s="112"/>
      <c r="F183" s="112"/>
      <c r="G183" s="112">
        <v>38000</v>
      </c>
      <c r="H183" s="112">
        <f t="shared" si="8"/>
        <v>38000</v>
      </c>
    </row>
    <row r="184" spans="1:8" ht="19.5" customHeight="1" hidden="1">
      <c r="A184" s="115">
        <v>801</v>
      </c>
      <c r="B184" s="115"/>
      <c r="C184" s="203"/>
      <c r="D184" s="137" t="s">
        <v>532</v>
      </c>
      <c r="E184" s="266">
        <v>200000</v>
      </c>
      <c r="F184" s="266">
        <f aca="true" t="shared" si="9" ref="F184:G186">F185</f>
        <v>2462</v>
      </c>
      <c r="G184" s="266">
        <f t="shared" si="9"/>
        <v>2462</v>
      </c>
      <c r="H184" s="266">
        <f aca="true" t="shared" si="10" ref="H184:H189">E184-F184+G184</f>
        <v>200000</v>
      </c>
    </row>
    <row r="185" spans="1:8" ht="19.5" customHeight="1" hidden="1">
      <c r="A185" s="92"/>
      <c r="B185" s="176">
        <v>80104</v>
      </c>
      <c r="C185" s="245"/>
      <c r="D185" s="192" t="s">
        <v>501</v>
      </c>
      <c r="E185" s="205">
        <v>200000</v>
      </c>
      <c r="F185" s="205">
        <f t="shared" si="9"/>
        <v>2462</v>
      </c>
      <c r="G185" s="205">
        <f t="shared" si="9"/>
        <v>2462</v>
      </c>
      <c r="H185" s="205">
        <f t="shared" si="10"/>
        <v>200000</v>
      </c>
    </row>
    <row r="186" spans="1:8" ht="19.5" customHeight="1" hidden="1">
      <c r="A186" s="92"/>
      <c r="B186" s="92"/>
      <c r="C186" s="90"/>
      <c r="D186" s="501" t="s">
        <v>439</v>
      </c>
      <c r="E186" s="502">
        <v>200000</v>
      </c>
      <c r="F186" s="502">
        <f t="shared" si="9"/>
        <v>2462</v>
      </c>
      <c r="G186" s="502">
        <f t="shared" si="9"/>
        <v>2462</v>
      </c>
      <c r="H186" s="502">
        <f t="shared" si="10"/>
        <v>200000</v>
      </c>
    </row>
    <row r="187" spans="1:12" ht="18.75" customHeight="1" hidden="1">
      <c r="A187" s="92"/>
      <c r="B187" s="92"/>
      <c r="C187" s="109"/>
      <c r="D187" s="231" t="s">
        <v>594</v>
      </c>
      <c r="E187" s="232">
        <v>200000</v>
      </c>
      <c r="F187" s="232">
        <f>F188+F189</f>
        <v>2462</v>
      </c>
      <c r="G187" s="232">
        <f>G188+G189</f>
        <v>2462</v>
      </c>
      <c r="H187" s="232">
        <f t="shared" si="10"/>
        <v>200000</v>
      </c>
      <c r="J187" s="8"/>
      <c r="L187" s="8"/>
    </row>
    <row r="188" spans="1:12" ht="29.25" customHeight="1" hidden="1">
      <c r="A188" s="92"/>
      <c r="B188" s="92"/>
      <c r="C188" s="111">
        <v>2540</v>
      </c>
      <c r="D188" s="10" t="s">
        <v>619</v>
      </c>
      <c r="E188" s="112">
        <v>98779</v>
      </c>
      <c r="F188" s="112"/>
      <c r="G188" s="112">
        <v>2462</v>
      </c>
      <c r="H188" s="112">
        <f t="shared" si="10"/>
        <v>101241</v>
      </c>
      <c r="J188" s="8"/>
      <c r="L188" s="8"/>
    </row>
    <row r="189" spans="1:12" ht="41.25" customHeight="1" hidden="1">
      <c r="A189" s="92"/>
      <c r="B189" s="92"/>
      <c r="C189" s="165">
        <v>2590</v>
      </c>
      <c r="D189" s="419" t="s">
        <v>578</v>
      </c>
      <c r="E189" s="434">
        <v>101221</v>
      </c>
      <c r="F189" s="434">
        <v>2462</v>
      </c>
      <c r="G189" s="434"/>
      <c r="H189" s="434">
        <f t="shared" si="10"/>
        <v>98759</v>
      </c>
      <c r="J189" s="8"/>
      <c r="L189" s="8"/>
    </row>
    <row r="190" spans="1:8" ht="19.5" customHeight="1" thickBot="1">
      <c r="A190" s="230"/>
      <c r="B190" s="224"/>
      <c r="C190" s="224"/>
      <c r="D190" s="298" t="s">
        <v>492</v>
      </c>
      <c r="E190" s="285">
        <v>79369821</v>
      </c>
      <c r="F190" s="285">
        <f>F191+F201</f>
        <v>199031</v>
      </c>
      <c r="G190" s="285">
        <f>G191+G201</f>
        <v>856686</v>
      </c>
      <c r="H190" s="285">
        <f aca="true" t="shared" si="11" ref="H190:H221">E190+G190-F190</f>
        <v>80027476</v>
      </c>
    </row>
    <row r="191" spans="1:9" s="16" customFormat="1" ht="19.5" customHeight="1" thickBot="1">
      <c r="A191" s="92"/>
      <c r="B191" s="92"/>
      <c r="C191" s="105"/>
      <c r="D191" s="275" t="s">
        <v>538</v>
      </c>
      <c r="E191" s="271">
        <v>59006967</v>
      </c>
      <c r="F191" s="271">
        <f>F192</f>
        <v>199031</v>
      </c>
      <c r="G191" s="271">
        <f>G192</f>
        <v>145231</v>
      </c>
      <c r="H191" s="271">
        <f t="shared" si="11"/>
        <v>58953167</v>
      </c>
      <c r="I191" s="15"/>
    </row>
    <row r="192" spans="1:8" s="16" customFormat="1" ht="20.25" customHeight="1" thickTop="1">
      <c r="A192" s="203">
        <v>852</v>
      </c>
      <c r="B192" s="115"/>
      <c r="C192" s="104"/>
      <c r="D192" s="132" t="s">
        <v>511</v>
      </c>
      <c r="E192" s="133">
        <v>57406000</v>
      </c>
      <c r="F192" s="133">
        <f>F193+F198</f>
        <v>199031</v>
      </c>
      <c r="G192" s="133">
        <f>G193+G198</f>
        <v>145231</v>
      </c>
      <c r="H192" s="133">
        <f t="shared" si="11"/>
        <v>57352200</v>
      </c>
    </row>
    <row r="193" spans="1:8" s="16" customFormat="1" ht="25.5" customHeight="1">
      <c r="A193" s="92"/>
      <c r="B193" s="440">
        <v>85212</v>
      </c>
      <c r="C193" s="440"/>
      <c r="D193" s="508" t="s">
        <v>234</v>
      </c>
      <c r="E193" s="194">
        <v>45881000</v>
      </c>
      <c r="F193" s="194">
        <f>F194+F196</f>
        <v>145231</v>
      </c>
      <c r="G193" s="194">
        <f>G194+G196</f>
        <v>145231</v>
      </c>
      <c r="H193" s="194">
        <f t="shared" si="11"/>
        <v>45881000</v>
      </c>
    </row>
    <row r="194" spans="1:8" s="16" customFormat="1" ht="18.75" customHeight="1">
      <c r="A194" s="92"/>
      <c r="B194" s="404"/>
      <c r="C194" s="404"/>
      <c r="D194" s="509" t="s">
        <v>430</v>
      </c>
      <c r="E194" s="195">
        <v>664650</v>
      </c>
      <c r="F194" s="195"/>
      <c r="G194" s="195">
        <f>G195</f>
        <v>145231</v>
      </c>
      <c r="H194" s="195">
        <f t="shared" si="11"/>
        <v>809881</v>
      </c>
    </row>
    <row r="195" spans="1:8" s="16" customFormat="1" ht="18.75" customHeight="1" hidden="1">
      <c r="A195" s="92"/>
      <c r="B195" s="399"/>
      <c r="C195" s="396">
        <v>4010</v>
      </c>
      <c r="D195" s="396" t="s">
        <v>576</v>
      </c>
      <c r="E195" s="110">
        <v>515000</v>
      </c>
      <c r="F195" s="110"/>
      <c r="G195" s="110">
        <v>145231</v>
      </c>
      <c r="H195" s="110">
        <f t="shared" si="11"/>
        <v>660231</v>
      </c>
    </row>
    <row r="196" spans="1:8" s="756" customFormat="1" ht="19.5" customHeight="1">
      <c r="A196" s="741"/>
      <c r="B196" s="1048"/>
      <c r="C196" s="1051"/>
      <c r="D196" s="1049" t="s">
        <v>235</v>
      </c>
      <c r="E196" s="1050">
        <v>44981360</v>
      </c>
      <c r="F196" s="1050">
        <f>F197</f>
        <v>145231</v>
      </c>
      <c r="G196" s="1050"/>
      <c r="H196" s="1050">
        <f t="shared" si="11"/>
        <v>44836129</v>
      </c>
    </row>
    <row r="197" spans="1:8" s="714" customFormat="1" ht="19.5" customHeight="1" hidden="1">
      <c r="A197" s="711"/>
      <c r="B197" s="757"/>
      <c r="C197" s="707">
        <v>3110</v>
      </c>
      <c r="D197" s="708" t="s">
        <v>436</v>
      </c>
      <c r="E197" s="713">
        <v>44281360</v>
      </c>
      <c r="F197" s="713">
        <v>145231</v>
      </c>
      <c r="G197" s="713"/>
      <c r="H197" s="713">
        <f t="shared" si="11"/>
        <v>44136129</v>
      </c>
    </row>
    <row r="198" spans="1:8" s="16" customFormat="1" ht="25.5" customHeight="1">
      <c r="A198" s="92"/>
      <c r="B198" s="440">
        <v>85214</v>
      </c>
      <c r="C198" s="440"/>
      <c r="D198" s="508" t="s">
        <v>474</v>
      </c>
      <c r="E198" s="194">
        <v>9258000</v>
      </c>
      <c r="F198" s="194">
        <f>F199</f>
        <v>53800</v>
      </c>
      <c r="G198" s="194"/>
      <c r="H198" s="194">
        <f t="shared" si="11"/>
        <v>9204200</v>
      </c>
    </row>
    <row r="199" spans="1:8" s="16" customFormat="1" ht="18.75" customHeight="1">
      <c r="A199" s="92"/>
      <c r="B199" s="404"/>
      <c r="C199" s="404"/>
      <c r="D199" s="394" t="s">
        <v>477</v>
      </c>
      <c r="E199" s="206">
        <v>9258000</v>
      </c>
      <c r="F199" s="206">
        <f>F200</f>
        <v>53800</v>
      </c>
      <c r="G199" s="206"/>
      <c r="H199" s="206">
        <f t="shared" si="11"/>
        <v>9204200</v>
      </c>
    </row>
    <row r="200" spans="1:8" s="16" customFormat="1" ht="18.75" customHeight="1" hidden="1">
      <c r="A200" s="92"/>
      <c r="B200" s="399"/>
      <c r="C200" s="397">
        <v>3110</v>
      </c>
      <c r="D200" s="397" t="s">
        <v>436</v>
      </c>
      <c r="E200" s="112">
        <v>9256770</v>
      </c>
      <c r="F200" s="112">
        <v>53800</v>
      </c>
      <c r="G200" s="112"/>
      <c r="H200" s="112">
        <f t="shared" si="11"/>
        <v>9202970</v>
      </c>
    </row>
    <row r="201" spans="1:8" s="16" customFormat="1" ht="27.75" customHeight="1" thickBot="1">
      <c r="A201" s="245"/>
      <c r="B201" s="136"/>
      <c r="C201" s="136"/>
      <c r="D201" s="130" t="s">
        <v>539</v>
      </c>
      <c r="E201" s="131">
        <v>20362854</v>
      </c>
      <c r="F201" s="131"/>
      <c r="G201" s="131">
        <f>G202+G207+G217+G221+G252</f>
        <v>711455</v>
      </c>
      <c r="H201" s="131">
        <f t="shared" si="11"/>
        <v>21074309</v>
      </c>
    </row>
    <row r="202" spans="1:8" s="16" customFormat="1" ht="20.25" customHeight="1" thickTop="1">
      <c r="A202" s="203">
        <v>700</v>
      </c>
      <c r="B202" s="115"/>
      <c r="C202" s="104"/>
      <c r="D202" s="132" t="s">
        <v>87</v>
      </c>
      <c r="E202" s="133">
        <v>345000</v>
      </c>
      <c r="F202" s="133"/>
      <c r="G202" s="133">
        <f>G203</f>
        <v>394868</v>
      </c>
      <c r="H202" s="133">
        <f t="shared" si="11"/>
        <v>739868</v>
      </c>
    </row>
    <row r="203" spans="1:8" s="16" customFormat="1" ht="18.75" customHeight="1">
      <c r="A203" s="108"/>
      <c r="B203" s="706">
        <v>70005</v>
      </c>
      <c r="C203" s="706"/>
      <c r="D203" s="442" t="s">
        <v>568</v>
      </c>
      <c r="E203" s="198">
        <v>345000</v>
      </c>
      <c r="F203" s="198"/>
      <c r="G203" s="198">
        <f>G204</f>
        <v>394868</v>
      </c>
      <c r="H203" s="198">
        <f t="shared" si="11"/>
        <v>739868</v>
      </c>
    </row>
    <row r="204" spans="1:8" s="16" customFormat="1" ht="19.5" customHeight="1">
      <c r="A204" s="92"/>
      <c r="B204" s="443"/>
      <c r="C204" s="1007"/>
      <c r="D204" s="877" t="s">
        <v>88</v>
      </c>
      <c r="E204" s="206">
        <v>345000</v>
      </c>
      <c r="F204" s="206"/>
      <c r="G204" s="206">
        <f>G205</f>
        <v>394868</v>
      </c>
      <c r="H204" s="206">
        <f t="shared" si="11"/>
        <v>739868</v>
      </c>
    </row>
    <row r="205" spans="1:8" s="714" customFormat="1" ht="19.5" customHeight="1" hidden="1">
      <c r="A205" s="711"/>
      <c r="B205" s="712"/>
      <c r="C205" s="707">
        <v>4590</v>
      </c>
      <c r="D205" s="708" t="s">
        <v>89</v>
      </c>
      <c r="E205" s="713">
        <v>270000</v>
      </c>
      <c r="F205" s="713"/>
      <c r="G205" s="713">
        <v>394868</v>
      </c>
      <c r="H205" s="713">
        <f t="shared" si="11"/>
        <v>664868</v>
      </c>
    </row>
    <row r="206" spans="1:8" s="714" customFormat="1" ht="19.5" customHeight="1" hidden="1">
      <c r="A206" s="711"/>
      <c r="B206" s="712"/>
      <c r="C206" s="707">
        <v>4210</v>
      </c>
      <c r="D206" s="708" t="s">
        <v>525</v>
      </c>
      <c r="E206" s="713"/>
      <c r="F206" s="713"/>
      <c r="G206" s="713">
        <v>700</v>
      </c>
      <c r="H206" s="713">
        <f t="shared" si="11"/>
        <v>700</v>
      </c>
    </row>
    <row r="207" spans="1:8" s="16" customFormat="1" ht="20.25" customHeight="1">
      <c r="A207" s="203">
        <v>750</v>
      </c>
      <c r="B207" s="115"/>
      <c r="C207" s="104"/>
      <c r="D207" s="132" t="s">
        <v>526</v>
      </c>
      <c r="E207" s="133">
        <v>940144</v>
      </c>
      <c r="F207" s="133"/>
      <c r="G207" s="133"/>
      <c r="H207" s="133">
        <f t="shared" si="11"/>
        <v>940144</v>
      </c>
    </row>
    <row r="208" spans="1:8" s="16" customFormat="1" ht="18.75" customHeight="1">
      <c r="A208" s="108"/>
      <c r="B208" s="706">
        <v>75045</v>
      </c>
      <c r="C208" s="706"/>
      <c r="D208" s="491" t="s">
        <v>465</v>
      </c>
      <c r="E208" s="198">
        <v>106000</v>
      </c>
      <c r="F208" s="198"/>
      <c r="G208" s="198"/>
      <c r="H208" s="198">
        <f t="shared" si="11"/>
        <v>106000</v>
      </c>
    </row>
    <row r="209" spans="1:8" s="16" customFormat="1" ht="19.5" customHeight="1">
      <c r="A209" s="92"/>
      <c r="B209" s="443"/>
      <c r="C209" s="443"/>
      <c r="D209" s="405" t="s">
        <v>176</v>
      </c>
      <c r="E209" s="195">
        <v>106000</v>
      </c>
      <c r="F209" s="195"/>
      <c r="G209" s="195"/>
      <c r="H209" s="195">
        <f t="shared" si="11"/>
        <v>106000</v>
      </c>
    </row>
    <row r="210" spans="1:8" s="714" customFormat="1" ht="19.5" customHeight="1" hidden="1">
      <c r="A210" s="711"/>
      <c r="B210" s="712"/>
      <c r="C210" s="707">
        <v>3030</v>
      </c>
      <c r="D210" s="708" t="s">
        <v>454</v>
      </c>
      <c r="E210" s="713">
        <v>35000</v>
      </c>
      <c r="F210" s="713">
        <f>3075+31925</f>
        <v>35000</v>
      </c>
      <c r="G210" s="713"/>
      <c r="H210" s="713">
        <f t="shared" si="11"/>
        <v>0</v>
      </c>
    </row>
    <row r="211" spans="1:8" s="714" customFormat="1" ht="19.5" customHeight="1" hidden="1">
      <c r="A211" s="711"/>
      <c r="B211" s="712"/>
      <c r="C211" s="707">
        <v>4110</v>
      </c>
      <c r="D211" s="708" t="s">
        <v>529</v>
      </c>
      <c r="E211" s="715">
        <v>4400</v>
      </c>
      <c r="F211" s="715">
        <v>1135</v>
      </c>
      <c r="G211" s="715"/>
      <c r="H211" s="715">
        <f t="shared" si="11"/>
        <v>3265</v>
      </c>
    </row>
    <row r="212" spans="1:8" s="714" customFormat="1" ht="19.5" customHeight="1" hidden="1">
      <c r="A212" s="711"/>
      <c r="B212" s="712"/>
      <c r="C212" s="707">
        <v>4120</v>
      </c>
      <c r="D212" s="708" t="s">
        <v>530</v>
      </c>
      <c r="E212" s="1052">
        <v>600</v>
      </c>
      <c r="F212" s="1052">
        <v>135</v>
      </c>
      <c r="G212" s="1052"/>
      <c r="H212" s="1052">
        <f t="shared" si="11"/>
        <v>465</v>
      </c>
    </row>
    <row r="213" spans="1:8" s="714" customFormat="1" ht="19.5" customHeight="1">
      <c r="A213" s="717"/>
      <c r="B213" s="757"/>
      <c r="C213" s="707"/>
      <c r="D213" s="708" t="s">
        <v>595</v>
      </c>
      <c r="E213" s="1053">
        <v>28000</v>
      </c>
      <c r="F213" s="1053"/>
      <c r="G213" s="1053">
        <f>31925-2600</f>
        <v>29325</v>
      </c>
      <c r="H213" s="1053">
        <f t="shared" si="11"/>
        <v>57325</v>
      </c>
    </row>
    <row r="214" spans="1:8" s="714" customFormat="1" ht="19.5" customHeight="1" hidden="1">
      <c r="A214" s="711"/>
      <c r="B214" s="716"/>
      <c r="C214" s="707">
        <v>4210</v>
      </c>
      <c r="D214" s="708" t="s">
        <v>525</v>
      </c>
      <c r="E214" s="715">
        <v>6000</v>
      </c>
      <c r="F214" s="715"/>
      <c r="G214" s="715">
        <v>1104</v>
      </c>
      <c r="H214" s="715">
        <f t="shared" si="11"/>
        <v>7104</v>
      </c>
    </row>
    <row r="215" spans="1:8" s="714" customFormat="1" ht="19.5" customHeight="1" hidden="1">
      <c r="A215" s="711"/>
      <c r="B215" s="716"/>
      <c r="C215" s="709">
        <v>4260</v>
      </c>
      <c r="D215" s="708" t="s">
        <v>528</v>
      </c>
      <c r="E215" s="713">
        <v>5000</v>
      </c>
      <c r="F215" s="713">
        <v>1995</v>
      </c>
      <c r="G215" s="713"/>
      <c r="H215" s="713">
        <f t="shared" si="11"/>
        <v>3005</v>
      </c>
    </row>
    <row r="216" spans="1:8" s="714" customFormat="1" ht="19.5" customHeight="1" hidden="1">
      <c r="A216" s="717"/>
      <c r="B216" s="707"/>
      <c r="C216" s="709">
        <v>4300</v>
      </c>
      <c r="D216" s="710" t="s">
        <v>524</v>
      </c>
      <c r="E216" s="713">
        <v>27000</v>
      </c>
      <c r="F216" s="713"/>
      <c r="G216" s="713">
        <v>7836</v>
      </c>
      <c r="H216" s="713">
        <f t="shared" si="11"/>
        <v>34836</v>
      </c>
    </row>
    <row r="217" spans="1:8" s="16" customFormat="1" ht="20.25" customHeight="1">
      <c r="A217" s="203">
        <v>752</v>
      </c>
      <c r="B217" s="115"/>
      <c r="C217" s="104"/>
      <c r="D217" s="132" t="s">
        <v>225</v>
      </c>
      <c r="E217" s="133"/>
      <c r="F217" s="133"/>
      <c r="G217" s="133">
        <f>G218</f>
        <v>1200</v>
      </c>
      <c r="H217" s="133">
        <f>E217+G217-F217</f>
        <v>1200</v>
      </c>
    </row>
    <row r="218" spans="1:8" s="16" customFormat="1" ht="18.75" customHeight="1">
      <c r="A218" s="182"/>
      <c r="B218" s="706">
        <v>75212</v>
      </c>
      <c r="C218" s="706"/>
      <c r="D218" s="491" t="s">
        <v>226</v>
      </c>
      <c r="E218" s="198"/>
      <c r="F218" s="198"/>
      <c r="G218" s="198">
        <f>G219+G220</f>
        <v>1200</v>
      </c>
      <c r="H218" s="198">
        <f>E218+G218-F218</f>
        <v>1200</v>
      </c>
    </row>
    <row r="219" spans="1:8" s="16" customFormat="1" ht="19.5" customHeight="1">
      <c r="A219" s="92"/>
      <c r="B219" s="468"/>
      <c r="C219" s="468"/>
      <c r="D219" s="418" t="s">
        <v>98</v>
      </c>
      <c r="E219" s="232"/>
      <c r="F219" s="232"/>
      <c r="G219" s="232">
        <f>SUM(G206:G206)</f>
        <v>700</v>
      </c>
      <c r="H219" s="232">
        <f>E219+G219-F219</f>
        <v>700</v>
      </c>
    </row>
    <row r="220" spans="1:8" s="714" customFormat="1" ht="19.5" customHeight="1">
      <c r="A220" s="717"/>
      <c r="B220" s="757"/>
      <c r="C220" s="707"/>
      <c r="D220" s="708" t="s">
        <v>595</v>
      </c>
      <c r="E220" s="713"/>
      <c r="F220" s="713"/>
      <c r="G220" s="713">
        <v>500</v>
      </c>
      <c r="H220" s="713">
        <f>E220+G220-F220</f>
        <v>500</v>
      </c>
    </row>
    <row r="221" spans="1:8" s="16" customFormat="1" ht="20.25" customHeight="1">
      <c r="A221" s="196">
        <v>852</v>
      </c>
      <c r="B221" s="104"/>
      <c r="C221" s="104"/>
      <c r="D221" s="132" t="s">
        <v>511</v>
      </c>
      <c r="E221" s="133">
        <v>2374000</v>
      </c>
      <c r="F221" s="133"/>
      <c r="G221" s="133">
        <f>G222</f>
        <v>292800</v>
      </c>
      <c r="H221" s="133">
        <f t="shared" si="11"/>
        <v>2666800</v>
      </c>
    </row>
    <row r="222" spans="1:8" s="16" customFormat="1" ht="19.5" customHeight="1">
      <c r="A222" s="92"/>
      <c r="B222" s="176">
        <v>85203</v>
      </c>
      <c r="C222" s="176"/>
      <c r="D222" s="192" t="s">
        <v>485</v>
      </c>
      <c r="E222" s="194">
        <v>2123000</v>
      </c>
      <c r="F222" s="194"/>
      <c r="G222" s="194">
        <f>G223+G238</f>
        <v>292800</v>
      </c>
      <c r="H222" s="194">
        <f aca="true" t="shared" si="12" ref="H222:H253">E222+G222-F222</f>
        <v>2415800</v>
      </c>
    </row>
    <row r="223" spans="1:8" s="16" customFormat="1" ht="39.75" customHeight="1">
      <c r="A223" s="92"/>
      <c r="B223" s="92"/>
      <c r="C223" s="108"/>
      <c r="D223" s="528" t="s">
        <v>487</v>
      </c>
      <c r="E223" s="732">
        <v>75600</v>
      </c>
      <c r="F223" s="732"/>
      <c r="G223" s="732">
        <f>G224+G227+G233+G236</f>
        <v>63800</v>
      </c>
      <c r="H223" s="732">
        <f t="shared" si="12"/>
        <v>139400</v>
      </c>
    </row>
    <row r="224" spans="1:8" s="16" customFormat="1" ht="18.75" customHeight="1">
      <c r="A224" s="92"/>
      <c r="B224" s="92"/>
      <c r="C224" s="92"/>
      <c r="D224" s="418" t="s">
        <v>430</v>
      </c>
      <c r="E224" s="232">
        <v>40000</v>
      </c>
      <c r="F224" s="232"/>
      <c r="G224" s="232">
        <f>SUM(G225:G226)</f>
        <v>21800</v>
      </c>
      <c r="H224" s="232">
        <f t="shared" si="12"/>
        <v>61800</v>
      </c>
    </row>
    <row r="225" spans="1:8" s="16" customFormat="1" ht="18.75" customHeight="1" hidden="1">
      <c r="A225" s="92"/>
      <c r="B225" s="92"/>
      <c r="C225" s="111">
        <v>4010</v>
      </c>
      <c r="D225" s="10" t="s">
        <v>576</v>
      </c>
      <c r="E225" s="112">
        <v>35000</v>
      </c>
      <c r="F225" s="112"/>
      <c r="G225" s="112">
        <v>19800</v>
      </c>
      <c r="H225" s="112">
        <f t="shared" si="12"/>
        <v>54800</v>
      </c>
    </row>
    <row r="226" spans="1:8" s="16" customFormat="1" ht="18.75" customHeight="1" hidden="1">
      <c r="A226" s="92"/>
      <c r="B226" s="92"/>
      <c r="C226" s="165">
        <v>4170</v>
      </c>
      <c r="D226" s="420" t="s">
        <v>610</v>
      </c>
      <c r="E226" s="434">
        <v>5000</v>
      </c>
      <c r="F226" s="434"/>
      <c r="G226" s="434">
        <v>2000</v>
      </c>
      <c r="H226" s="434">
        <f t="shared" si="12"/>
        <v>7000</v>
      </c>
    </row>
    <row r="227" spans="1:8" s="16" customFormat="1" ht="18.75" customHeight="1">
      <c r="A227" s="92"/>
      <c r="B227" s="92"/>
      <c r="C227" s="92"/>
      <c r="D227" s="737" t="s">
        <v>570</v>
      </c>
      <c r="E227" s="410">
        <v>27520</v>
      </c>
      <c r="F227" s="410"/>
      <c r="G227" s="410">
        <f>SUM(G228:G232)</f>
        <v>29980</v>
      </c>
      <c r="H227" s="410">
        <f t="shared" si="12"/>
        <v>57500</v>
      </c>
    </row>
    <row r="228" spans="1:8" s="16" customFormat="1" ht="18.75" customHeight="1" hidden="1">
      <c r="A228" s="92"/>
      <c r="B228" s="92"/>
      <c r="C228" s="109">
        <v>4210</v>
      </c>
      <c r="D228" s="1054" t="s">
        <v>525</v>
      </c>
      <c r="E228" s="472">
        <v>6000</v>
      </c>
      <c r="F228" s="472"/>
      <c r="G228" s="472">
        <v>16000</v>
      </c>
      <c r="H228" s="472">
        <f t="shared" si="12"/>
        <v>22000</v>
      </c>
    </row>
    <row r="229" spans="1:8" s="16" customFormat="1" ht="18.75" customHeight="1" hidden="1">
      <c r="A229" s="92"/>
      <c r="B229" s="92"/>
      <c r="C229" s="109">
        <v>4220</v>
      </c>
      <c r="D229" s="1054" t="s">
        <v>82</v>
      </c>
      <c r="E229" s="472">
        <v>10500</v>
      </c>
      <c r="F229" s="472"/>
      <c r="G229" s="472">
        <v>6500</v>
      </c>
      <c r="H229" s="472">
        <f t="shared" si="12"/>
        <v>17000</v>
      </c>
    </row>
    <row r="230" spans="1:8" s="16" customFormat="1" ht="18.75" customHeight="1" hidden="1">
      <c r="A230" s="92"/>
      <c r="B230" s="92"/>
      <c r="C230" s="109">
        <v>4260</v>
      </c>
      <c r="D230" s="1055" t="s">
        <v>528</v>
      </c>
      <c r="E230" s="472">
        <v>8550</v>
      </c>
      <c r="F230" s="472"/>
      <c r="G230" s="472">
        <v>3150</v>
      </c>
      <c r="H230" s="472">
        <f t="shared" si="12"/>
        <v>11700</v>
      </c>
    </row>
    <row r="231" spans="1:8" s="16" customFormat="1" ht="18.75" customHeight="1" hidden="1">
      <c r="A231" s="92"/>
      <c r="B231" s="92"/>
      <c r="C231" s="109">
        <v>4300</v>
      </c>
      <c r="D231" s="1054" t="s">
        <v>524</v>
      </c>
      <c r="E231" s="472">
        <v>1000</v>
      </c>
      <c r="F231" s="472"/>
      <c r="G231" s="472">
        <v>4000</v>
      </c>
      <c r="H231" s="472">
        <f t="shared" si="12"/>
        <v>5000</v>
      </c>
    </row>
    <row r="232" spans="1:8" s="16" customFormat="1" ht="18.75" customHeight="1" hidden="1">
      <c r="A232" s="92"/>
      <c r="B232" s="92"/>
      <c r="C232" s="109">
        <v>4440</v>
      </c>
      <c r="D232" s="1054" t="s">
        <v>575</v>
      </c>
      <c r="E232" s="472">
        <v>1470</v>
      </c>
      <c r="F232" s="472"/>
      <c r="G232" s="472">
        <v>330</v>
      </c>
      <c r="H232" s="472">
        <f t="shared" si="12"/>
        <v>1800</v>
      </c>
    </row>
    <row r="233" spans="1:8" s="16" customFormat="1" ht="18.75" customHeight="1">
      <c r="A233" s="92"/>
      <c r="B233" s="92"/>
      <c r="C233" s="92"/>
      <c r="D233" s="1002" t="s">
        <v>58</v>
      </c>
      <c r="E233" s="410">
        <v>8080</v>
      </c>
      <c r="F233" s="410"/>
      <c r="G233" s="410">
        <f>SUM(G234:G235)</f>
        <v>2020</v>
      </c>
      <c r="H233" s="410">
        <f t="shared" si="12"/>
        <v>10100</v>
      </c>
    </row>
    <row r="234" spans="1:8" s="16" customFormat="1" ht="18.75" customHeight="1" hidden="1">
      <c r="A234" s="92"/>
      <c r="B234" s="92"/>
      <c r="C234" s="109">
        <v>4110</v>
      </c>
      <c r="D234" s="10" t="s">
        <v>529</v>
      </c>
      <c r="E234" s="112">
        <v>7100</v>
      </c>
      <c r="F234" s="112"/>
      <c r="G234" s="112">
        <v>1700</v>
      </c>
      <c r="H234" s="112">
        <f t="shared" si="12"/>
        <v>8800</v>
      </c>
    </row>
    <row r="235" spans="1:8" s="16" customFormat="1" ht="18.75" customHeight="1" hidden="1">
      <c r="A235" s="92"/>
      <c r="B235" s="92"/>
      <c r="C235" s="109">
        <v>4120</v>
      </c>
      <c r="D235" s="420" t="s">
        <v>530</v>
      </c>
      <c r="E235" s="434">
        <v>980</v>
      </c>
      <c r="F235" s="434"/>
      <c r="G235" s="434">
        <v>320</v>
      </c>
      <c r="H235" s="434">
        <f t="shared" si="12"/>
        <v>1300</v>
      </c>
    </row>
    <row r="236" spans="1:8" s="16" customFormat="1" ht="18.75" customHeight="1">
      <c r="A236" s="92"/>
      <c r="B236" s="92"/>
      <c r="C236" s="92"/>
      <c r="D236" s="1002" t="s">
        <v>615</v>
      </c>
      <c r="E236" s="410"/>
      <c r="F236" s="410"/>
      <c r="G236" s="410">
        <f>G237</f>
        <v>10000</v>
      </c>
      <c r="H236" s="410">
        <f t="shared" si="12"/>
        <v>10000</v>
      </c>
    </row>
    <row r="237" spans="1:8" s="16" customFormat="1" ht="18.75" customHeight="1" hidden="1">
      <c r="A237" s="92"/>
      <c r="B237" s="92"/>
      <c r="C237" s="109">
        <v>6060</v>
      </c>
      <c r="D237" s="10" t="s">
        <v>338</v>
      </c>
      <c r="E237" s="112"/>
      <c r="F237" s="112"/>
      <c r="G237" s="112">
        <v>10000</v>
      </c>
      <c r="H237" s="112">
        <f t="shared" si="12"/>
        <v>10000</v>
      </c>
    </row>
    <row r="238" spans="1:8" s="16" customFormat="1" ht="27.75" customHeight="1">
      <c r="A238" s="92"/>
      <c r="B238" s="92"/>
      <c r="C238" s="105"/>
      <c r="D238" s="528" t="s">
        <v>90</v>
      </c>
      <c r="E238" s="732"/>
      <c r="F238" s="732"/>
      <c r="G238" s="732">
        <f>G239+G241+G246+G249</f>
        <v>229000</v>
      </c>
      <c r="H238" s="732">
        <f t="shared" si="12"/>
        <v>229000</v>
      </c>
    </row>
    <row r="239" spans="1:8" s="16" customFormat="1" ht="18.75" customHeight="1">
      <c r="A239" s="92"/>
      <c r="B239" s="92"/>
      <c r="C239" s="92"/>
      <c r="D239" s="418" t="s">
        <v>430</v>
      </c>
      <c r="E239" s="232"/>
      <c r="F239" s="232"/>
      <c r="G239" s="232">
        <f>G240</f>
        <v>3050</v>
      </c>
      <c r="H239" s="232">
        <f t="shared" si="12"/>
        <v>3050</v>
      </c>
    </row>
    <row r="240" spans="1:8" s="16" customFormat="1" ht="18.75" customHeight="1" hidden="1">
      <c r="A240" s="92"/>
      <c r="B240" s="92"/>
      <c r="C240" s="109">
        <v>4010</v>
      </c>
      <c r="D240" s="419" t="s">
        <v>576</v>
      </c>
      <c r="E240" s="110"/>
      <c r="F240" s="110"/>
      <c r="G240" s="110">
        <v>3050</v>
      </c>
      <c r="H240" s="110">
        <f t="shared" si="12"/>
        <v>3050</v>
      </c>
    </row>
    <row r="241" spans="1:8" s="16" customFormat="1" ht="18.75" customHeight="1">
      <c r="A241" s="92"/>
      <c r="B241" s="92"/>
      <c r="C241" s="92"/>
      <c r="D241" s="737" t="s">
        <v>570</v>
      </c>
      <c r="E241" s="410"/>
      <c r="F241" s="410"/>
      <c r="G241" s="410">
        <f>SUM(G242:G245)</f>
        <v>66335</v>
      </c>
      <c r="H241" s="410">
        <f t="shared" si="12"/>
        <v>66335</v>
      </c>
    </row>
    <row r="242" spans="1:8" s="16" customFormat="1" ht="18.75" customHeight="1" hidden="1">
      <c r="A242" s="92"/>
      <c r="B242" s="92"/>
      <c r="C242" s="111">
        <v>4210</v>
      </c>
      <c r="D242" s="10" t="s">
        <v>525</v>
      </c>
      <c r="E242" s="112"/>
      <c r="F242" s="112"/>
      <c r="G242" s="112">
        <v>35200</v>
      </c>
      <c r="H242" s="112">
        <f t="shared" si="12"/>
        <v>35200</v>
      </c>
    </row>
    <row r="243" spans="1:8" s="16" customFormat="1" ht="18.75" customHeight="1" hidden="1">
      <c r="A243" s="92"/>
      <c r="B243" s="92"/>
      <c r="C243" s="109">
        <v>4260</v>
      </c>
      <c r="D243" s="167" t="s">
        <v>528</v>
      </c>
      <c r="E243" s="110"/>
      <c r="F243" s="110"/>
      <c r="G243" s="110">
        <v>1935</v>
      </c>
      <c r="H243" s="110">
        <f t="shared" si="12"/>
        <v>1935</v>
      </c>
    </row>
    <row r="244" spans="1:8" s="16" customFormat="1" ht="18.75" customHeight="1">
      <c r="A244" s="92"/>
      <c r="B244" s="92"/>
      <c r="C244" s="109"/>
      <c r="D244" s="862" t="s">
        <v>567</v>
      </c>
      <c r="E244" s="247"/>
      <c r="F244" s="247"/>
      <c r="G244" s="247">
        <v>26800</v>
      </c>
      <c r="H244" s="247">
        <f t="shared" si="12"/>
        <v>26800</v>
      </c>
    </row>
    <row r="245" spans="1:8" s="16" customFormat="1" ht="18.75" customHeight="1" hidden="1">
      <c r="A245" s="92"/>
      <c r="B245" s="92"/>
      <c r="C245" s="111">
        <v>4300</v>
      </c>
      <c r="D245" s="419" t="s">
        <v>524</v>
      </c>
      <c r="E245" s="110"/>
      <c r="F245" s="110"/>
      <c r="G245" s="110">
        <v>2400</v>
      </c>
      <c r="H245" s="110">
        <f t="shared" si="12"/>
        <v>2400</v>
      </c>
    </row>
    <row r="246" spans="1:8" s="16" customFormat="1" ht="18.75" customHeight="1">
      <c r="A246" s="92"/>
      <c r="B246" s="92"/>
      <c r="C246" s="92"/>
      <c r="D246" s="1056" t="s">
        <v>58</v>
      </c>
      <c r="E246" s="1057"/>
      <c r="F246" s="1057"/>
      <c r="G246" s="1057">
        <f>SUM(G247:G248)</f>
        <v>615</v>
      </c>
      <c r="H246" s="1057">
        <f t="shared" si="12"/>
        <v>615</v>
      </c>
    </row>
    <row r="247" spans="1:8" s="16" customFormat="1" ht="18.75" customHeight="1" hidden="1">
      <c r="A247" s="92"/>
      <c r="B247" s="92"/>
      <c r="C247" s="111">
        <v>4110</v>
      </c>
      <c r="D247" s="10" t="s">
        <v>529</v>
      </c>
      <c r="E247" s="112"/>
      <c r="F247" s="112"/>
      <c r="G247" s="112">
        <v>540</v>
      </c>
      <c r="H247" s="112">
        <f t="shared" si="12"/>
        <v>540</v>
      </c>
    </row>
    <row r="248" spans="1:8" s="16" customFormat="1" ht="18.75" customHeight="1" hidden="1">
      <c r="A248" s="92"/>
      <c r="B248" s="92"/>
      <c r="C248" s="165">
        <v>4120</v>
      </c>
      <c r="D248" s="420" t="s">
        <v>530</v>
      </c>
      <c r="E248" s="434"/>
      <c r="F248" s="434"/>
      <c r="G248" s="434">
        <v>75</v>
      </c>
      <c r="H248" s="434">
        <f t="shared" si="12"/>
        <v>75</v>
      </c>
    </row>
    <row r="249" spans="1:8" s="16" customFormat="1" ht="18.75" customHeight="1">
      <c r="A249" s="92"/>
      <c r="B249" s="92"/>
      <c r="C249" s="105"/>
      <c r="D249" s="1031" t="s">
        <v>615</v>
      </c>
      <c r="E249" s="1036"/>
      <c r="F249" s="1036"/>
      <c r="G249" s="1036">
        <f>SUM(G250:G251)</f>
        <v>159000</v>
      </c>
      <c r="H249" s="1036">
        <f t="shared" si="12"/>
        <v>159000</v>
      </c>
    </row>
    <row r="250" spans="1:8" s="16" customFormat="1" ht="18.75" customHeight="1" hidden="1">
      <c r="A250" s="92"/>
      <c r="B250" s="92"/>
      <c r="C250" s="111">
        <v>6050</v>
      </c>
      <c r="D250" s="397" t="s">
        <v>606</v>
      </c>
      <c r="E250" s="112"/>
      <c r="F250" s="112"/>
      <c r="G250" s="112">
        <v>150000</v>
      </c>
      <c r="H250" s="112">
        <f t="shared" si="12"/>
        <v>150000</v>
      </c>
    </row>
    <row r="251" spans="1:8" s="16" customFormat="1" ht="18.75" customHeight="1" hidden="1">
      <c r="A251" s="92"/>
      <c r="B251" s="92"/>
      <c r="C251" s="111">
        <v>6060</v>
      </c>
      <c r="D251" s="10" t="s">
        <v>188</v>
      </c>
      <c r="E251" s="112"/>
      <c r="F251" s="112"/>
      <c r="G251" s="112">
        <v>9000</v>
      </c>
      <c r="H251" s="112">
        <f t="shared" si="12"/>
        <v>9000</v>
      </c>
    </row>
    <row r="252" spans="1:8" s="16" customFormat="1" ht="20.25" customHeight="1">
      <c r="A252" s="203">
        <v>853</v>
      </c>
      <c r="B252" s="115"/>
      <c r="C252" s="104"/>
      <c r="D252" s="461" t="s">
        <v>560</v>
      </c>
      <c r="E252" s="133">
        <v>505585</v>
      </c>
      <c r="F252" s="133"/>
      <c r="G252" s="133">
        <f>G253</f>
        <v>22587</v>
      </c>
      <c r="H252" s="133">
        <f t="shared" si="12"/>
        <v>528172</v>
      </c>
    </row>
    <row r="253" spans="1:8" s="16" customFormat="1" ht="18.75" customHeight="1">
      <c r="A253" s="108"/>
      <c r="B253" s="706">
        <v>85334</v>
      </c>
      <c r="C253" s="706"/>
      <c r="D253" s="442" t="s">
        <v>440</v>
      </c>
      <c r="E253" s="198">
        <v>9585</v>
      </c>
      <c r="F253" s="198"/>
      <c r="G253" s="198">
        <f>G254</f>
        <v>22587</v>
      </c>
      <c r="H253" s="198">
        <f t="shared" si="12"/>
        <v>32172</v>
      </c>
    </row>
    <row r="254" spans="1:8" s="16" customFormat="1" ht="19.5" customHeight="1">
      <c r="A254" s="105"/>
      <c r="B254" s="1007"/>
      <c r="C254" s="1007"/>
      <c r="D254" s="877" t="s">
        <v>443</v>
      </c>
      <c r="E254" s="206">
        <v>9585</v>
      </c>
      <c r="F254" s="206"/>
      <c r="G254" s="206">
        <f>SUM(G255:G261)</f>
        <v>22587</v>
      </c>
      <c r="H254" s="206">
        <f>E254+G254-F254</f>
        <v>32172</v>
      </c>
    </row>
    <row r="255" spans="1:8" s="714" customFormat="1" ht="19.5" customHeight="1" hidden="1">
      <c r="A255" s="717"/>
      <c r="B255" s="757"/>
      <c r="C255" s="707">
        <v>3110</v>
      </c>
      <c r="D255" s="708" t="s">
        <v>95</v>
      </c>
      <c r="E255" s="713">
        <v>9585</v>
      </c>
      <c r="F255" s="713"/>
      <c r="G255" s="713">
        <f>16383+6204</f>
        <v>22587</v>
      </c>
      <c r="H255" s="713">
        <f>E255+G255-F255</f>
        <v>32172</v>
      </c>
    </row>
    <row r="259" ht="12.75">
      <c r="D259" s="17" t="s">
        <v>24</v>
      </c>
    </row>
    <row r="260" ht="12.75">
      <c r="D260" s="17" t="s">
        <v>23</v>
      </c>
    </row>
    <row r="261" ht="12.75">
      <c r="D261" s="17" t="s">
        <v>22</v>
      </c>
    </row>
  </sheetData>
  <printOptions horizontalCentered="1"/>
  <pageMargins left="0.3937007874015748" right="0.3937007874015748" top="0.61" bottom="0.47" header="0.5118110236220472" footer="0.31496062992125984"/>
  <pageSetup firstPageNumber="7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75" workbookViewId="0" topLeftCell="A29">
      <selection activeCell="G47" sqref="G4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97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71"/>
      <c r="J1" s="72" t="s">
        <v>611</v>
      </c>
    </row>
    <row r="2" spans="3:10" s="1" customFormat="1" ht="15.75" customHeight="1">
      <c r="C2" s="71"/>
      <c r="J2" s="1" t="s">
        <v>186</v>
      </c>
    </row>
    <row r="3" spans="3:10" s="1" customFormat="1" ht="15.75" customHeight="1">
      <c r="C3" s="140" t="s">
        <v>582</v>
      </c>
      <c r="J3" s="1" t="s">
        <v>512</v>
      </c>
    </row>
    <row r="4" spans="3:10" s="1" customFormat="1" ht="15.75" customHeight="1">
      <c r="C4" s="71"/>
      <c r="J4" s="1" t="s">
        <v>265</v>
      </c>
    </row>
    <row r="5" spans="2:12" s="1" customFormat="1" ht="14.25" customHeight="1" thickBot="1">
      <c r="B5" s="17"/>
      <c r="C5" s="71"/>
      <c r="K5" s="51"/>
      <c r="L5" s="73" t="s">
        <v>514</v>
      </c>
    </row>
    <row r="6" spans="1:12" s="1" customFormat="1" ht="42" customHeight="1" thickBot="1" thickTop="1">
      <c r="A6" s="74"/>
      <c r="B6" s="74"/>
      <c r="C6" s="75"/>
      <c r="D6" s="1160" t="s">
        <v>612</v>
      </c>
      <c r="E6" s="76" t="s">
        <v>522</v>
      </c>
      <c r="F6" s="77"/>
      <c r="G6" s="77"/>
      <c r="H6" s="78"/>
      <c r="I6" s="79" t="s">
        <v>502</v>
      </c>
      <c r="J6" s="76" t="s">
        <v>522</v>
      </c>
      <c r="K6" s="80"/>
      <c r="L6" s="81"/>
    </row>
    <row r="7" spans="1:12" s="1" customFormat="1" ht="67.5" customHeight="1" thickBot="1" thickTop="1">
      <c r="A7" s="82" t="s">
        <v>515</v>
      </c>
      <c r="B7" s="83" t="s">
        <v>503</v>
      </c>
      <c r="C7" s="83" t="s">
        <v>504</v>
      </c>
      <c r="D7" s="1161"/>
      <c r="E7" s="84" t="s">
        <v>505</v>
      </c>
      <c r="F7" s="84" t="s">
        <v>506</v>
      </c>
      <c r="G7" s="84" t="s">
        <v>507</v>
      </c>
      <c r="H7" s="85" t="s">
        <v>451</v>
      </c>
      <c r="I7" s="83" t="s">
        <v>508</v>
      </c>
      <c r="J7" s="84" t="s">
        <v>505</v>
      </c>
      <c r="K7" s="84" t="s">
        <v>506</v>
      </c>
      <c r="L7" s="84" t="s">
        <v>507</v>
      </c>
    </row>
    <row r="8" spans="1:12" s="89" customFormat="1" ht="15" customHeight="1" thickBot="1" thickTop="1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8">
        <v>6</v>
      </c>
      <c r="G8" s="86">
        <v>7</v>
      </c>
      <c r="H8" s="86">
        <v>8</v>
      </c>
      <c r="I8" s="86">
        <v>9</v>
      </c>
      <c r="J8" s="86">
        <v>10</v>
      </c>
      <c r="K8" s="88">
        <v>11</v>
      </c>
      <c r="L8" s="88">
        <v>12</v>
      </c>
    </row>
    <row r="9" spans="1:14" s="20" customFormat="1" ht="26.25" customHeight="1" thickBot="1" thickTop="1">
      <c r="A9" s="90"/>
      <c r="B9" s="90"/>
      <c r="C9" s="299" t="s">
        <v>509</v>
      </c>
      <c r="D9" s="300">
        <f>SUM(E9:G9)</f>
        <v>104216124</v>
      </c>
      <c r="E9" s="300">
        <v>93556571</v>
      </c>
      <c r="F9" s="300">
        <v>6832553</v>
      </c>
      <c r="G9" s="300">
        <v>3827000</v>
      </c>
      <c r="H9" s="301">
        <f>H11+H33</f>
        <v>636225</v>
      </c>
      <c r="I9" s="302">
        <f>SUM(J9:L9)</f>
        <v>104852349</v>
      </c>
      <c r="J9" s="300">
        <f>E9+H11</f>
        <v>94023796</v>
      </c>
      <c r="K9" s="300">
        <f>F9</f>
        <v>6832553</v>
      </c>
      <c r="L9" s="300">
        <f>G9+H33</f>
        <v>3996000</v>
      </c>
      <c r="M9" s="91"/>
      <c r="N9" s="25"/>
    </row>
    <row r="10" spans="1:12" s="96" customFormat="1" ht="11.25" customHeight="1">
      <c r="A10" s="92"/>
      <c r="B10" s="92"/>
      <c r="C10" s="93" t="s">
        <v>522</v>
      </c>
      <c r="D10" s="94"/>
      <c r="E10" s="94"/>
      <c r="F10" s="94"/>
      <c r="G10" s="303"/>
      <c r="H10" s="304"/>
      <c r="I10" s="95"/>
      <c r="J10" s="94"/>
      <c r="K10" s="94"/>
      <c r="L10" s="94"/>
    </row>
    <row r="11" spans="1:14" ht="23.25" customHeight="1" thickBot="1">
      <c r="A11" s="211"/>
      <c r="B11" s="211"/>
      <c r="C11" s="305" t="s">
        <v>523</v>
      </c>
      <c r="D11" s="306">
        <f aca="true" t="shared" si="0" ref="D11:D18">SUM(E11:G11)</f>
        <v>103939124</v>
      </c>
      <c r="E11" s="306">
        <v>93556571</v>
      </c>
      <c r="F11" s="306">
        <v>6832553</v>
      </c>
      <c r="G11" s="306">
        <v>3550000</v>
      </c>
      <c r="H11" s="307">
        <f>H12+H16+H19+H22+H25+H30</f>
        <v>467225</v>
      </c>
      <c r="I11" s="308">
        <f>SUM(J11:L11)</f>
        <v>104406349</v>
      </c>
      <c r="J11" s="306">
        <f>E11+H11</f>
        <v>94023796</v>
      </c>
      <c r="K11" s="306">
        <f aca="true" t="shared" si="1" ref="K11:L13">F11</f>
        <v>6832553</v>
      </c>
      <c r="L11" s="306">
        <f t="shared" si="1"/>
        <v>3550000</v>
      </c>
      <c r="M11" s="25"/>
      <c r="N11" s="25"/>
    </row>
    <row r="12" spans="1:14" s="1" customFormat="1" ht="21" customHeight="1" thickBot="1" thickTop="1">
      <c r="A12" s="360">
        <v>600</v>
      </c>
      <c r="B12" s="360"/>
      <c r="C12" s="361" t="s">
        <v>626</v>
      </c>
      <c r="D12" s="362">
        <f t="shared" si="0"/>
        <v>33889060</v>
      </c>
      <c r="E12" s="362">
        <v>30489060</v>
      </c>
      <c r="F12" s="362">
        <v>400000</v>
      </c>
      <c r="G12" s="363">
        <v>3000000</v>
      </c>
      <c r="H12" s="364">
        <f>H13</f>
        <v>290000</v>
      </c>
      <c r="I12" s="371">
        <f>D12+H12</f>
        <v>34179060</v>
      </c>
      <c r="J12" s="362">
        <f aca="true" t="shared" si="2" ref="J12:J18">E12+H12</f>
        <v>30779060</v>
      </c>
      <c r="K12" s="362">
        <f t="shared" si="1"/>
        <v>400000</v>
      </c>
      <c r="L12" s="362">
        <f t="shared" si="1"/>
        <v>3000000</v>
      </c>
      <c r="M12" s="8"/>
      <c r="N12" s="8"/>
    </row>
    <row r="13" spans="1:14" s="1" customFormat="1" ht="26.25" customHeight="1">
      <c r="A13" s="366"/>
      <c r="B13" s="367">
        <v>60015</v>
      </c>
      <c r="C13" s="174" t="s">
        <v>627</v>
      </c>
      <c r="D13" s="174">
        <f t="shared" si="0"/>
        <v>30374060</v>
      </c>
      <c r="E13" s="174">
        <v>26974060</v>
      </c>
      <c r="F13" s="174">
        <v>400000</v>
      </c>
      <c r="G13" s="368">
        <v>3000000</v>
      </c>
      <c r="H13" s="369">
        <f>SUM(H14:H15)</f>
        <v>290000</v>
      </c>
      <c r="I13" s="370">
        <f>D13+H13</f>
        <v>30664060</v>
      </c>
      <c r="J13" s="174">
        <f t="shared" si="2"/>
        <v>27264060</v>
      </c>
      <c r="K13" s="174">
        <f t="shared" si="1"/>
        <v>400000</v>
      </c>
      <c r="L13" s="174">
        <f t="shared" si="1"/>
        <v>3000000</v>
      </c>
      <c r="M13" s="8"/>
      <c r="N13" s="8"/>
    </row>
    <row r="14" spans="1:14" s="1" customFormat="1" ht="25.5" customHeight="1">
      <c r="A14" s="248"/>
      <c r="B14" s="248"/>
      <c r="C14" s="500" t="s">
        <v>160</v>
      </c>
      <c r="D14" s="699">
        <f t="shared" si="0"/>
        <v>500000</v>
      </c>
      <c r="E14" s="699">
        <v>500000</v>
      </c>
      <c r="F14" s="699"/>
      <c r="G14" s="700"/>
      <c r="H14" s="701">
        <v>240000</v>
      </c>
      <c r="I14" s="702">
        <f>SUM(J14:L14)</f>
        <v>740000</v>
      </c>
      <c r="J14" s="699">
        <f t="shared" si="2"/>
        <v>740000</v>
      </c>
      <c r="K14" s="699"/>
      <c r="L14" s="699"/>
      <c r="M14" s="8"/>
      <c r="N14" s="8"/>
    </row>
    <row r="15" spans="1:14" s="1" customFormat="1" ht="20.25" customHeight="1" thickBot="1">
      <c r="A15" s="248"/>
      <c r="B15" s="248"/>
      <c r="C15" s="118" t="s">
        <v>629</v>
      </c>
      <c r="D15" s="113">
        <f t="shared" si="0"/>
        <v>414060</v>
      </c>
      <c r="E15" s="697">
        <v>414060</v>
      </c>
      <c r="F15" s="697"/>
      <c r="G15" s="698"/>
      <c r="H15" s="352">
        <v>50000</v>
      </c>
      <c r="I15" s="353">
        <f>D15+H15</f>
        <v>464060</v>
      </c>
      <c r="J15" s="113">
        <f t="shared" si="2"/>
        <v>464060</v>
      </c>
      <c r="K15" s="113"/>
      <c r="L15" s="113"/>
      <c r="M15" s="8"/>
      <c r="N15" s="8"/>
    </row>
    <row r="16" spans="1:14" s="1" customFormat="1" ht="25.5" customHeight="1" thickBot="1">
      <c r="A16" s="360">
        <v>754</v>
      </c>
      <c r="B16" s="360"/>
      <c r="C16" s="361" t="s">
        <v>467</v>
      </c>
      <c r="D16" s="362">
        <f t="shared" si="0"/>
        <v>1120000</v>
      </c>
      <c r="E16" s="494">
        <v>870000</v>
      </c>
      <c r="F16" s="494">
        <v>250000</v>
      </c>
      <c r="G16" s="494"/>
      <c r="H16" s="364">
        <f>H17</f>
        <v>-1720</v>
      </c>
      <c r="I16" s="365">
        <f aca="true" t="shared" si="3" ref="I16:I24">SUM(J16:L16)</f>
        <v>1118280</v>
      </c>
      <c r="J16" s="362">
        <f t="shared" si="2"/>
        <v>868280</v>
      </c>
      <c r="K16" s="362">
        <f>F16</f>
        <v>250000</v>
      </c>
      <c r="L16" s="362"/>
      <c r="M16" s="8"/>
      <c r="N16" s="8"/>
    </row>
    <row r="17" spans="1:14" s="1" customFormat="1" ht="18.75" customHeight="1">
      <c r="A17" s="248"/>
      <c r="B17" s="354">
        <v>75405</v>
      </c>
      <c r="C17" s="355" t="s">
        <v>230</v>
      </c>
      <c r="D17" s="356">
        <f t="shared" si="0"/>
        <v>500000</v>
      </c>
      <c r="E17" s="356">
        <v>500000</v>
      </c>
      <c r="F17" s="356"/>
      <c r="G17" s="357"/>
      <c r="H17" s="358">
        <f>H18</f>
        <v>-1720</v>
      </c>
      <c r="I17" s="359">
        <f t="shared" si="3"/>
        <v>498280</v>
      </c>
      <c r="J17" s="356">
        <f t="shared" si="2"/>
        <v>498280</v>
      </c>
      <c r="K17" s="356"/>
      <c r="L17" s="356"/>
      <c r="M17" s="8"/>
      <c r="N17" s="8"/>
    </row>
    <row r="18" spans="1:14" s="1" customFormat="1" ht="20.25" customHeight="1" thickBot="1">
      <c r="A18" s="248"/>
      <c r="B18" s="248"/>
      <c r="C18" s="191" t="s">
        <v>232</v>
      </c>
      <c r="D18" s="233">
        <f t="shared" si="0"/>
        <v>500000</v>
      </c>
      <c r="E18" s="495">
        <v>500000</v>
      </c>
      <c r="F18" s="495"/>
      <c r="G18" s="496"/>
      <c r="H18" s="250">
        <v>-1720</v>
      </c>
      <c r="I18" s="351">
        <f t="shared" si="3"/>
        <v>498280</v>
      </c>
      <c r="J18" s="233">
        <f t="shared" si="2"/>
        <v>498280</v>
      </c>
      <c r="K18" s="233"/>
      <c r="L18" s="233"/>
      <c r="M18" s="8"/>
      <c r="N18" s="8"/>
    </row>
    <row r="19" spans="1:14" s="1" customFormat="1" ht="20.25" customHeight="1" thickBot="1">
      <c r="A19" s="360">
        <v>801</v>
      </c>
      <c r="B19" s="360"/>
      <c r="C19" s="361" t="s">
        <v>532</v>
      </c>
      <c r="D19" s="362">
        <f>SUM(E19:F19)</f>
        <v>17219817</v>
      </c>
      <c r="E19" s="494">
        <v>16682317</v>
      </c>
      <c r="F19" s="494">
        <v>537500</v>
      </c>
      <c r="G19" s="494"/>
      <c r="H19" s="364">
        <f>H20</f>
        <v>5500</v>
      </c>
      <c r="I19" s="365">
        <f>SUM(J19:L19)</f>
        <v>17225317</v>
      </c>
      <c r="J19" s="362">
        <f>H19+E19</f>
        <v>16687817</v>
      </c>
      <c r="K19" s="362">
        <f>F19</f>
        <v>537500</v>
      </c>
      <c r="L19" s="362"/>
      <c r="M19" s="8"/>
      <c r="N19" s="8"/>
    </row>
    <row r="20" spans="1:14" s="1" customFormat="1" ht="18.75" customHeight="1">
      <c r="A20" s="248"/>
      <c r="B20" s="354">
        <v>80120</v>
      </c>
      <c r="C20" s="355" t="s">
        <v>535</v>
      </c>
      <c r="D20" s="356">
        <f>SUM(E20:F20)</f>
        <v>701500</v>
      </c>
      <c r="E20" s="356">
        <v>701500</v>
      </c>
      <c r="F20" s="356"/>
      <c r="G20" s="357"/>
      <c r="H20" s="358">
        <f>H21</f>
        <v>5500</v>
      </c>
      <c r="I20" s="359">
        <f>SUM(J20:L20)</f>
        <v>707000</v>
      </c>
      <c r="J20" s="356">
        <f>E20+H20</f>
        <v>707000</v>
      </c>
      <c r="K20" s="356"/>
      <c r="L20" s="356"/>
      <c r="M20" s="8"/>
      <c r="N20" s="8"/>
    </row>
    <row r="21" spans="1:14" s="1" customFormat="1" ht="20.25" customHeight="1" thickBot="1">
      <c r="A21" s="248"/>
      <c r="B21" s="248"/>
      <c r="C21" s="191" t="s">
        <v>339</v>
      </c>
      <c r="D21" s="233"/>
      <c r="E21" s="495"/>
      <c r="F21" s="495"/>
      <c r="G21" s="496"/>
      <c r="H21" s="250">
        <v>5500</v>
      </c>
      <c r="I21" s="351">
        <f>SUM(J21:L21)</f>
        <v>5500</v>
      </c>
      <c r="J21" s="233">
        <f>E21+H21</f>
        <v>5500</v>
      </c>
      <c r="K21" s="233"/>
      <c r="L21" s="233"/>
      <c r="M21" s="8"/>
      <c r="N21" s="8"/>
    </row>
    <row r="22" spans="1:14" s="1" customFormat="1" ht="20.25" customHeight="1" thickBot="1">
      <c r="A22" s="360">
        <v>851</v>
      </c>
      <c r="B22" s="360"/>
      <c r="C22" s="361" t="s">
        <v>620</v>
      </c>
      <c r="D22" s="362">
        <f>SUM(E22:F22)</f>
        <v>1590000</v>
      </c>
      <c r="E22" s="494">
        <v>1590000</v>
      </c>
      <c r="F22" s="494"/>
      <c r="G22" s="494"/>
      <c r="H22" s="364">
        <f>H23</f>
        <v>6000</v>
      </c>
      <c r="I22" s="365">
        <f t="shared" si="3"/>
        <v>1596000</v>
      </c>
      <c r="J22" s="362">
        <f>H22+E22</f>
        <v>1596000</v>
      </c>
      <c r="K22" s="362"/>
      <c r="L22" s="362"/>
      <c r="M22" s="8"/>
      <c r="N22" s="8"/>
    </row>
    <row r="23" spans="1:14" s="1" customFormat="1" ht="18.75" customHeight="1">
      <c r="A23" s="248"/>
      <c r="B23" s="354">
        <v>85195</v>
      </c>
      <c r="C23" s="355" t="s">
        <v>531</v>
      </c>
      <c r="D23" s="356">
        <f>SUM(E23:F23)</f>
        <v>25000</v>
      </c>
      <c r="E23" s="356">
        <v>25000</v>
      </c>
      <c r="F23" s="356"/>
      <c r="G23" s="357"/>
      <c r="H23" s="358">
        <f>H24</f>
        <v>6000</v>
      </c>
      <c r="I23" s="359">
        <f t="shared" si="3"/>
        <v>31000</v>
      </c>
      <c r="J23" s="356">
        <f>E23+H23</f>
        <v>31000</v>
      </c>
      <c r="K23" s="356"/>
      <c r="L23" s="356"/>
      <c r="M23" s="8"/>
      <c r="N23" s="8"/>
    </row>
    <row r="24" spans="1:14" s="1" customFormat="1" ht="20.25" customHeight="1" thickBot="1">
      <c r="A24" s="248"/>
      <c r="B24" s="248"/>
      <c r="C24" s="191" t="s">
        <v>339</v>
      </c>
      <c r="D24" s="233"/>
      <c r="E24" s="495"/>
      <c r="F24" s="495"/>
      <c r="G24" s="496"/>
      <c r="H24" s="250">
        <v>6000</v>
      </c>
      <c r="I24" s="351">
        <f t="shared" si="3"/>
        <v>6000</v>
      </c>
      <c r="J24" s="233">
        <f>E24+H24</f>
        <v>6000</v>
      </c>
      <c r="K24" s="233"/>
      <c r="L24" s="233"/>
      <c r="M24" s="8"/>
      <c r="N24" s="8"/>
    </row>
    <row r="25" spans="1:14" s="1" customFormat="1" ht="20.25" customHeight="1" thickBot="1">
      <c r="A25" s="360">
        <v>852</v>
      </c>
      <c r="B25" s="360"/>
      <c r="C25" s="361" t="s">
        <v>511</v>
      </c>
      <c r="D25" s="362">
        <f aca="true" t="shared" si="4" ref="D25:D33">SUM(E25:G25)</f>
        <v>2447210</v>
      </c>
      <c r="E25" s="494">
        <v>1769710</v>
      </c>
      <c r="F25" s="494">
        <v>127500</v>
      </c>
      <c r="G25" s="494">
        <v>550000</v>
      </c>
      <c r="H25" s="364">
        <f>H26+H28</f>
        <v>101445</v>
      </c>
      <c r="I25" s="365">
        <f aca="true" t="shared" si="5" ref="I25:I32">SUM(J25:L25)</f>
        <v>2548655</v>
      </c>
      <c r="J25" s="362">
        <f aca="true" t="shared" si="6" ref="J25:J32">E25+H25</f>
        <v>1871155</v>
      </c>
      <c r="K25" s="362">
        <f>F25</f>
        <v>127500</v>
      </c>
      <c r="L25" s="362">
        <f>G25</f>
        <v>550000</v>
      </c>
      <c r="M25" s="8"/>
      <c r="N25" s="8"/>
    </row>
    <row r="26" spans="1:14" s="1" customFormat="1" ht="18.75" customHeight="1">
      <c r="A26" s="248"/>
      <c r="B26" s="354">
        <v>85201</v>
      </c>
      <c r="C26" s="355" t="s">
        <v>85</v>
      </c>
      <c r="D26" s="356">
        <f t="shared" si="4"/>
        <v>1097210</v>
      </c>
      <c r="E26" s="356">
        <v>887210</v>
      </c>
      <c r="F26" s="356"/>
      <c r="G26" s="357">
        <v>210000</v>
      </c>
      <c r="H26" s="358">
        <f>H27</f>
        <v>1445</v>
      </c>
      <c r="I26" s="359">
        <f t="shared" si="5"/>
        <v>1098655</v>
      </c>
      <c r="J26" s="356">
        <f t="shared" si="6"/>
        <v>888655</v>
      </c>
      <c r="K26" s="356"/>
      <c r="L26" s="356">
        <f>G26</f>
        <v>210000</v>
      </c>
      <c r="M26" s="8"/>
      <c r="N26" s="8"/>
    </row>
    <row r="27" spans="1:14" s="1" customFormat="1" ht="20.25" customHeight="1">
      <c r="A27" s="248"/>
      <c r="B27" s="1156"/>
      <c r="C27" s="179" t="s">
        <v>86</v>
      </c>
      <c r="D27" s="206">
        <f t="shared" si="4"/>
        <v>497210</v>
      </c>
      <c r="E27" s="206">
        <v>287210</v>
      </c>
      <c r="F27" s="206"/>
      <c r="G27" s="1157">
        <v>210000</v>
      </c>
      <c r="H27" s="1158">
        <v>1445</v>
      </c>
      <c r="I27" s="1159">
        <f t="shared" si="5"/>
        <v>498655</v>
      </c>
      <c r="J27" s="206">
        <f t="shared" si="6"/>
        <v>288655</v>
      </c>
      <c r="K27" s="206"/>
      <c r="L27" s="206">
        <f>G27</f>
        <v>210000</v>
      </c>
      <c r="M27" s="8"/>
      <c r="N27" s="8"/>
    </row>
    <row r="28" spans="1:14" s="1" customFormat="1" ht="18.75" customHeight="1">
      <c r="A28" s="248"/>
      <c r="B28" s="367">
        <v>85202</v>
      </c>
      <c r="C28" s="174" t="s">
        <v>240</v>
      </c>
      <c r="D28" s="194">
        <f>SUM(E28:G28)</f>
        <v>936584</v>
      </c>
      <c r="E28" s="194">
        <v>769084</v>
      </c>
      <c r="F28" s="194">
        <v>127500</v>
      </c>
      <c r="G28" s="1153">
        <v>40000</v>
      </c>
      <c r="H28" s="1154">
        <f>H29</f>
        <v>100000</v>
      </c>
      <c r="I28" s="1155">
        <f>SUM(J28:L28)</f>
        <v>1036584</v>
      </c>
      <c r="J28" s="194">
        <f>E28+H28</f>
        <v>869084</v>
      </c>
      <c r="K28" s="194">
        <f>F28</f>
        <v>127500</v>
      </c>
      <c r="L28" s="194">
        <f>G28</f>
        <v>40000</v>
      </c>
      <c r="M28" s="8"/>
      <c r="N28" s="8"/>
    </row>
    <row r="29" spans="1:14" s="1" customFormat="1" ht="27.75" customHeight="1" thickBot="1">
      <c r="A29" s="248"/>
      <c r="B29" s="248"/>
      <c r="C29" s="191" t="s">
        <v>165</v>
      </c>
      <c r="D29" s="233"/>
      <c r="E29" s="495"/>
      <c r="F29" s="495"/>
      <c r="G29" s="496"/>
      <c r="H29" s="250">
        <v>100000</v>
      </c>
      <c r="I29" s="351">
        <f>SUM(J29:L29)</f>
        <v>100000</v>
      </c>
      <c r="J29" s="233">
        <f>E29+H29</f>
        <v>100000</v>
      </c>
      <c r="K29" s="233"/>
      <c r="L29" s="233"/>
      <c r="M29" s="8"/>
      <c r="N29" s="8"/>
    </row>
    <row r="30" spans="1:14" s="1" customFormat="1" ht="29.25" customHeight="1" thickBot="1">
      <c r="A30" s="360">
        <v>900</v>
      </c>
      <c r="B30" s="360"/>
      <c r="C30" s="361" t="s">
        <v>48</v>
      </c>
      <c r="D30" s="362">
        <f t="shared" si="4"/>
        <v>21660000</v>
      </c>
      <c r="E30" s="494">
        <v>16330000</v>
      </c>
      <c r="F30" s="494">
        <v>5330000</v>
      </c>
      <c r="G30" s="494"/>
      <c r="H30" s="364">
        <f>H31</f>
        <v>66000</v>
      </c>
      <c r="I30" s="365">
        <f t="shared" si="5"/>
        <v>21726000</v>
      </c>
      <c r="J30" s="362">
        <f t="shared" si="6"/>
        <v>16396000</v>
      </c>
      <c r="K30" s="362">
        <f>F30</f>
        <v>5330000</v>
      </c>
      <c r="L30" s="362"/>
      <c r="M30" s="8"/>
      <c r="N30" s="8"/>
    </row>
    <row r="31" spans="1:14" s="1" customFormat="1" ht="19.5" customHeight="1">
      <c r="A31" s="1030"/>
      <c r="B31" s="354">
        <v>90015</v>
      </c>
      <c r="C31" s="355" t="s">
        <v>456</v>
      </c>
      <c r="D31" s="356">
        <f t="shared" si="4"/>
        <v>10000</v>
      </c>
      <c r="E31" s="356">
        <v>10000</v>
      </c>
      <c r="F31" s="356"/>
      <c r="G31" s="357"/>
      <c r="H31" s="358">
        <f>H32</f>
        <v>66000</v>
      </c>
      <c r="I31" s="359">
        <f t="shared" si="5"/>
        <v>76000</v>
      </c>
      <c r="J31" s="356">
        <f t="shared" si="6"/>
        <v>76000</v>
      </c>
      <c r="K31" s="356"/>
      <c r="L31" s="356"/>
      <c r="M31" s="8"/>
      <c r="N31" s="8"/>
    </row>
    <row r="32" spans="1:14" s="1" customFormat="1" ht="20.25" customHeight="1">
      <c r="A32" s="248"/>
      <c r="B32" s="248"/>
      <c r="C32" s="191" t="s">
        <v>458</v>
      </c>
      <c r="D32" s="233">
        <f t="shared" si="4"/>
        <v>10000</v>
      </c>
      <c r="E32" s="233">
        <v>10000</v>
      </c>
      <c r="F32" s="233"/>
      <c r="G32" s="249"/>
      <c r="H32" s="250">
        <v>66000</v>
      </c>
      <c r="I32" s="351">
        <f t="shared" si="5"/>
        <v>76000</v>
      </c>
      <c r="J32" s="233">
        <f t="shared" si="6"/>
        <v>76000</v>
      </c>
      <c r="K32" s="233"/>
      <c r="L32" s="233"/>
      <c r="M32" s="8"/>
      <c r="N32" s="8"/>
    </row>
    <row r="33" spans="1:12" ht="19.5" customHeight="1" thickBot="1">
      <c r="A33" s="211"/>
      <c r="B33" s="211"/>
      <c r="C33" s="847" t="s">
        <v>510</v>
      </c>
      <c r="D33" s="848">
        <f t="shared" si="4"/>
        <v>277000</v>
      </c>
      <c r="E33" s="848"/>
      <c r="F33" s="848"/>
      <c r="G33" s="849">
        <v>277000</v>
      </c>
      <c r="H33" s="850">
        <f>H35</f>
        <v>169000</v>
      </c>
      <c r="I33" s="851">
        <f>L33</f>
        <v>446000</v>
      </c>
      <c r="J33" s="848"/>
      <c r="K33" s="848"/>
      <c r="L33" s="848">
        <f>G33+H33</f>
        <v>446000</v>
      </c>
    </row>
    <row r="34" spans="1:12" s="1" customFormat="1" ht="11.25" customHeight="1" thickTop="1">
      <c r="A34" s="109"/>
      <c r="B34" s="109"/>
      <c r="C34" s="856" t="s">
        <v>522</v>
      </c>
      <c r="D34" s="857"/>
      <c r="E34" s="857"/>
      <c r="F34" s="857"/>
      <c r="G34" s="858"/>
      <c r="H34" s="859"/>
      <c r="I34" s="860"/>
      <c r="J34" s="857"/>
      <c r="K34" s="857"/>
      <c r="L34" s="857"/>
    </row>
    <row r="35" spans="1:14" s="17" customFormat="1" ht="38.25" customHeight="1" thickBot="1">
      <c r="A35" s="211"/>
      <c r="B35" s="211"/>
      <c r="C35" s="852" t="s">
        <v>539</v>
      </c>
      <c r="D35" s="853">
        <f>SUM(E35:G35)</f>
        <v>277000</v>
      </c>
      <c r="E35" s="853"/>
      <c r="F35" s="853"/>
      <c r="G35" s="853">
        <v>277000</v>
      </c>
      <c r="H35" s="854">
        <f>H36</f>
        <v>169000</v>
      </c>
      <c r="I35" s="855">
        <f>SUM(J35:L35)</f>
        <v>446000</v>
      </c>
      <c r="J35" s="853"/>
      <c r="K35" s="853"/>
      <c r="L35" s="853">
        <f>G35+H35</f>
        <v>446000</v>
      </c>
      <c r="M35" s="9"/>
      <c r="N35" s="9"/>
    </row>
    <row r="36" spans="1:14" s="1" customFormat="1" ht="21" customHeight="1" thickBot="1">
      <c r="A36" s="360">
        <v>852</v>
      </c>
      <c r="B36" s="360"/>
      <c r="C36" s="842" t="s">
        <v>511</v>
      </c>
      <c r="D36" s="270">
        <f>SUM(E36:G36)</f>
        <v>11000</v>
      </c>
      <c r="E36" s="270"/>
      <c r="F36" s="270"/>
      <c r="G36" s="843">
        <v>11000</v>
      </c>
      <c r="H36" s="844">
        <f>H37</f>
        <v>169000</v>
      </c>
      <c r="I36" s="845">
        <f>D36+H36</f>
        <v>180000</v>
      </c>
      <c r="J36" s="270"/>
      <c r="K36" s="270"/>
      <c r="L36" s="270">
        <f>G36+H36</f>
        <v>180000</v>
      </c>
      <c r="M36" s="8"/>
      <c r="N36" s="8"/>
    </row>
    <row r="37" spans="1:14" s="1" customFormat="1" ht="18.75" customHeight="1">
      <c r="A37" s="366"/>
      <c r="B37" s="367">
        <v>85203</v>
      </c>
      <c r="C37" s="174" t="s">
        <v>485</v>
      </c>
      <c r="D37" s="174">
        <f>SUM(E37:G37)</f>
        <v>11000</v>
      </c>
      <c r="E37" s="174"/>
      <c r="F37" s="174"/>
      <c r="G37" s="368">
        <v>11000</v>
      </c>
      <c r="H37" s="369">
        <f>SUM(H38:H39)</f>
        <v>169000</v>
      </c>
      <c r="I37" s="370">
        <f>D37+H37</f>
        <v>180000</v>
      </c>
      <c r="J37" s="174"/>
      <c r="K37" s="174"/>
      <c r="L37" s="174">
        <f>G37+H37</f>
        <v>180000</v>
      </c>
      <c r="M37" s="8"/>
      <c r="N37" s="8"/>
    </row>
    <row r="38" spans="1:14" s="1" customFormat="1" ht="20.25" customHeight="1">
      <c r="A38" s="248"/>
      <c r="B38" s="248"/>
      <c r="C38" s="992" t="s">
        <v>339</v>
      </c>
      <c r="D38" s="699">
        <f>SUM(E38:G38)</f>
        <v>11000</v>
      </c>
      <c r="E38" s="699"/>
      <c r="F38" s="699"/>
      <c r="G38" s="700">
        <v>11000</v>
      </c>
      <c r="H38" s="701">
        <f>10000+9000</f>
        <v>19000</v>
      </c>
      <c r="I38" s="702">
        <f>D38+H38</f>
        <v>30000</v>
      </c>
      <c r="J38" s="699"/>
      <c r="K38" s="699"/>
      <c r="L38" s="699">
        <f>G38+H38</f>
        <v>30000</v>
      </c>
      <c r="M38" s="8"/>
      <c r="N38" s="8"/>
    </row>
    <row r="39" spans="1:14" s="1" customFormat="1" ht="20.25" customHeight="1">
      <c r="A39" s="846"/>
      <c r="B39" s="846"/>
      <c r="C39" s="193" t="s">
        <v>163</v>
      </c>
      <c r="D39" s="191"/>
      <c r="E39" s="191"/>
      <c r="F39" s="191"/>
      <c r="G39" s="993"/>
      <c r="H39" s="995">
        <v>150000</v>
      </c>
      <c r="I39" s="994">
        <f>D39+H39</f>
        <v>150000</v>
      </c>
      <c r="J39" s="191"/>
      <c r="K39" s="191"/>
      <c r="L39" s="191">
        <f>G39+H39</f>
        <v>150000</v>
      </c>
      <c r="M39" s="8"/>
      <c r="N39" s="8"/>
    </row>
    <row r="41" s="534" customFormat="1" ht="18" customHeight="1"/>
    <row r="42" spans="2:5" s="703" customFormat="1" ht="19.5" customHeight="1">
      <c r="B42" s="1135" t="s">
        <v>161</v>
      </c>
      <c r="D42" s="704"/>
      <c r="E42" s="705"/>
    </row>
    <row r="43" spans="2:3" s="534" customFormat="1" ht="18" customHeight="1">
      <c r="B43" s="535" t="s">
        <v>464</v>
      </c>
      <c r="C43" s="535"/>
    </row>
    <row r="44" spans="2:3" s="536" customFormat="1" ht="16.5">
      <c r="B44" s="1136" t="s">
        <v>162</v>
      </c>
      <c r="C44" s="537"/>
    </row>
    <row r="45" s="536" customFormat="1" ht="12.75">
      <c r="C45" s="537"/>
    </row>
    <row r="46" s="536" customFormat="1" ht="12.75">
      <c r="C46" s="537"/>
    </row>
    <row r="47" s="536" customFormat="1" ht="12.75">
      <c r="C47" s="537"/>
    </row>
    <row r="48" s="536" customFormat="1" ht="12.75">
      <c r="C48" s="537"/>
    </row>
    <row r="49" spans="3:6" s="536" customFormat="1" ht="12.75">
      <c r="C49" s="537"/>
      <c r="F49" s="17" t="s">
        <v>24</v>
      </c>
    </row>
    <row r="50" spans="2:6" ht="12.75">
      <c r="B50" s="536"/>
      <c r="F50" s="17" t="s">
        <v>23</v>
      </c>
    </row>
    <row r="51" spans="2:6" ht="12.75">
      <c r="B51" s="536"/>
      <c r="F51" s="17" t="s">
        <v>22</v>
      </c>
    </row>
  </sheetData>
  <mergeCells count="1">
    <mergeCell ref="D6:D7"/>
  </mergeCells>
  <printOptions horizontalCentered="1"/>
  <pageMargins left="0.38" right="0.3937007874015748" top="0.43" bottom="0.3937007874015748" header="0.31" footer="0.1968503937007874"/>
  <pageSetup firstPageNumber="13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75" workbookViewId="0" topLeftCell="A37">
      <selection activeCell="D59" sqref="D59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70.00390625" style="1" customWidth="1"/>
    <col min="4" max="4" width="21.25390625" style="1" bestFit="1" customWidth="1"/>
    <col min="5" max="5" width="15.75390625" style="1" hidden="1" customWidth="1"/>
    <col min="6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1:7" ht="12.75" customHeight="1">
      <c r="A1" s="334"/>
      <c r="B1" s="334"/>
      <c r="C1" s="334"/>
      <c r="D1" s="334"/>
      <c r="E1" s="335"/>
      <c r="F1" s="335" t="s">
        <v>590</v>
      </c>
      <c r="G1" s="335"/>
    </row>
    <row r="2" spans="1:7" ht="12.75" customHeight="1">
      <c r="A2" s="334"/>
      <c r="B2" s="334"/>
      <c r="C2" s="334"/>
      <c r="D2" s="334"/>
      <c r="E2" s="334"/>
      <c r="F2" s="1" t="s">
        <v>186</v>
      </c>
      <c r="G2" s="334"/>
    </row>
    <row r="3" spans="1:7" ht="15" customHeight="1">
      <c r="A3" s="334"/>
      <c r="B3" s="334"/>
      <c r="C3" s="336" t="s">
        <v>583</v>
      </c>
      <c r="D3" s="334"/>
      <c r="E3" s="335"/>
      <c r="F3" s="1" t="s">
        <v>512</v>
      </c>
      <c r="G3" s="334"/>
    </row>
    <row r="4" spans="1:7" ht="12.75" customHeight="1">
      <c r="A4" s="334"/>
      <c r="B4" s="334"/>
      <c r="C4" s="334"/>
      <c r="D4" s="334"/>
      <c r="E4" s="335"/>
      <c r="F4" s="1" t="s">
        <v>265</v>
      </c>
      <c r="G4" s="334"/>
    </row>
    <row r="5" spans="1:7" ht="12.75" customHeight="1">
      <c r="A5" s="334"/>
      <c r="B5" s="334"/>
      <c r="C5" s="334"/>
      <c r="D5" s="334"/>
      <c r="E5" s="334"/>
      <c r="F5" s="334"/>
      <c r="G5" s="334"/>
    </row>
    <row r="6" spans="1:7" ht="12.75" customHeight="1" thickBot="1">
      <c r="A6" s="334"/>
      <c r="B6" s="334"/>
      <c r="C6" s="334"/>
      <c r="D6" s="337"/>
      <c r="E6" s="337"/>
      <c r="F6" s="337"/>
      <c r="G6" s="338" t="s">
        <v>514</v>
      </c>
    </row>
    <row r="7" spans="1:7" ht="10.5" customHeight="1" thickTop="1">
      <c r="A7" s="74"/>
      <c r="B7" s="74"/>
      <c r="C7" s="74"/>
      <c r="D7" s="1160" t="s">
        <v>596</v>
      </c>
      <c r="E7" s="339"/>
      <c r="F7" s="339"/>
      <c r="G7" s="339"/>
    </row>
    <row r="8" spans="1:7" ht="57.75" customHeight="1" thickBot="1">
      <c r="A8" s="340" t="s">
        <v>549</v>
      </c>
      <c r="B8" s="340" t="s">
        <v>516</v>
      </c>
      <c r="C8" s="341" t="s">
        <v>557</v>
      </c>
      <c r="D8" s="1162"/>
      <c r="E8" s="342" t="s">
        <v>519</v>
      </c>
      <c r="F8" s="342" t="s">
        <v>451</v>
      </c>
      <c r="G8" s="342" t="s">
        <v>520</v>
      </c>
    </row>
    <row r="9" spans="1:7" ht="11.25" customHeight="1" thickBot="1" thickTop="1">
      <c r="A9" s="343">
        <v>1</v>
      </c>
      <c r="B9" s="343">
        <v>2</v>
      </c>
      <c r="C9" s="343">
        <v>3</v>
      </c>
      <c r="D9" s="323">
        <v>4</v>
      </c>
      <c r="E9" s="323">
        <v>5</v>
      </c>
      <c r="F9" s="323">
        <v>5</v>
      </c>
      <c r="G9" s="323">
        <v>6</v>
      </c>
    </row>
    <row r="10" spans="1:9" ht="23.25" customHeight="1" thickBot="1" thickTop="1">
      <c r="A10" s="272"/>
      <c r="B10" s="272"/>
      <c r="C10" s="344" t="s">
        <v>558</v>
      </c>
      <c r="D10" s="345">
        <v>13597216</v>
      </c>
      <c r="E10" s="345"/>
      <c r="F10" s="345">
        <f>F12+F40+F44</f>
        <v>-243045</v>
      </c>
      <c r="G10" s="345">
        <f>D10+F10</f>
        <v>13354171</v>
      </c>
      <c r="H10" s="8"/>
      <c r="I10" s="8"/>
    </row>
    <row r="11" spans="1:7" ht="14.25" customHeight="1" thickTop="1">
      <c r="A11" s="92"/>
      <c r="B11" s="92"/>
      <c r="C11" s="346" t="s">
        <v>522</v>
      </c>
      <c r="D11" s="347"/>
      <c r="E11" s="347"/>
      <c r="F11" s="347"/>
      <c r="G11" s="347"/>
    </row>
    <row r="12" spans="1:7" s="11" customFormat="1" ht="15" customHeight="1" thickBot="1">
      <c r="A12" s="111"/>
      <c r="B12" s="111"/>
      <c r="C12" s="127" t="s">
        <v>559</v>
      </c>
      <c r="D12" s="103">
        <v>13454116</v>
      </c>
      <c r="E12" s="103"/>
      <c r="F12" s="103">
        <f>F13+F18+F21+F28+F36</f>
        <v>-271845</v>
      </c>
      <c r="G12" s="103">
        <f aca="true" t="shared" si="0" ref="G12:G27">D12+F12</f>
        <v>13182271</v>
      </c>
    </row>
    <row r="13" spans="1:7" s="11" customFormat="1" ht="18.75" customHeight="1" thickTop="1">
      <c r="A13" s="203">
        <v>600</v>
      </c>
      <c r="B13" s="203"/>
      <c r="C13" s="115" t="s">
        <v>626</v>
      </c>
      <c r="D13" s="201">
        <v>4435940</v>
      </c>
      <c r="E13" s="201"/>
      <c r="F13" s="201">
        <f>F14+F16</f>
        <v>-290000</v>
      </c>
      <c r="G13" s="201">
        <f t="shared" si="0"/>
        <v>4145940</v>
      </c>
    </row>
    <row r="14" spans="1:7" s="11" customFormat="1" ht="18.75" customHeight="1">
      <c r="A14" s="230"/>
      <c r="B14" s="245">
        <v>60015</v>
      </c>
      <c r="C14" s="176" t="s">
        <v>627</v>
      </c>
      <c r="D14" s="333">
        <v>3285940</v>
      </c>
      <c r="E14" s="333"/>
      <c r="F14" s="333">
        <f>F15</f>
        <v>-240000</v>
      </c>
      <c r="G14" s="251">
        <f>D14+F14</f>
        <v>3045940</v>
      </c>
    </row>
    <row r="15" spans="1:7" ht="18.75" customHeight="1">
      <c r="A15" s="230"/>
      <c r="B15" s="226"/>
      <c r="C15" s="348" t="s">
        <v>463</v>
      </c>
      <c r="D15" s="349">
        <v>400000</v>
      </c>
      <c r="E15" s="349"/>
      <c r="F15" s="349">
        <v>-240000</v>
      </c>
      <c r="G15" s="350">
        <f>D15+F15</f>
        <v>160000</v>
      </c>
    </row>
    <row r="16" spans="1:7" s="11" customFormat="1" ht="18.75" customHeight="1">
      <c r="A16" s="230"/>
      <c r="B16" s="245">
        <v>60016</v>
      </c>
      <c r="C16" s="176" t="s">
        <v>461</v>
      </c>
      <c r="D16" s="333">
        <v>1150000</v>
      </c>
      <c r="E16" s="333"/>
      <c r="F16" s="333">
        <f>F17</f>
        <v>-50000</v>
      </c>
      <c r="G16" s="251">
        <f t="shared" si="0"/>
        <v>1100000</v>
      </c>
    </row>
    <row r="17" spans="1:7" ht="18.75" customHeight="1">
      <c r="A17" s="230"/>
      <c r="B17" s="229"/>
      <c r="C17" s="348" t="s">
        <v>628</v>
      </c>
      <c r="D17" s="349">
        <v>1000000</v>
      </c>
      <c r="E17" s="349"/>
      <c r="F17" s="349">
        <v>-50000</v>
      </c>
      <c r="G17" s="350">
        <f t="shared" si="0"/>
        <v>950000</v>
      </c>
    </row>
    <row r="18" spans="1:7" ht="18.75" customHeight="1">
      <c r="A18" s="203">
        <v>750</v>
      </c>
      <c r="B18" s="203"/>
      <c r="C18" s="138" t="s">
        <v>526</v>
      </c>
      <c r="D18" s="201">
        <v>170000</v>
      </c>
      <c r="E18" s="201"/>
      <c r="F18" s="201">
        <f>F19</f>
        <v>-2500</v>
      </c>
      <c r="G18" s="201">
        <f>D18+F18</f>
        <v>167500</v>
      </c>
    </row>
    <row r="19" spans="1:7" ht="18.75" customHeight="1">
      <c r="A19" s="230"/>
      <c r="B19" s="245">
        <v>75022</v>
      </c>
      <c r="C19" s="176" t="s">
        <v>631</v>
      </c>
      <c r="D19" s="333">
        <v>20000</v>
      </c>
      <c r="E19" s="333"/>
      <c r="F19" s="333">
        <f>F20</f>
        <v>-2500</v>
      </c>
      <c r="G19" s="251">
        <f>D19+F19</f>
        <v>17500</v>
      </c>
    </row>
    <row r="20" spans="1:7" ht="18.75" customHeight="1">
      <c r="A20" s="230"/>
      <c r="B20" s="226"/>
      <c r="C20" s="348" t="s">
        <v>112</v>
      </c>
      <c r="D20" s="349">
        <v>20000</v>
      </c>
      <c r="E20" s="349"/>
      <c r="F20" s="349">
        <v>-2500</v>
      </c>
      <c r="G20" s="350">
        <f>D20+F20</f>
        <v>17500</v>
      </c>
    </row>
    <row r="21" spans="1:7" ht="18.75" customHeight="1">
      <c r="A21" s="203">
        <v>801</v>
      </c>
      <c r="B21" s="203"/>
      <c r="C21" s="115" t="s">
        <v>532</v>
      </c>
      <c r="D21" s="201">
        <v>2975367</v>
      </c>
      <c r="E21" s="201"/>
      <c r="F21" s="201">
        <f>F22+F24+F26</f>
        <v>-4900</v>
      </c>
      <c r="G21" s="201">
        <f t="shared" si="0"/>
        <v>2970467</v>
      </c>
    </row>
    <row r="22" spans="1:7" ht="18.75" customHeight="1">
      <c r="A22" s="230"/>
      <c r="B22" s="245">
        <v>80101</v>
      </c>
      <c r="C22" s="176" t="s">
        <v>533</v>
      </c>
      <c r="D22" s="333">
        <v>918760</v>
      </c>
      <c r="E22" s="333"/>
      <c r="F22" s="333">
        <f>F23</f>
        <v>2500</v>
      </c>
      <c r="G22" s="251">
        <f t="shared" si="0"/>
        <v>921260</v>
      </c>
    </row>
    <row r="23" spans="1:7" ht="18.75" customHeight="1">
      <c r="A23" s="230"/>
      <c r="B23" s="226"/>
      <c r="C23" s="348" t="s">
        <v>75</v>
      </c>
      <c r="D23" s="349">
        <v>918760</v>
      </c>
      <c r="E23" s="349"/>
      <c r="F23" s="349">
        <v>2500</v>
      </c>
      <c r="G23" s="350">
        <f t="shared" si="0"/>
        <v>921260</v>
      </c>
    </row>
    <row r="24" spans="1:7" ht="18.75" customHeight="1">
      <c r="A24" s="230"/>
      <c r="B24" s="245">
        <v>80104</v>
      </c>
      <c r="C24" s="228" t="s">
        <v>501</v>
      </c>
      <c r="D24" s="333">
        <v>127731</v>
      </c>
      <c r="E24" s="333"/>
      <c r="F24" s="333">
        <f>F25</f>
        <v>-8425</v>
      </c>
      <c r="G24" s="251">
        <f>D24+F24</f>
        <v>119306</v>
      </c>
    </row>
    <row r="25" spans="1:7" ht="18.75" customHeight="1">
      <c r="A25" s="230"/>
      <c r="B25" s="245"/>
      <c r="C25" s="475" t="s">
        <v>755</v>
      </c>
      <c r="D25" s="476">
        <v>127731</v>
      </c>
      <c r="E25" s="476"/>
      <c r="F25" s="476">
        <v>-8425</v>
      </c>
      <c r="G25" s="477">
        <f>D25+F25</f>
        <v>119306</v>
      </c>
    </row>
    <row r="26" spans="1:7" ht="18.75" customHeight="1">
      <c r="A26" s="230"/>
      <c r="B26" s="245">
        <v>80120</v>
      </c>
      <c r="C26" s="176" t="s">
        <v>535</v>
      </c>
      <c r="D26" s="333">
        <v>500000</v>
      </c>
      <c r="E26" s="333"/>
      <c r="F26" s="333">
        <f>F27</f>
        <v>1025</v>
      </c>
      <c r="G26" s="251">
        <f t="shared" si="0"/>
        <v>501025</v>
      </c>
    </row>
    <row r="27" spans="1:7" ht="18.75" customHeight="1">
      <c r="A27" s="230"/>
      <c r="B27" s="226"/>
      <c r="C27" s="348" t="s">
        <v>75</v>
      </c>
      <c r="D27" s="349">
        <v>500000</v>
      </c>
      <c r="E27" s="349"/>
      <c r="F27" s="349">
        <v>1025</v>
      </c>
      <c r="G27" s="350">
        <f t="shared" si="0"/>
        <v>501025</v>
      </c>
    </row>
    <row r="28" spans="1:7" ht="18.75" customHeight="1">
      <c r="A28" s="203">
        <v>852</v>
      </c>
      <c r="B28" s="203"/>
      <c r="C28" s="115" t="s">
        <v>511</v>
      </c>
      <c r="D28" s="201">
        <v>541790</v>
      </c>
      <c r="E28" s="201"/>
      <c r="F28" s="201">
        <f>F29+F32+F34</f>
        <v>-49445</v>
      </c>
      <c r="G28" s="201">
        <f aca="true" t="shared" si="1" ref="G28:G35">D28+F28</f>
        <v>492345</v>
      </c>
    </row>
    <row r="29" spans="1:7" ht="18.75" customHeight="1">
      <c r="A29" s="230"/>
      <c r="B29" s="245">
        <v>85201</v>
      </c>
      <c r="C29" s="176" t="s">
        <v>85</v>
      </c>
      <c r="D29" s="333">
        <v>238790</v>
      </c>
      <c r="E29" s="333"/>
      <c r="F29" s="333">
        <f>F30</f>
        <v>-101445</v>
      </c>
      <c r="G29" s="251">
        <f t="shared" si="1"/>
        <v>137345</v>
      </c>
    </row>
    <row r="30" spans="1:7" ht="18.75" customHeight="1">
      <c r="A30" s="230"/>
      <c r="B30" s="229"/>
      <c r="C30" s="690" t="s">
        <v>600</v>
      </c>
      <c r="D30" s="691">
        <v>238790</v>
      </c>
      <c r="E30" s="691"/>
      <c r="F30" s="691">
        <f>-1445-100000</f>
        <v>-101445</v>
      </c>
      <c r="G30" s="124">
        <f t="shared" si="1"/>
        <v>137345</v>
      </c>
    </row>
    <row r="31" spans="1:7" ht="18.75" customHeight="1">
      <c r="A31" s="1064"/>
      <c r="B31" s="1064"/>
      <c r="C31" s="1065"/>
      <c r="D31" s="1066"/>
      <c r="E31" s="1066"/>
      <c r="F31" s="1066"/>
      <c r="G31" s="1067"/>
    </row>
    <row r="32" spans="1:7" ht="18.75" customHeight="1">
      <c r="A32" s="230"/>
      <c r="B32" s="245">
        <v>85202</v>
      </c>
      <c r="C32" s="176" t="s">
        <v>240</v>
      </c>
      <c r="D32" s="333">
        <v>208000</v>
      </c>
      <c r="E32" s="333"/>
      <c r="F32" s="333">
        <f>F33</f>
        <v>22000</v>
      </c>
      <c r="G32" s="251">
        <f t="shared" si="1"/>
        <v>230000</v>
      </c>
    </row>
    <row r="33" spans="1:7" ht="18.75" customHeight="1">
      <c r="A33" s="230"/>
      <c r="B33" s="226"/>
      <c r="C33" s="348" t="s">
        <v>600</v>
      </c>
      <c r="D33" s="349">
        <v>208000</v>
      </c>
      <c r="E33" s="349"/>
      <c r="F33" s="349">
        <v>22000</v>
      </c>
      <c r="G33" s="350">
        <f t="shared" si="1"/>
        <v>230000</v>
      </c>
    </row>
    <row r="34" spans="1:7" ht="18.75" customHeight="1">
      <c r="A34" s="230"/>
      <c r="B34" s="245">
        <v>85219</v>
      </c>
      <c r="C34" s="176" t="s">
        <v>185</v>
      </c>
      <c r="D34" s="333">
        <v>10000</v>
      </c>
      <c r="E34" s="333"/>
      <c r="F34" s="333">
        <f>F35</f>
        <v>30000</v>
      </c>
      <c r="G34" s="251">
        <f t="shared" si="1"/>
        <v>40000</v>
      </c>
    </row>
    <row r="35" spans="1:7" ht="18.75" customHeight="1">
      <c r="A35" s="230"/>
      <c r="B35" s="226"/>
      <c r="C35" s="348" t="s">
        <v>190</v>
      </c>
      <c r="D35" s="349">
        <v>10000</v>
      </c>
      <c r="E35" s="349"/>
      <c r="F35" s="349">
        <v>30000</v>
      </c>
      <c r="G35" s="350">
        <f t="shared" si="1"/>
        <v>40000</v>
      </c>
    </row>
    <row r="36" spans="1:7" ht="18.75" customHeight="1">
      <c r="A36" s="203">
        <v>900</v>
      </c>
      <c r="B36" s="203"/>
      <c r="C36" s="222" t="s">
        <v>48</v>
      </c>
      <c r="D36" s="201">
        <v>170000</v>
      </c>
      <c r="E36" s="201"/>
      <c r="F36" s="201">
        <f>F37</f>
        <v>75000</v>
      </c>
      <c r="G36" s="201">
        <f aca="true" t="shared" si="2" ref="G36:G45">D36+F36</f>
        <v>245000</v>
      </c>
    </row>
    <row r="37" spans="1:7" ht="18.75" customHeight="1">
      <c r="A37" s="230"/>
      <c r="B37" s="245">
        <v>90001</v>
      </c>
      <c r="C37" s="176" t="s">
        <v>622</v>
      </c>
      <c r="D37" s="333">
        <v>100000</v>
      </c>
      <c r="E37" s="333"/>
      <c r="F37" s="333">
        <f>SUM(F38:F39)</f>
        <v>75000</v>
      </c>
      <c r="G37" s="251">
        <f t="shared" si="2"/>
        <v>175000</v>
      </c>
    </row>
    <row r="38" spans="1:7" ht="18.75" customHeight="1">
      <c r="A38" s="230"/>
      <c r="B38" s="229"/>
      <c r="C38" s="690" t="s">
        <v>459</v>
      </c>
      <c r="D38" s="691">
        <v>100000</v>
      </c>
      <c r="E38" s="691"/>
      <c r="F38" s="691">
        <v>50000</v>
      </c>
      <c r="G38" s="124">
        <f t="shared" si="2"/>
        <v>150000</v>
      </c>
    </row>
    <row r="39" spans="1:7" ht="18.75" customHeight="1">
      <c r="A39" s="230"/>
      <c r="B39" s="230"/>
      <c r="C39" s="692" t="s">
        <v>460</v>
      </c>
      <c r="D39" s="693"/>
      <c r="E39" s="693"/>
      <c r="F39" s="693">
        <v>25000</v>
      </c>
      <c r="G39" s="694">
        <f>D39+F39</f>
        <v>25000</v>
      </c>
    </row>
    <row r="40" spans="1:7" s="11" customFormat="1" ht="18" customHeight="1" thickBot="1">
      <c r="A40" s="111"/>
      <c r="B40" s="111"/>
      <c r="C40" s="127" t="s">
        <v>335</v>
      </c>
      <c r="D40" s="103"/>
      <c r="E40" s="103"/>
      <c r="F40" s="103">
        <f>F41</f>
        <v>2000</v>
      </c>
      <c r="G40" s="103">
        <f t="shared" si="2"/>
        <v>2000</v>
      </c>
    </row>
    <row r="41" spans="1:7" s="11" customFormat="1" ht="18.75" customHeight="1" thickTop="1">
      <c r="A41" s="203">
        <v>710</v>
      </c>
      <c r="B41" s="203"/>
      <c r="C41" s="115" t="s">
        <v>340</v>
      </c>
      <c r="D41" s="201"/>
      <c r="E41" s="201"/>
      <c r="F41" s="201">
        <f>F42</f>
        <v>2000</v>
      </c>
      <c r="G41" s="201">
        <f t="shared" si="2"/>
        <v>2000</v>
      </c>
    </row>
    <row r="42" spans="1:7" s="11" customFormat="1" ht="18.75" customHeight="1">
      <c r="A42" s="230"/>
      <c r="B42" s="245">
        <v>71035</v>
      </c>
      <c r="C42" s="176" t="s">
        <v>479</v>
      </c>
      <c r="D42" s="333"/>
      <c r="E42" s="333"/>
      <c r="F42" s="333">
        <f>F43</f>
        <v>2000</v>
      </c>
      <c r="G42" s="251">
        <f t="shared" si="2"/>
        <v>2000</v>
      </c>
    </row>
    <row r="43" spans="1:7" ht="18.75" customHeight="1">
      <c r="A43" s="230"/>
      <c r="B43" s="229"/>
      <c r="C43" s="348" t="s">
        <v>143</v>
      </c>
      <c r="D43" s="349"/>
      <c r="E43" s="349"/>
      <c r="F43" s="349">
        <v>2000</v>
      </c>
      <c r="G43" s="350">
        <f t="shared" si="2"/>
        <v>2000</v>
      </c>
    </row>
    <row r="44" spans="1:7" s="129" customFormat="1" ht="18.75" customHeight="1" thickBot="1">
      <c r="A44" s="211"/>
      <c r="B44" s="211"/>
      <c r="C44" s="207" t="s">
        <v>144</v>
      </c>
      <c r="D44" s="492">
        <v>143100</v>
      </c>
      <c r="E44" s="492"/>
      <c r="F44" s="492">
        <f>F46</f>
        <v>26800</v>
      </c>
      <c r="G44" s="492">
        <f t="shared" si="2"/>
        <v>169900</v>
      </c>
    </row>
    <row r="45" spans="1:7" s="129" customFormat="1" ht="18.75" customHeight="1" thickBot="1" thickTop="1">
      <c r="A45" s="211"/>
      <c r="B45" s="211"/>
      <c r="C45" s="130" t="s">
        <v>538</v>
      </c>
      <c r="D45" s="218">
        <v>50000</v>
      </c>
      <c r="E45" s="218"/>
      <c r="F45" s="218"/>
      <c r="G45" s="492">
        <f t="shared" si="2"/>
        <v>50000</v>
      </c>
    </row>
    <row r="46" spans="1:7" s="11" customFormat="1" ht="18" customHeight="1" thickBot="1" thickTop="1">
      <c r="A46" s="111"/>
      <c r="B46" s="111"/>
      <c r="C46" s="127" t="s">
        <v>556</v>
      </c>
      <c r="D46" s="103">
        <v>93100</v>
      </c>
      <c r="E46" s="103"/>
      <c r="F46" s="103">
        <f>F47+F50+F61</f>
        <v>26800</v>
      </c>
      <c r="G46" s="103">
        <f>D46+F46</f>
        <v>119900</v>
      </c>
    </row>
    <row r="47" spans="1:7" s="11" customFormat="1" ht="18.75" customHeight="1" thickTop="1">
      <c r="A47" s="203">
        <v>852</v>
      </c>
      <c r="B47" s="203"/>
      <c r="C47" s="115" t="s">
        <v>511</v>
      </c>
      <c r="D47" s="201"/>
      <c r="E47" s="201"/>
      <c r="F47" s="201">
        <f>F48</f>
        <v>26800</v>
      </c>
      <c r="G47" s="201">
        <f>D47+F47</f>
        <v>26800</v>
      </c>
    </row>
    <row r="48" spans="1:7" s="11" customFormat="1" ht="18.75" customHeight="1">
      <c r="A48" s="230"/>
      <c r="B48" s="245">
        <v>85203</v>
      </c>
      <c r="C48" s="176" t="s">
        <v>485</v>
      </c>
      <c r="D48" s="333"/>
      <c r="E48" s="333"/>
      <c r="F48" s="333">
        <f>F49</f>
        <v>26800</v>
      </c>
      <c r="G48" s="251">
        <f>D48+F48</f>
        <v>26800</v>
      </c>
    </row>
    <row r="49" spans="1:7" ht="18.75" customHeight="1">
      <c r="A49" s="245"/>
      <c r="B49" s="226"/>
      <c r="C49" s="348" t="s">
        <v>108</v>
      </c>
      <c r="D49" s="349"/>
      <c r="E49" s="349"/>
      <c r="F49" s="349">
        <v>26800</v>
      </c>
      <c r="G49" s="350">
        <f>D49+F49</f>
        <v>26800</v>
      </c>
    </row>
    <row r="50" s="139" customFormat="1" ht="18" customHeight="1">
      <c r="C50" s="68"/>
    </row>
    <row r="52" ht="12.75">
      <c r="C52" s="17" t="s">
        <v>24</v>
      </c>
    </row>
    <row r="53" ht="12.75">
      <c r="C53" s="17" t="s">
        <v>23</v>
      </c>
    </row>
    <row r="54" ht="12.75">
      <c r="C54" s="17" t="s">
        <v>22</v>
      </c>
    </row>
  </sheetData>
  <mergeCells count="1">
    <mergeCell ref="D7:D8"/>
  </mergeCells>
  <printOptions horizontalCentered="1"/>
  <pageMargins left="0.3937007874015748" right="0.3937007874015748" top="0.55" bottom="0.55" header="0.5118110236220472" footer="0.3937007874015748"/>
  <pageSetup firstPageNumber="15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1">
      <selection activeCell="D23" sqref="D23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4.875" style="0" customWidth="1"/>
    <col min="4" max="4" width="22.75390625" style="0" customWidth="1"/>
    <col min="5" max="5" width="14.125" style="0" customWidth="1"/>
    <col min="6" max="6" width="16.00390625" style="0" customWidth="1"/>
    <col min="7" max="7" width="36.125" style="0" customWidth="1"/>
  </cols>
  <sheetData>
    <row r="1" ht="14.25">
      <c r="G1" s="863" t="s">
        <v>589</v>
      </c>
    </row>
    <row r="2" spans="1:7" ht="15.75">
      <c r="A2" s="2" t="s">
        <v>254</v>
      </c>
      <c r="G2" s="863" t="s">
        <v>186</v>
      </c>
    </row>
    <row r="3" spans="1:36" s="139" customFormat="1" ht="17.25" customHeight="1">
      <c r="A3" s="2" t="s">
        <v>255</v>
      </c>
      <c r="G3" s="863" t="s">
        <v>512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39" customFormat="1" ht="17.25" customHeight="1">
      <c r="A4" s="2"/>
      <c r="G4" s="863" t="s">
        <v>265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3.5" thickBot="1">
      <c r="G5" s="3" t="s">
        <v>256</v>
      </c>
    </row>
    <row r="6" spans="1:36" s="1" customFormat="1" ht="82.5" customHeight="1" thickBot="1" thickTop="1">
      <c r="A6" s="5" t="s">
        <v>549</v>
      </c>
      <c r="B6" s="4" t="s">
        <v>516</v>
      </c>
      <c r="C6" s="4" t="s">
        <v>257</v>
      </c>
      <c r="D6" s="864" t="s">
        <v>258</v>
      </c>
      <c r="E6" s="864" t="s">
        <v>451</v>
      </c>
      <c r="F6" s="864" t="s">
        <v>259</v>
      </c>
      <c r="G6" s="864" t="s">
        <v>260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12" customHeight="1" thickBot="1" thickTop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869" customFormat="1" ht="19.5" customHeight="1" thickBot="1" thickTop="1">
      <c r="A8" s="865"/>
      <c r="B8" s="865"/>
      <c r="C8" s="866" t="s">
        <v>553</v>
      </c>
      <c r="D8" s="867">
        <v>28610389</v>
      </c>
      <c r="E8" s="867">
        <f>E9</f>
        <v>8200</v>
      </c>
      <c r="F8" s="867">
        <f>D8+E8</f>
        <v>28618589</v>
      </c>
      <c r="G8" s="86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30.75" customHeight="1" thickBot="1">
      <c r="A9" s="424"/>
      <c r="B9" s="424"/>
      <c r="C9" s="870" t="s">
        <v>261</v>
      </c>
      <c r="D9" s="871">
        <v>25658885</v>
      </c>
      <c r="E9" s="871">
        <f>E10</f>
        <v>8200</v>
      </c>
      <c r="F9" s="871">
        <f aca="true" t="shared" si="0" ref="F9:F14">D9+E9</f>
        <v>25667085</v>
      </c>
      <c r="G9" s="87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19.5" customHeight="1" thickTop="1">
      <c r="A10" s="402">
        <v>852</v>
      </c>
      <c r="B10" s="402"/>
      <c r="C10" s="873" t="s">
        <v>511</v>
      </c>
      <c r="D10" s="431">
        <v>3282000</v>
      </c>
      <c r="E10" s="431">
        <f>E11</f>
        <v>8200</v>
      </c>
      <c r="F10" s="874">
        <f t="shared" si="0"/>
        <v>3290200</v>
      </c>
      <c r="G10" s="43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" customFormat="1" ht="19.5" customHeight="1">
      <c r="A11" s="404"/>
      <c r="B11" s="436">
        <v>85202</v>
      </c>
      <c r="C11" s="491" t="s">
        <v>240</v>
      </c>
      <c r="D11" s="875">
        <v>327000</v>
      </c>
      <c r="E11" s="875">
        <f>E12</f>
        <v>8200</v>
      </c>
      <c r="F11" s="876">
        <f t="shared" si="0"/>
        <v>335200</v>
      </c>
      <c r="G11" s="50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" customFormat="1" ht="27.75" customHeight="1">
      <c r="A12" s="399"/>
      <c r="B12" s="404"/>
      <c r="C12" s="178" t="s">
        <v>252</v>
      </c>
      <c r="D12" s="878">
        <v>327000</v>
      </c>
      <c r="E12" s="878">
        <v>8200</v>
      </c>
      <c r="F12" s="878">
        <f t="shared" si="0"/>
        <v>335200</v>
      </c>
      <c r="G12" s="877" t="s">
        <v>264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7" customFormat="1" ht="21.75" customHeight="1" thickBot="1">
      <c r="A13" s="879"/>
      <c r="B13" s="879"/>
      <c r="C13" s="880" t="s">
        <v>262</v>
      </c>
      <c r="D13" s="881">
        <v>682104</v>
      </c>
      <c r="E13" s="881"/>
      <c r="F13" s="881">
        <f t="shared" si="0"/>
        <v>682104</v>
      </c>
      <c r="G13" s="88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7" s="17" customFormat="1" ht="21.75" customHeight="1" thickBot="1" thickTop="1">
      <c r="A14" s="403"/>
      <c r="B14" s="403"/>
      <c r="C14" s="883" t="s">
        <v>263</v>
      </c>
      <c r="D14" s="881">
        <v>2269400</v>
      </c>
      <c r="E14" s="881"/>
      <c r="F14" s="881">
        <f t="shared" si="0"/>
        <v>2269400</v>
      </c>
      <c r="G14" s="884"/>
    </row>
    <row r="15" ht="13.5" thickTop="1"/>
    <row r="18" ht="12.75">
      <c r="D18" s="17" t="s">
        <v>24</v>
      </c>
    </row>
    <row r="19" ht="12.75">
      <c r="D19" s="17" t="s">
        <v>23</v>
      </c>
    </row>
    <row r="20" ht="12.75">
      <c r="D20" s="17" t="s">
        <v>22</v>
      </c>
    </row>
  </sheetData>
  <printOptions horizontalCentered="1"/>
  <pageMargins left="0.5905511811023623" right="0.5905511811023623" top="0.984251968503937" bottom="0.984251968503937" header="0.5118110236220472" footer="0.5118110236220472"/>
  <pageSetup firstPageNumber="17" useFirstPageNumber="1"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workbookViewId="0" topLeftCell="B1">
      <selection activeCell="E32" sqref="E32"/>
    </sheetView>
  </sheetViews>
  <sheetFormatPr defaultColWidth="9.125" defaultRowHeight="12.75"/>
  <cols>
    <col min="1" max="1" width="4.875" style="900" hidden="1" customWidth="1"/>
    <col min="2" max="2" width="10.25390625" style="955" customWidth="1"/>
    <col min="3" max="3" width="14.00390625" style="955" customWidth="1"/>
    <col min="4" max="4" width="54.375" style="955" customWidth="1"/>
    <col min="5" max="5" width="24.00390625" style="955" customWidth="1"/>
    <col min="6" max="6" width="19.125" style="955" customWidth="1"/>
    <col min="7" max="7" width="19.375" style="955" customWidth="1"/>
    <col min="8" max="8" width="20.625" style="956" customWidth="1"/>
    <col min="9" max="9" width="16.75390625" style="900" customWidth="1"/>
    <col min="10" max="12" width="14.125" style="900" customWidth="1"/>
    <col min="13" max="13" width="0.12890625" style="900" customWidth="1"/>
    <col min="14" max="14" width="14.125" style="900" customWidth="1"/>
    <col min="15" max="16384" width="9.125" style="900" customWidth="1"/>
  </cols>
  <sheetData>
    <row r="1" spans="2:8" ht="0.75" customHeight="1">
      <c r="B1" s="901"/>
      <c r="C1" s="901"/>
      <c r="D1" s="902"/>
      <c r="E1" s="902"/>
      <c r="F1" s="902"/>
      <c r="G1" s="902"/>
      <c r="H1" s="903"/>
    </row>
    <row r="2" spans="4:20" s="904" customFormat="1" ht="21" customHeight="1">
      <c r="D2" s="905"/>
      <c r="E2" s="906"/>
      <c r="F2" s="906"/>
      <c r="G2" s="907" t="s">
        <v>129</v>
      </c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</row>
    <row r="3" spans="2:20" s="904" customFormat="1" ht="23.25" customHeight="1">
      <c r="B3" s="908" t="s">
        <v>113</v>
      </c>
      <c r="C3" s="905"/>
      <c r="D3" s="905"/>
      <c r="E3" s="906"/>
      <c r="F3" s="906"/>
      <c r="G3" s="139" t="s">
        <v>186</v>
      </c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</row>
    <row r="4" spans="2:20" s="904" customFormat="1" ht="20.25" customHeight="1">
      <c r="B4" s="908" t="s">
        <v>209</v>
      </c>
      <c r="C4" s="905"/>
      <c r="D4" s="909"/>
      <c r="E4" s="906"/>
      <c r="F4" s="906"/>
      <c r="G4" s="139" t="s">
        <v>512</v>
      </c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</row>
    <row r="5" spans="2:20" s="904" customFormat="1" ht="18.75" customHeight="1">
      <c r="B5" s="910"/>
      <c r="C5" s="909"/>
      <c r="D5" s="909"/>
      <c r="E5" s="906"/>
      <c r="F5" s="906"/>
      <c r="G5" s="139" t="s">
        <v>265</v>
      </c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</row>
    <row r="6" spans="2:20" s="904" customFormat="1" ht="18.75" customHeight="1">
      <c r="B6" s="910"/>
      <c r="C6" s="909"/>
      <c r="D6" s="909"/>
      <c r="E6" s="906"/>
      <c r="F6" s="906"/>
      <c r="G6" s="906"/>
      <c r="H6" s="911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</row>
    <row r="7" spans="2:20" s="912" customFormat="1" ht="12" customHeight="1" thickBot="1">
      <c r="B7" s="913"/>
      <c r="C7" s="913"/>
      <c r="D7" s="914"/>
      <c r="E7" s="915"/>
      <c r="F7" s="915"/>
      <c r="G7" s="915"/>
      <c r="H7" s="1125" t="s">
        <v>514</v>
      </c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</row>
    <row r="8" spans="2:8" ht="77.25" customHeight="1" thickBot="1" thickTop="1">
      <c r="B8" s="916" t="s">
        <v>549</v>
      </c>
      <c r="C8" s="916" t="s">
        <v>516</v>
      </c>
      <c r="D8" s="916" t="s">
        <v>499</v>
      </c>
      <c r="E8" s="917" t="s">
        <v>210</v>
      </c>
      <c r="F8" s="917" t="s">
        <v>519</v>
      </c>
      <c r="G8" s="917" t="s">
        <v>228</v>
      </c>
      <c r="H8" s="917" t="s">
        <v>520</v>
      </c>
    </row>
    <row r="9" spans="2:20" s="918" customFormat="1" ht="20.25" customHeight="1" thickBot="1" thickTop="1">
      <c r="B9" s="919">
        <v>1</v>
      </c>
      <c r="C9" s="919">
        <v>2</v>
      </c>
      <c r="D9" s="920">
        <v>3</v>
      </c>
      <c r="E9" s="919">
        <v>4</v>
      </c>
      <c r="F9" s="919">
        <v>5</v>
      </c>
      <c r="G9" s="919">
        <v>6</v>
      </c>
      <c r="H9" s="919">
        <v>7</v>
      </c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</row>
    <row r="10" spans="2:20" s="921" customFormat="1" ht="24" customHeight="1" thickTop="1">
      <c r="B10" s="922">
        <v>750</v>
      </c>
      <c r="C10" s="923"/>
      <c r="D10" s="924" t="s">
        <v>526</v>
      </c>
      <c r="E10" s="925">
        <v>409000</v>
      </c>
      <c r="F10" s="925">
        <f>F11</f>
        <v>2500</v>
      </c>
      <c r="G10" s="925">
        <f>G11</f>
        <v>2500</v>
      </c>
      <c r="H10" s="925">
        <f>E10+G10-F10</f>
        <v>409000</v>
      </c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</row>
    <row r="11" spans="2:20" s="926" customFormat="1" ht="21" customHeight="1">
      <c r="B11" s="927"/>
      <c r="C11" s="928">
        <v>75022</v>
      </c>
      <c r="D11" s="929" t="s">
        <v>631</v>
      </c>
      <c r="E11" s="930">
        <v>409000</v>
      </c>
      <c r="F11" s="930">
        <f>SUM(F17:F19)</f>
        <v>2500</v>
      </c>
      <c r="G11" s="930">
        <f>SUM(G17:G19)</f>
        <v>2500</v>
      </c>
      <c r="H11" s="930">
        <f aca="true" t="shared" si="0" ref="H11:H19">E11+G11-F11</f>
        <v>409000</v>
      </c>
      <c r="I11" s="931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</row>
    <row r="12" spans="2:20" s="932" customFormat="1" ht="18" customHeight="1" hidden="1">
      <c r="B12" s="933"/>
      <c r="C12" s="934"/>
      <c r="D12" s="935" t="s">
        <v>114</v>
      </c>
      <c r="E12" s="936"/>
      <c r="F12" s="936"/>
      <c r="G12" s="936"/>
      <c r="H12" s="937">
        <f t="shared" si="0"/>
        <v>0</v>
      </c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</row>
    <row r="13" spans="1:20" s="942" customFormat="1" ht="18" customHeight="1" hidden="1">
      <c r="A13" s="938"/>
      <c r="B13" s="939"/>
      <c r="C13" s="939"/>
      <c r="D13" s="940" t="s">
        <v>115</v>
      </c>
      <c r="E13" s="941"/>
      <c r="F13" s="941"/>
      <c r="G13" s="941"/>
      <c r="H13" s="941">
        <f t="shared" si="0"/>
        <v>0</v>
      </c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</row>
    <row r="14" spans="1:20" s="942" customFormat="1" ht="18" customHeight="1" hidden="1">
      <c r="A14" s="938"/>
      <c r="B14" s="939"/>
      <c r="C14" s="939"/>
      <c r="D14" s="940" t="s">
        <v>116</v>
      </c>
      <c r="E14" s="941"/>
      <c r="F14" s="941"/>
      <c r="G14" s="941"/>
      <c r="H14" s="941">
        <f t="shared" si="0"/>
        <v>0</v>
      </c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</row>
    <row r="15" spans="1:20" s="942" customFormat="1" ht="18" customHeight="1" hidden="1">
      <c r="A15" s="938"/>
      <c r="B15" s="939"/>
      <c r="C15" s="939"/>
      <c r="D15" s="940" t="s">
        <v>117</v>
      </c>
      <c r="E15" s="941"/>
      <c r="F15" s="941"/>
      <c r="G15" s="941"/>
      <c r="H15" s="941">
        <f t="shared" si="0"/>
        <v>0</v>
      </c>
      <c r="I15" s="900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</row>
    <row r="16" spans="1:20" s="946" customFormat="1" ht="18" customHeight="1" hidden="1">
      <c r="A16" s="943"/>
      <c r="B16" s="944"/>
      <c r="C16" s="944"/>
      <c r="D16" s="940" t="s">
        <v>118</v>
      </c>
      <c r="E16" s="945"/>
      <c r="F16" s="945"/>
      <c r="G16" s="945"/>
      <c r="H16" s="941">
        <f t="shared" si="0"/>
        <v>0</v>
      </c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</row>
    <row r="17" spans="1:20" s="947" customFormat="1" ht="18.75" customHeight="1">
      <c r="A17" s="948"/>
      <c r="B17" s="944"/>
      <c r="C17" s="944"/>
      <c r="D17" s="949" t="s">
        <v>119</v>
      </c>
      <c r="E17" s="950">
        <v>12000</v>
      </c>
      <c r="F17" s="950"/>
      <c r="G17" s="950">
        <v>1500</v>
      </c>
      <c r="H17" s="941">
        <f t="shared" si="0"/>
        <v>13500</v>
      </c>
      <c r="I17" s="900"/>
      <c r="J17" s="900"/>
      <c r="K17" s="900"/>
      <c r="L17" s="900"/>
      <c r="M17" s="900"/>
      <c r="N17" s="900"/>
      <c r="O17" s="900"/>
      <c r="P17" s="900"/>
      <c r="Q17" s="900"/>
      <c r="R17" s="900"/>
      <c r="S17" s="900"/>
      <c r="T17" s="900"/>
    </row>
    <row r="18" spans="1:20" s="947" customFormat="1" ht="18.75" customHeight="1">
      <c r="A18" s="948"/>
      <c r="B18" s="944"/>
      <c r="C18" s="944"/>
      <c r="D18" s="949" t="s">
        <v>120</v>
      </c>
      <c r="E18" s="950">
        <v>17400</v>
      </c>
      <c r="F18" s="950"/>
      <c r="G18" s="950">
        <v>1000</v>
      </c>
      <c r="H18" s="941">
        <f t="shared" si="0"/>
        <v>18400</v>
      </c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</row>
    <row r="19" spans="1:20" s="947" customFormat="1" ht="18.75" customHeight="1">
      <c r="A19" s="948"/>
      <c r="B19" s="951"/>
      <c r="C19" s="951"/>
      <c r="D19" s="952" t="s">
        <v>112</v>
      </c>
      <c r="E19" s="953">
        <v>20000</v>
      </c>
      <c r="F19" s="953">
        <v>2500</v>
      </c>
      <c r="G19" s="953"/>
      <c r="H19" s="954">
        <f t="shared" si="0"/>
        <v>17500</v>
      </c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</row>
    <row r="21" spans="4:6" ht="12.75">
      <c r="D21" s="957"/>
      <c r="F21" s="957"/>
    </row>
    <row r="22" spans="4:6" ht="12.75">
      <c r="D22" s="956"/>
      <c r="F22" s="957"/>
    </row>
    <row r="23" spans="4:6" ht="12.75">
      <c r="D23" s="957"/>
      <c r="F23" s="956"/>
    </row>
    <row r="24" spans="4:6" ht="12.75">
      <c r="D24" s="957"/>
      <c r="E24" s="17" t="s">
        <v>24</v>
      </c>
      <c r="F24" s="957"/>
    </row>
    <row r="25" spans="4:6" ht="12.75">
      <c r="D25" s="956"/>
      <c r="E25" s="17" t="s">
        <v>23</v>
      </c>
      <c r="F25" s="956"/>
    </row>
    <row r="26" spans="4:6" ht="12.75">
      <c r="D26" s="956"/>
      <c r="E26" s="17" t="s">
        <v>22</v>
      </c>
      <c r="F26" s="956"/>
    </row>
    <row r="27" ht="12.75">
      <c r="F27" s="956"/>
    </row>
  </sheetData>
  <printOptions horizontalCentered="1"/>
  <pageMargins left="0.4724409448818898" right="0.4724409448818898" top="0.984251968503937" bottom="0.984251968503937" header="0.5118110236220472" footer="0.5118110236220472"/>
  <pageSetup firstPageNumber="18" useFirstPageNumber="1" horizontalDpi="600" verticalDpi="6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75" workbookViewId="0" topLeftCell="A60">
      <selection activeCell="E77" sqref="E77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26"/>
      <c r="C1" s="27"/>
      <c r="D1" s="27"/>
      <c r="G1" s="28" t="s">
        <v>432</v>
      </c>
      <c r="H1" s="28"/>
    </row>
    <row r="2" spans="1:7" ht="13.5" customHeight="1">
      <c r="A2" s="153" t="s">
        <v>448</v>
      </c>
      <c r="B2" s="153"/>
      <c r="C2" s="153"/>
      <c r="D2" s="29"/>
      <c r="G2" s="1" t="s">
        <v>186</v>
      </c>
    </row>
    <row r="3" spans="1:7" ht="13.5" customHeight="1">
      <c r="A3" s="153" t="s">
        <v>613</v>
      </c>
      <c r="C3" s="160"/>
      <c r="D3" s="30"/>
      <c r="G3" s="1" t="s">
        <v>512</v>
      </c>
    </row>
    <row r="4" spans="1:7" ht="13.5" customHeight="1">
      <c r="A4" s="153" t="s">
        <v>584</v>
      </c>
      <c r="C4" s="160"/>
      <c r="D4" s="30"/>
      <c r="G4" s="1" t="s">
        <v>265</v>
      </c>
    </row>
    <row r="5" spans="1:9" ht="6" customHeight="1">
      <c r="A5" s="31"/>
      <c r="B5" s="31"/>
      <c r="C5" s="31"/>
      <c r="D5" s="31"/>
      <c r="E5" s="32"/>
      <c r="F5" s="32"/>
      <c r="G5" s="32"/>
      <c r="H5" s="32"/>
      <c r="I5" s="32"/>
    </row>
    <row r="6" spans="5:9" ht="12" customHeight="1" thickBot="1">
      <c r="E6" s="33"/>
      <c r="F6" s="33"/>
      <c r="G6" s="33"/>
      <c r="H6" s="33"/>
      <c r="I6" s="3" t="s">
        <v>514</v>
      </c>
    </row>
    <row r="7" spans="1:9" ht="15" customHeight="1" thickTop="1">
      <c r="A7" s="34"/>
      <c r="B7" s="34"/>
      <c r="C7" s="35" t="s">
        <v>551</v>
      </c>
      <c r="D7" s="1166" t="s">
        <v>564</v>
      </c>
      <c r="E7" s="1163" t="s">
        <v>451</v>
      </c>
      <c r="F7" s="134"/>
      <c r="G7" s="1166" t="s">
        <v>565</v>
      </c>
      <c r="H7" s="1163" t="s">
        <v>451</v>
      </c>
      <c r="I7" s="1163" t="s">
        <v>449</v>
      </c>
    </row>
    <row r="8" spans="1:9" ht="83.25" customHeight="1" thickBot="1">
      <c r="A8" s="128" t="s">
        <v>549</v>
      </c>
      <c r="B8" s="36" t="s">
        <v>614</v>
      </c>
      <c r="C8" s="36" t="s">
        <v>472</v>
      </c>
      <c r="D8" s="1167"/>
      <c r="E8" s="1164"/>
      <c r="F8" s="36" t="s">
        <v>561</v>
      </c>
      <c r="G8" s="1169"/>
      <c r="H8" s="1168"/>
      <c r="I8" s="1165"/>
    </row>
    <row r="9" spans="1:9" ht="14.25" customHeight="1" thickBot="1" thickTop="1">
      <c r="A9" s="6">
        <v>1</v>
      </c>
      <c r="B9" s="6">
        <v>2</v>
      </c>
      <c r="C9" s="6">
        <v>3</v>
      </c>
      <c r="D9" s="37">
        <v>4</v>
      </c>
      <c r="E9" s="37">
        <v>5</v>
      </c>
      <c r="F9" s="37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282"/>
      <c r="B10" s="283"/>
      <c r="C10" s="279" t="s">
        <v>452</v>
      </c>
      <c r="D10" s="286">
        <v>86294221</v>
      </c>
      <c r="E10" s="277">
        <f>E12+E21</f>
        <v>657655</v>
      </c>
      <c r="F10" s="277">
        <f>D10+E10</f>
        <v>86951876</v>
      </c>
      <c r="G10" s="277">
        <v>79369821</v>
      </c>
      <c r="H10" s="277">
        <f>H12+H21</f>
        <v>657655</v>
      </c>
      <c r="I10" s="277">
        <f>G10+H10</f>
        <v>80027476</v>
      </c>
    </row>
    <row r="11" spans="1:9" ht="12.75" customHeight="1">
      <c r="A11" s="253"/>
      <c r="B11" s="163"/>
      <c r="C11" s="280" t="s">
        <v>522</v>
      </c>
      <c r="D11" s="309"/>
      <c r="E11" s="278"/>
      <c r="F11" s="278"/>
      <c r="G11" s="278"/>
      <c r="H11" s="278"/>
      <c r="I11" s="284"/>
    </row>
    <row r="12" spans="1:9" ht="18" customHeight="1" thickBot="1">
      <c r="A12" s="513"/>
      <c r="B12" s="221"/>
      <c r="C12" s="498" t="s">
        <v>471</v>
      </c>
      <c r="D12" s="103">
        <v>60370967</v>
      </c>
      <c r="E12" s="499">
        <f>E13</f>
        <v>-53800</v>
      </c>
      <c r="F12" s="499">
        <f>D12+E12</f>
        <v>60317167</v>
      </c>
      <c r="G12" s="499">
        <v>59006967</v>
      </c>
      <c r="H12" s="499">
        <f>H13</f>
        <v>-53800</v>
      </c>
      <c r="I12" s="103">
        <f aca="true" t="shared" si="0" ref="I12:I17">G12+H12</f>
        <v>58953167</v>
      </c>
    </row>
    <row r="13" spans="1:9" ht="18.75" customHeight="1" thickTop="1">
      <c r="A13" s="154">
        <v>852</v>
      </c>
      <c r="B13" s="196"/>
      <c r="C13" s="132" t="s">
        <v>511</v>
      </c>
      <c r="D13" s="133">
        <v>57484000</v>
      </c>
      <c r="E13" s="133">
        <f>E17</f>
        <v>-53800</v>
      </c>
      <c r="F13" s="133">
        <f>D13+E13</f>
        <v>57430200</v>
      </c>
      <c r="G13" s="133">
        <v>57406000</v>
      </c>
      <c r="H13" s="133">
        <f>H14+H17</f>
        <v>-53800</v>
      </c>
      <c r="I13" s="133">
        <f t="shared" si="0"/>
        <v>57352200</v>
      </c>
    </row>
    <row r="14" spans="1:9" s="49" customFormat="1" ht="27.75" customHeight="1">
      <c r="A14" s="765"/>
      <c r="B14" s="766">
        <v>85212</v>
      </c>
      <c r="C14" s="508" t="s">
        <v>234</v>
      </c>
      <c r="D14" s="767">
        <v>45881000</v>
      </c>
      <c r="E14" s="767"/>
      <c r="F14" s="767">
        <f>D14+E14</f>
        <v>45881000</v>
      </c>
      <c r="G14" s="767">
        <v>45881000</v>
      </c>
      <c r="H14" s="767">
        <f>SUM(H15:H16)</f>
        <v>0</v>
      </c>
      <c r="I14" s="767">
        <f t="shared" si="0"/>
        <v>45881000</v>
      </c>
    </row>
    <row r="15" spans="1:9" s="51" customFormat="1" ht="18.75" customHeight="1">
      <c r="A15" s="768"/>
      <c r="B15" s="772"/>
      <c r="C15" s="509" t="s">
        <v>430</v>
      </c>
      <c r="D15" s="1000"/>
      <c r="E15" s="1000"/>
      <c r="F15" s="1000"/>
      <c r="G15" s="1000">
        <v>664650</v>
      </c>
      <c r="H15" s="1000">
        <v>145231</v>
      </c>
      <c r="I15" s="1000">
        <f t="shared" si="0"/>
        <v>809881</v>
      </c>
    </row>
    <row r="16" spans="1:9" s="997" customFormat="1" ht="18.75" customHeight="1">
      <c r="A16" s="768"/>
      <c r="B16" s="759"/>
      <c r="C16" s="999" t="s">
        <v>235</v>
      </c>
      <c r="D16" s="777"/>
      <c r="E16" s="998"/>
      <c r="F16" s="998"/>
      <c r="G16" s="998">
        <v>44981360</v>
      </c>
      <c r="H16" s="998">
        <v>-145231</v>
      </c>
      <c r="I16" s="998">
        <f t="shared" si="0"/>
        <v>44836129</v>
      </c>
    </row>
    <row r="17" spans="1:9" ht="18.75" customHeight="1">
      <c r="A17" s="197"/>
      <c r="B17" s="172">
        <v>85214</v>
      </c>
      <c r="C17" s="172" t="s">
        <v>474</v>
      </c>
      <c r="D17" s="199">
        <v>9258000</v>
      </c>
      <c r="E17" s="333">
        <f>E18</f>
        <v>-53800</v>
      </c>
      <c r="F17" s="333">
        <f>D17+E17</f>
        <v>9204200</v>
      </c>
      <c r="G17" s="333">
        <v>9258000</v>
      </c>
      <c r="H17" s="333">
        <f>H20</f>
        <v>-53800</v>
      </c>
      <c r="I17" s="333">
        <f t="shared" si="0"/>
        <v>9204200</v>
      </c>
    </row>
    <row r="18" spans="1:9" ht="25.5" customHeight="1">
      <c r="A18" s="92"/>
      <c r="B18" s="399"/>
      <c r="C18" s="505" t="s">
        <v>475</v>
      </c>
      <c r="D18" s="452">
        <v>9258000</v>
      </c>
      <c r="E18" s="452">
        <f>E19</f>
        <v>-53800</v>
      </c>
      <c r="F18" s="452">
        <f>D18+E18</f>
        <v>9204200</v>
      </c>
      <c r="G18" s="452"/>
      <c r="H18" s="452"/>
      <c r="I18" s="452"/>
    </row>
    <row r="19" spans="1:9" ht="25.5" customHeight="1">
      <c r="A19" s="92"/>
      <c r="B19" s="397">
        <v>2010</v>
      </c>
      <c r="C19" s="507" t="s">
        <v>476</v>
      </c>
      <c r="D19" s="453">
        <v>9258000</v>
      </c>
      <c r="E19" s="453">
        <v>-53800</v>
      </c>
      <c r="F19" s="453">
        <f>D19+E19</f>
        <v>9204200</v>
      </c>
      <c r="G19" s="453"/>
      <c r="H19" s="453"/>
      <c r="I19" s="453"/>
    </row>
    <row r="20" spans="1:9" ht="19.5" customHeight="1">
      <c r="A20" s="109"/>
      <c r="B20" s="404"/>
      <c r="C20" s="394" t="s">
        <v>477</v>
      </c>
      <c r="D20" s="529"/>
      <c r="E20" s="529"/>
      <c r="F20" s="529"/>
      <c r="G20" s="529">
        <v>9258000</v>
      </c>
      <c r="H20" s="529">
        <v>-53800</v>
      </c>
      <c r="I20" s="529">
        <f>SUM(G20:H20)</f>
        <v>9204200</v>
      </c>
    </row>
    <row r="21" spans="1:9" ht="21" customHeight="1" thickBot="1">
      <c r="A21" s="281"/>
      <c r="B21" s="177"/>
      <c r="C21" s="130" t="s">
        <v>556</v>
      </c>
      <c r="D21" s="131">
        <v>25923254</v>
      </c>
      <c r="E21" s="131">
        <f>E22+E27+E31+E40+E57</f>
        <v>711455</v>
      </c>
      <c r="F21" s="131">
        <f>SUM(D21:E21)</f>
        <v>26634709</v>
      </c>
      <c r="G21" s="131">
        <v>20362854</v>
      </c>
      <c r="H21" s="131">
        <f>H22+H27+H31+H40+H57</f>
        <v>711455</v>
      </c>
      <c r="I21" s="131">
        <f>SUM(G21:H21)</f>
        <v>21074309</v>
      </c>
    </row>
    <row r="22" spans="1:9" ht="18.75" customHeight="1" thickTop="1">
      <c r="A22" s="154">
        <v>700</v>
      </c>
      <c r="B22" s="196"/>
      <c r="C22" s="461" t="s">
        <v>603</v>
      </c>
      <c r="D22" s="133">
        <v>5756000</v>
      </c>
      <c r="E22" s="133">
        <f>E23</f>
        <v>394868</v>
      </c>
      <c r="F22" s="133">
        <f>SUM(D22:E22)</f>
        <v>6150868</v>
      </c>
      <c r="G22" s="133">
        <v>345000</v>
      </c>
      <c r="H22" s="133">
        <f>H23</f>
        <v>394868</v>
      </c>
      <c r="I22" s="133">
        <f>G22+H22</f>
        <v>739868</v>
      </c>
    </row>
    <row r="23" spans="1:9" ht="18.75" customHeight="1">
      <c r="A23" s="197"/>
      <c r="B23" s="172">
        <v>70005</v>
      </c>
      <c r="C23" s="442" t="s">
        <v>568</v>
      </c>
      <c r="D23" s="199">
        <v>5756000</v>
      </c>
      <c r="E23" s="333">
        <f>E24</f>
        <v>394868</v>
      </c>
      <c r="F23" s="333">
        <f>SUM(D23:E23)</f>
        <v>6150868</v>
      </c>
      <c r="G23" s="333">
        <v>345000</v>
      </c>
      <c r="H23" s="333">
        <f>H26</f>
        <v>394868</v>
      </c>
      <c r="I23" s="333">
        <f>G23+H23</f>
        <v>739868</v>
      </c>
    </row>
    <row r="24" spans="1:9" ht="25.5" customHeight="1">
      <c r="A24" s="92"/>
      <c r="B24" s="399"/>
      <c r="C24" s="445" t="s">
        <v>158</v>
      </c>
      <c r="D24" s="452">
        <v>345000</v>
      </c>
      <c r="E24" s="452">
        <f>E25</f>
        <v>394868</v>
      </c>
      <c r="F24" s="452">
        <f>SUM(D24:E24)</f>
        <v>739868</v>
      </c>
      <c r="G24" s="452"/>
      <c r="H24" s="452"/>
      <c r="I24" s="452"/>
    </row>
    <row r="25" spans="1:9" s="726" customFormat="1" ht="44.25" customHeight="1">
      <c r="A25" s="725"/>
      <c r="B25" s="136">
        <v>2110</v>
      </c>
      <c r="C25" s="739" t="s">
        <v>442</v>
      </c>
      <c r="D25" s="209">
        <v>345000</v>
      </c>
      <c r="E25" s="209">
        <v>394868</v>
      </c>
      <c r="F25" s="209">
        <f>SUM(D25:E25)</f>
        <v>739868</v>
      </c>
      <c r="G25" s="209"/>
      <c r="H25" s="209"/>
      <c r="I25" s="209"/>
    </row>
    <row r="26" spans="1:9" s="16" customFormat="1" ht="18.75" customHeight="1">
      <c r="A26" s="1001"/>
      <c r="B26" s="177"/>
      <c r="C26" s="877" t="s">
        <v>88</v>
      </c>
      <c r="D26" s="191"/>
      <c r="E26" s="191"/>
      <c r="F26" s="191"/>
      <c r="G26" s="191">
        <v>345000</v>
      </c>
      <c r="H26" s="191">
        <v>394868</v>
      </c>
      <c r="I26" s="191">
        <f aca="true" t="shared" si="1" ref="I26:I32">G26+H26</f>
        <v>739868</v>
      </c>
    </row>
    <row r="27" spans="1:9" ht="18.75" customHeight="1">
      <c r="A27" s="154">
        <v>750</v>
      </c>
      <c r="B27" s="196"/>
      <c r="C27" s="132" t="s">
        <v>526</v>
      </c>
      <c r="D27" s="133">
        <v>940144</v>
      </c>
      <c r="E27" s="133"/>
      <c r="F27" s="133">
        <f>SUM(D27:E27)</f>
        <v>940144</v>
      </c>
      <c r="G27" s="133">
        <v>940144</v>
      </c>
      <c r="H27" s="133"/>
      <c r="I27" s="133">
        <f t="shared" si="1"/>
        <v>940144</v>
      </c>
    </row>
    <row r="28" spans="1:9" ht="18.75" customHeight="1">
      <c r="A28" s="197"/>
      <c r="B28" s="172">
        <v>75045</v>
      </c>
      <c r="C28" s="491" t="s">
        <v>465</v>
      </c>
      <c r="D28" s="199">
        <v>106000</v>
      </c>
      <c r="E28" s="333"/>
      <c r="F28" s="333">
        <f>SUM(D28:E28)</f>
        <v>106000</v>
      </c>
      <c r="G28" s="333">
        <v>106000</v>
      </c>
      <c r="H28" s="333"/>
      <c r="I28" s="333">
        <f t="shared" si="1"/>
        <v>106000</v>
      </c>
    </row>
    <row r="29" spans="1:9" ht="18.75" customHeight="1">
      <c r="A29" s="92"/>
      <c r="B29" s="399"/>
      <c r="C29" s="481" t="s">
        <v>466</v>
      </c>
      <c r="D29" s="1078"/>
      <c r="E29" s="1078"/>
      <c r="F29" s="1078"/>
      <c r="G29" s="1078">
        <v>106000</v>
      </c>
      <c r="H29" s="1078"/>
      <c r="I29" s="1078">
        <f t="shared" si="1"/>
        <v>106000</v>
      </c>
    </row>
    <row r="30" spans="1:9" s="726" customFormat="1" ht="18.75" customHeight="1">
      <c r="A30" s="730"/>
      <c r="B30" s="136"/>
      <c r="C30" s="1079" t="s">
        <v>595</v>
      </c>
      <c r="D30" s="209"/>
      <c r="E30" s="209"/>
      <c r="F30" s="209"/>
      <c r="G30" s="209">
        <v>28000</v>
      </c>
      <c r="H30" s="209">
        <f>-2600+31925</f>
        <v>29325</v>
      </c>
      <c r="I30" s="209">
        <f t="shared" si="1"/>
        <v>57325</v>
      </c>
    </row>
    <row r="31" spans="1:9" ht="18.75" customHeight="1">
      <c r="A31" s="154">
        <v>752</v>
      </c>
      <c r="B31" s="196"/>
      <c r="C31" s="461" t="s">
        <v>225</v>
      </c>
      <c r="D31" s="133"/>
      <c r="E31" s="133">
        <f>E32</f>
        <v>1200</v>
      </c>
      <c r="F31" s="133">
        <f>SUM(D31:E31)</f>
        <v>1200</v>
      </c>
      <c r="G31" s="133"/>
      <c r="H31" s="133">
        <f>H32</f>
        <v>1200</v>
      </c>
      <c r="I31" s="133">
        <f t="shared" si="1"/>
        <v>1200</v>
      </c>
    </row>
    <row r="32" spans="1:9" ht="18.75" customHeight="1">
      <c r="A32" s="197"/>
      <c r="B32" s="172">
        <v>75212</v>
      </c>
      <c r="C32" s="442" t="s">
        <v>226</v>
      </c>
      <c r="D32" s="199"/>
      <c r="E32" s="333">
        <f>E33</f>
        <v>1200</v>
      </c>
      <c r="F32" s="333">
        <f>SUM(D32:E32)</f>
        <v>1200</v>
      </c>
      <c r="G32" s="333"/>
      <c r="H32" s="333">
        <f>H35</f>
        <v>1200</v>
      </c>
      <c r="I32" s="333">
        <f t="shared" si="1"/>
        <v>1200</v>
      </c>
    </row>
    <row r="33" spans="1:9" ht="18.75" customHeight="1">
      <c r="A33" s="105"/>
      <c r="B33" s="424"/>
      <c r="C33" s="457" t="s">
        <v>227</v>
      </c>
      <c r="D33" s="464"/>
      <c r="E33" s="464">
        <f>E34</f>
        <v>1200</v>
      </c>
      <c r="F33" s="464">
        <f>SUM(D33:E33)</f>
        <v>1200</v>
      </c>
      <c r="G33" s="464"/>
      <c r="H33" s="464"/>
      <c r="I33" s="464"/>
    </row>
    <row r="34" spans="1:9" s="726" customFormat="1" ht="40.5" customHeight="1">
      <c r="A34" s="725"/>
      <c r="B34" s="136">
        <v>2110</v>
      </c>
      <c r="C34" s="449" t="s">
        <v>442</v>
      </c>
      <c r="D34" s="117"/>
      <c r="E34" s="117">
        <v>1200</v>
      </c>
      <c r="F34" s="117">
        <f>SUM(D34:E34)</f>
        <v>1200</v>
      </c>
      <c r="G34" s="117"/>
      <c r="H34" s="117"/>
      <c r="I34" s="117"/>
    </row>
    <row r="35" spans="1:9" s="16" customFormat="1" ht="18.75" customHeight="1">
      <c r="A35" s="751"/>
      <c r="B35" s="90"/>
      <c r="C35" s="405" t="s">
        <v>98</v>
      </c>
      <c r="D35" s="184"/>
      <c r="E35" s="184"/>
      <c r="F35" s="184"/>
      <c r="G35" s="184"/>
      <c r="H35" s="184">
        <v>1200</v>
      </c>
      <c r="I35" s="184">
        <f aca="true" t="shared" si="2" ref="I35:I41">G35+H35</f>
        <v>1200</v>
      </c>
    </row>
    <row r="36" spans="1:9" s="726" customFormat="1" ht="18.75" customHeight="1" hidden="1">
      <c r="A36" s="223"/>
      <c r="B36" s="136">
        <v>4210</v>
      </c>
      <c r="C36" s="708" t="s">
        <v>525</v>
      </c>
      <c r="D36" s="117"/>
      <c r="E36" s="117"/>
      <c r="F36" s="117"/>
      <c r="G36" s="117">
        <v>6000</v>
      </c>
      <c r="H36" s="117">
        <v>1104</v>
      </c>
      <c r="I36" s="117">
        <f t="shared" si="2"/>
        <v>7104</v>
      </c>
    </row>
    <row r="37" spans="1:9" s="726" customFormat="1" ht="18.75" customHeight="1" hidden="1">
      <c r="A37" s="223"/>
      <c r="B37" s="322">
        <v>4260</v>
      </c>
      <c r="C37" s="719" t="s">
        <v>528</v>
      </c>
      <c r="D37" s="720"/>
      <c r="E37" s="720"/>
      <c r="F37" s="720"/>
      <c r="G37" s="720">
        <v>5000</v>
      </c>
      <c r="H37" s="720">
        <v>-1995</v>
      </c>
      <c r="I37" s="720">
        <f t="shared" si="2"/>
        <v>3005</v>
      </c>
    </row>
    <row r="38" spans="1:9" s="728" customFormat="1" ht="18.75" customHeight="1" hidden="1">
      <c r="A38" s="727"/>
      <c r="B38" s="136">
        <v>4300</v>
      </c>
      <c r="C38" s="710" t="s">
        <v>524</v>
      </c>
      <c r="D38" s="117"/>
      <c r="E38" s="117"/>
      <c r="F38" s="117"/>
      <c r="G38" s="117">
        <v>27000</v>
      </c>
      <c r="H38" s="117">
        <v>7836</v>
      </c>
      <c r="I38" s="117">
        <f t="shared" si="2"/>
        <v>34836</v>
      </c>
    </row>
    <row r="39" spans="1:9" s="726" customFormat="1" ht="18.75" customHeight="1">
      <c r="A39" s="727"/>
      <c r="B39" s="136"/>
      <c r="C39" s="1079" t="s">
        <v>595</v>
      </c>
      <c r="D39" s="117"/>
      <c r="E39" s="117"/>
      <c r="F39" s="117"/>
      <c r="G39" s="117"/>
      <c r="H39" s="117">
        <v>500</v>
      </c>
      <c r="I39" s="117">
        <f>G39+H39</f>
        <v>500</v>
      </c>
    </row>
    <row r="40" spans="1:9" ht="18.75" customHeight="1">
      <c r="A40" s="154">
        <v>852</v>
      </c>
      <c r="B40" s="196"/>
      <c r="C40" s="132" t="s">
        <v>511</v>
      </c>
      <c r="D40" s="133">
        <v>2441000</v>
      </c>
      <c r="E40" s="133">
        <f>E41</f>
        <v>292800</v>
      </c>
      <c r="F40" s="133">
        <f aca="true" t="shared" si="3" ref="F40:F45">D40+E40</f>
        <v>2733800</v>
      </c>
      <c r="G40" s="133">
        <v>2374000</v>
      </c>
      <c r="H40" s="133">
        <f>H41</f>
        <v>292800</v>
      </c>
      <c r="I40" s="133">
        <f t="shared" si="2"/>
        <v>2666800</v>
      </c>
    </row>
    <row r="41" spans="1:9" ht="18.75" customHeight="1">
      <c r="A41" s="197"/>
      <c r="B41" s="172">
        <v>85203</v>
      </c>
      <c r="C41" s="442" t="s">
        <v>485</v>
      </c>
      <c r="D41" s="199">
        <v>2190000</v>
      </c>
      <c r="E41" s="333">
        <f>E42+E44</f>
        <v>292800</v>
      </c>
      <c r="F41" s="333">
        <f t="shared" si="3"/>
        <v>2482800</v>
      </c>
      <c r="G41" s="333">
        <v>2123000</v>
      </c>
      <c r="H41" s="333">
        <f>H46+H51</f>
        <v>292800</v>
      </c>
      <c r="I41" s="333">
        <f t="shared" si="2"/>
        <v>2415800</v>
      </c>
    </row>
    <row r="42" spans="1:9" ht="26.25" customHeight="1">
      <c r="A42" s="92"/>
      <c r="B42" s="399"/>
      <c r="C42" s="445" t="s">
        <v>486</v>
      </c>
      <c r="D42" s="452">
        <v>2112000</v>
      </c>
      <c r="E42" s="452">
        <f>E43</f>
        <v>123800</v>
      </c>
      <c r="F42" s="452">
        <f t="shared" si="3"/>
        <v>2235800</v>
      </c>
      <c r="G42" s="452"/>
      <c r="H42" s="452"/>
      <c r="I42" s="452"/>
    </row>
    <row r="43" spans="1:9" ht="39.75" customHeight="1">
      <c r="A43" s="92"/>
      <c r="B43" s="397">
        <v>2110</v>
      </c>
      <c r="C43" s="449" t="s">
        <v>442</v>
      </c>
      <c r="D43" s="453">
        <v>2112000</v>
      </c>
      <c r="E43" s="453">
        <f>53800+70000</f>
        <v>123800</v>
      </c>
      <c r="F43" s="453">
        <f t="shared" si="3"/>
        <v>2235800</v>
      </c>
      <c r="G43" s="453"/>
      <c r="H43" s="453"/>
      <c r="I43" s="453"/>
    </row>
    <row r="44" spans="1:9" ht="26.25" customHeight="1">
      <c r="A44" s="92"/>
      <c r="B44" s="399"/>
      <c r="C44" s="524" t="s">
        <v>248</v>
      </c>
      <c r="D44" s="452">
        <v>11000</v>
      </c>
      <c r="E44" s="452">
        <f>E45</f>
        <v>169000</v>
      </c>
      <c r="F44" s="452">
        <f t="shared" si="3"/>
        <v>180000</v>
      </c>
      <c r="G44" s="452"/>
      <c r="H44" s="452"/>
      <c r="I44" s="452"/>
    </row>
    <row r="45" spans="1:9" ht="39.75" customHeight="1">
      <c r="A45" s="92"/>
      <c r="B45" s="397">
        <v>6410</v>
      </c>
      <c r="C45" s="525" t="s">
        <v>281</v>
      </c>
      <c r="D45" s="453">
        <v>11000</v>
      </c>
      <c r="E45" s="453">
        <f>10000+159000</f>
        <v>169000</v>
      </c>
      <c r="F45" s="453">
        <f t="shared" si="3"/>
        <v>180000</v>
      </c>
      <c r="G45" s="453"/>
      <c r="H45" s="453"/>
      <c r="I45" s="453"/>
    </row>
    <row r="46" spans="1:9" ht="39.75" customHeight="1">
      <c r="A46" s="109"/>
      <c r="B46" s="396"/>
      <c r="C46" s="528" t="s">
        <v>488</v>
      </c>
      <c r="D46" s="735"/>
      <c r="E46" s="735"/>
      <c r="F46" s="735"/>
      <c r="G46" s="735">
        <v>75600</v>
      </c>
      <c r="H46" s="735">
        <f>H47+H48+H49+H50</f>
        <v>63800</v>
      </c>
      <c r="I46" s="735">
        <f>SUM(G46:H46)</f>
        <v>139400</v>
      </c>
    </row>
    <row r="47" spans="1:9" ht="19.5" customHeight="1">
      <c r="A47" s="109"/>
      <c r="B47" s="92"/>
      <c r="C47" s="422" t="s">
        <v>430</v>
      </c>
      <c r="D47" s="736"/>
      <c r="E47" s="736"/>
      <c r="F47" s="736"/>
      <c r="G47" s="736">
        <v>40000</v>
      </c>
      <c r="H47" s="736">
        <v>21800</v>
      </c>
      <c r="I47" s="736">
        <f aca="true" t="shared" si="4" ref="I47:I58">G47+H47</f>
        <v>61800</v>
      </c>
    </row>
    <row r="48" spans="1:9" ht="19.5" customHeight="1">
      <c r="A48" s="109"/>
      <c r="B48" s="92"/>
      <c r="C48" s="737" t="s">
        <v>570</v>
      </c>
      <c r="D48" s="738"/>
      <c r="E48" s="738"/>
      <c r="F48" s="738"/>
      <c r="G48" s="738">
        <v>27520</v>
      </c>
      <c r="H48" s="738">
        <v>29980</v>
      </c>
      <c r="I48" s="738">
        <f t="shared" si="4"/>
        <v>57500</v>
      </c>
    </row>
    <row r="49" spans="1:9" ht="19.5" customHeight="1">
      <c r="A49" s="109"/>
      <c r="B49" s="92"/>
      <c r="C49" s="1002" t="s">
        <v>58</v>
      </c>
      <c r="D49" s="1003"/>
      <c r="E49" s="1003"/>
      <c r="F49" s="1003"/>
      <c r="G49" s="1003">
        <v>8080</v>
      </c>
      <c r="H49" s="1003">
        <v>2020</v>
      </c>
      <c r="I49" s="1003">
        <f t="shared" si="4"/>
        <v>10100</v>
      </c>
    </row>
    <row r="50" spans="1:9" ht="19.5" customHeight="1">
      <c r="A50" s="109"/>
      <c r="B50" s="92"/>
      <c r="C50" s="234" t="s">
        <v>615</v>
      </c>
      <c r="D50" s="204"/>
      <c r="E50" s="204"/>
      <c r="F50" s="204"/>
      <c r="G50" s="204"/>
      <c r="H50" s="204">
        <v>10000</v>
      </c>
      <c r="I50" s="204">
        <f t="shared" si="4"/>
        <v>10000</v>
      </c>
    </row>
    <row r="51" spans="1:9" s="1" customFormat="1" ht="26.25" customHeight="1">
      <c r="A51" s="92"/>
      <c r="B51" s="109"/>
      <c r="C51" s="528" t="s">
        <v>90</v>
      </c>
      <c r="D51" s="528"/>
      <c r="E51" s="528"/>
      <c r="F51" s="528"/>
      <c r="G51" s="528"/>
      <c r="H51" s="735">
        <f>H52+H53+H55+H56</f>
        <v>229000</v>
      </c>
      <c r="I51" s="735">
        <f t="shared" si="4"/>
        <v>229000</v>
      </c>
    </row>
    <row r="52" spans="1:9" s="1" customFormat="1" ht="18" customHeight="1">
      <c r="A52" s="92"/>
      <c r="B52" s="109"/>
      <c r="C52" s="422" t="s">
        <v>430</v>
      </c>
      <c r="D52" s="736"/>
      <c r="E52" s="736"/>
      <c r="F52" s="736"/>
      <c r="G52" s="736"/>
      <c r="H52" s="736">
        <v>3050</v>
      </c>
      <c r="I52" s="736">
        <f t="shared" si="4"/>
        <v>3050</v>
      </c>
    </row>
    <row r="53" spans="1:9" s="1" customFormat="1" ht="18" customHeight="1">
      <c r="A53" s="92"/>
      <c r="B53" s="109"/>
      <c r="C53" s="737" t="s">
        <v>570</v>
      </c>
      <c r="D53" s="738"/>
      <c r="E53" s="738"/>
      <c r="F53" s="738"/>
      <c r="G53" s="738"/>
      <c r="H53" s="738">
        <v>66335</v>
      </c>
      <c r="I53" s="738">
        <f t="shared" si="4"/>
        <v>66335</v>
      </c>
    </row>
    <row r="54" spans="1:9" s="1" customFormat="1" ht="18" customHeight="1">
      <c r="A54" s="92"/>
      <c r="B54" s="109"/>
      <c r="C54" s="1150" t="s">
        <v>567</v>
      </c>
      <c r="D54" s="1151"/>
      <c r="E54" s="1151"/>
      <c r="F54" s="1151"/>
      <c r="G54" s="1151"/>
      <c r="H54" s="1151">
        <v>28600</v>
      </c>
      <c r="I54" s="1151">
        <f>G54+H54</f>
        <v>28600</v>
      </c>
    </row>
    <row r="55" spans="1:9" s="1" customFormat="1" ht="18" customHeight="1">
      <c r="A55" s="92"/>
      <c r="B55" s="109"/>
      <c r="C55" s="234" t="s">
        <v>58</v>
      </c>
      <c r="D55" s="204"/>
      <c r="E55" s="204"/>
      <c r="F55" s="204"/>
      <c r="G55" s="204"/>
      <c r="H55" s="204">
        <v>615</v>
      </c>
      <c r="I55" s="204">
        <f t="shared" si="4"/>
        <v>615</v>
      </c>
    </row>
    <row r="56" spans="1:9" s="1" customFormat="1" ht="18" customHeight="1">
      <c r="A56" s="105"/>
      <c r="B56" s="111"/>
      <c r="C56" s="193" t="s">
        <v>615</v>
      </c>
      <c r="D56" s="191"/>
      <c r="E56" s="191"/>
      <c r="F56" s="191"/>
      <c r="G56" s="191"/>
      <c r="H56" s="191">
        <v>159000</v>
      </c>
      <c r="I56" s="191">
        <f t="shared" si="4"/>
        <v>159000</v>
      </c>
    </row>
    <row r="57" spans="1:9" ht="18.75" customHeight="1">
      <c r="A57" s="154">
        <v>853</v>
      </c>
      <c r="B57" s="196"/>
      <c r="C57" s="461" t="s">
        <v>560</v>
      </c>
      <c r="D57" s="133">
        <v>505585</v>
      </c>
      <c r="E57" s="133">
        <f>E58</f>
        <v>22587</v>
      </c>
      <c r="F57" s="133">
        <f>D57+E57</f>
        <v>528172</v>
      </c>
      <c r="G57" s="133">
        <v>505585</v>
      </c>
      <c r="H57" s="133">
        <f>H58</f>
        <v>22587</v>
      </c>
      <c r="I57" s="133">
        <f t="shared" si="4"/>
        <v>528172</v>
      </c>
    </row>
    <row r="58" spans="1:9" ht="18.75" customHeight="1">
      <c r="A58" s="197"/>
      <c r="B58" s="172">
        <v>85334</v>
      </c>
      <c r="C58" s="442" t="s">
        <v>440</v>
      </c>
      <c r="D58" s="199">
        <v>9585</v>
      </c>
      <c r="E58" s="333">
        <f>E59+E61</f>
        <v>22587</v>
      </c>
      <c r="F58" s="333">
        <f>D58+E58</f>
        <v>32172</v>
      </c>
      <c r="G58" s="333">
        <v>9585</v>
      </c>
      <c r="H58" s="333">
        <f>H61</f>
        <v>22587</v>
      </c>
      <c r="I58" s="333">
        <f t="shared" si="4"/>
        <v>32172</v>
      </c>
    </row>
    <row r="59" spans="1:9" ht="18.75" customHeight="1">
      <c r="A59" s="92"/>
      <c r="B59" s="399"/>
      <c r="C59" s="445" t="s">
        <v>441</v>
      </c>
      <c r="D59" s="452">
        <v>9585</v>
      </c>
      <c r="E59" s="452">
        <f>E60</f>
        <v>22587</v>
      </c>
      <c r="F59" s="452">
        <f>D59+E59</f>
        <v>32172</v>
      </c>
      <c r="G59" s="452"/>
      <c r="H59" s="452"/>
      <c r="I59" s="452"/>
    </row>
    <row r="60" spans="1:9" ht="39.75" customHeight="1">
      <c r="A60" s="92"/>
      <c r="B60" s="397">
        <v>2110</v>
      </c>
      <c r="C60" s="449" t="s">
        <v>442</v>
      </c>
      <c r="D60" s="453">
        <v>9585</v>
      </c>
      <c r="E60" s="453">
        <f>16383+6204</f>
        <v>22587</v>
      </c>
      <c r="F60" s="453">
        <f>D60+E60</f>
        <v>32172</v>
      </c>
      <c r="G60" s="453"/>
      <c r="H60" s="453"/>
      <c r="I60" s="453"/>
    </row>
    <row r="61" spans="1:9" ht="19.5" customHeight="1">
      <c r="A61" s="111"/>
      <c r="B61" s="105"/>
      <c r="C61" s="877" t="s">
        <v>443</v>
      </c>
      <c r="D61" s="179"/>
      <c r="E61" s="179"/>
      <c r="F61" s="179"/>
      <c r="G61" s="179">
        <v>9585</v>
      </c>
      <c r="H61" s="179">
        <v>22587</v>
      </c>
      <c r="I61" s="179">
        <f>G61+H61</f>
        <v>32172</v>
      </c>
    </row>
    <row r="67" ht="12.75">
      <c r="D67" s="17" t="s">
        <v>24</v>
      </c>
    </row>
    <row r="68" ht="12.75">
      <c r="D68" s="17" t="s">
        <v>23</v>
      </c>
    </row>
    <row r="69" ht="12.75">
      <c r="D69" s="17" t="s">
        <v>22</v>
      </c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4" bottom="0.55" header="0.5118110236220472" footer="0.5118110236220472"/>
  <pageSetup firstPageNumber="19" useFirstPageNumber="1" horizontalDpi="300" verticalDpi="300" orientation="landscape" paperSize="9" scale="7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75" workbookViewId="0" topLeftCell="A64">
      <selection activeCell="E77" sqref="E77"/>
    </sheetView>
  </sheetViews>
  <sheetFormatPr defaultColWidth="9.00390625" defaultRowHeight="12.75"/>
  <cols>
    <col min="1" max="1" width="5.375" style="1" customWidth="1"/>
    <col min="2" max="3" width="7.75390625" style="1" customWidth="1"/>
    <col min="4" max="4" width="65.625" style="1" customWidth="1"/>
    <col min="5" max="5" width="21.75390625" style="1" customWidth="1"/>
    <col min="6" max="6" width="17.25390625" style="1" customWidth="1"/>
    <col min="7" max="7" width="16.625" style="1" customWidth="1"/>
    <col min="8" max="8" width="18.875" style="1" customWidth="1"/>
    <col min="9" max="9" width="12.00390625" style="1" customWidth="1"/>
    <col min="10" max="10" width="11.125" style="1" customWidth="1"/>
    <col min="11" max="11" width="15.25390625" style="1" customWidth="1"/>
    <col min="12" max="16384" width="9.125" style="1" customWidth="1"/>
  </cols>
  <sheetData>
    <row r="1" spans="2:7" ht="15" customHeight="1">
      <c r="B1" s="17"/>
      <c r="C1" s="17"/>
      <c r="G1" s="1" t="s">
        <v>588</v>
      </c>
    </row>
    <row r="2" ht="15.75" customHeight="1">
      <c r="G2" s="1" t="s">
        <v>186</v>
      </c>
    </row>
    <row r="3" spans="4:7" ht="17.25" customHeight="1">
      <c r="D3" s="18" t="s">
        <v>580</v>
      </c>
      <c r="G3" s="1" t="s">
        <v>512</v>
      </c>
    </row>
    <row r="4" ht="17.25" customHeight="1">
      <c r="G4" s="1" t="s">
        <v>265</v>
      </c>
    </row>
    <row r="5" ht="17.25" customHeight="1" thickBot="1">
      <c r="H5" s="3" t="s">
        <v>514</v>
      </c>
    </row>
    <row r="6" spans="1:8" ht="88.5" customHeight="1" thickBot="1" thickTop="1">
      <c r="A6" s="324" t="s">
        <v>515</v>
      </c>
      <c r="B6" s="324" t="s">
        <v>516</v>
      </c>
      <c r="C6" s="84" t="s">
        <v>517</v>
      </c>
      <c r="D6" s="84" t="s">
        <v>541</v>
      </c>
      <c r="E6" s="84" t="s">
        <v>597</v>
      </c>
      <c r="F6" s="5" t="s">
        <v>552</v>
      </c>
      <c r="G6" s="5" t="s">
        <v>542</v>
      </c>
      <c r="H6" s="5" t="s">
        <v>520</v>
      </c>
    </row>
    <row r="7" spans="1:8" s="20" customFormat="1" ht="17.25" customHeight="1" thickBot="1" thickTop="1">
      <c r="A7" s="323">
        <v>1</v>
      </c>
      <c r="B7" s="323">
        <v>2</v>
      </c>
      <c r="C7" s="323">
        <v>3</v>
      </c>
      <c r="D7" s="323">
        <v>4</v>
      </c>
      <c r="E7" s="323">
        <v>5</v>
      </c>
      <c r="F7" s="19">
        <v>6</v>
      </c>
      <c r="G7" s="19">
        <v>7</v>
      </c>
      <c r="H7" s="19">
        <v>8</v>
      </c>
    </row>
    <row r="8" spans="1:11" ht="24" customHeight="1" thickBot="1" thickTop="1">
      <c r="A8" s="272"/>
      <c r="B8" s="272"/>
      <c r="C8" s="272"/>
      <c r="D8" s="273" t="s">
        <v>543</v>
      </c>
      <c r="E8" s="269">
        <v>774457855</v>
      </c>
      <c r="F8" s="269">
        <f>F10+F32</f>
        <v>53800</v>
      </c>
      <c r="G8" s="269">
        <f>G10+G32</f>
        <v>923656</v>
      </c>
      <c r="H8" s="269">
        <f>E8-F8+G8</f>
        <v>775327711</v>
      </c>
      <c r="I8" s="8">
        <f>G8-F8</f>
        <v>869856</v>
      </c>
      <c r="J8" s="8"/>
      <c r="K8" s="8"/>
    </row>
    <row r="9" spans="1:8" ht="16.5" customHeight="1" thickTop="1">
      <c r="A9" s="92"/>
      <c r="B9" s="92"/>
      <c r="C9" s="92"/>
      <c r="D9" s="92" t="s">
        <v>522</v>
      </c>
      <c r="E9" s="113"/>
      <c r="F9" s="113"/>
      <c r="G9" s="113"/>
      <c r="H9" s="113"/>
    </row>
    <row r="10" spans="1:11" ht="19.5" customHeight="1" thickBot="1">
      <c r="A10" s="92"/>
      <c r="B10" s="92"/>
      <c r="C10" s="92"/>
      <c r="D10" s="274" t="s">
        <v>598</v>
      </c>
      <c r="E10" s="270">
        <v>547465848</v>
      </c>
      <c r="F10" s="270">
        <f>F11+F12+F13+F21+F27</f>
        <v>53800</v>
      </c>
      <c r="G10" s="270">
        <f>G11+G12+G13+G21+G27</f>
        <v>83801</v>
      </c>
      <c r="H10" s="270">
        <f aca="true" t="shared" si="0" ref="H10:H59">E10-F10+G10</f>
        <v>547495849</v>
      </c>
      <c r="I10" s="8"/>
      <c r="K10" s="8"/>
    </row>
    <row r="11" spans="1:8" s="17" customFormat="1" ht="19.5" customHeight="1" thickBot="1">
      <c r="A11" s="163"/>
      <c r="B11" s="163"/>
      <c r="C11" s="163"/>
      <c r="D11" s="275" t="s">
        <v>544</v>
      </c>
      <c r="E11" s="131">
        <v>375547074</v>
      </c>
      <c r="F11" s="275"/>
      <c r="G11" s="275"/>
      <c r="H11" s="271">
        <f t="shared" si="0"/>
        <v>375547074</v>
      </c>
    </row>
    <row r="12" spans="1:8" s="17" customFormat="1" ht="19.5" customHeight="1" thickBot="1" thickTop="1">
      <c r="A12" s="163"/>
      <c r="B12" s="163"/>
      <c r="C12" s="163"/>
      <c r="D12" s="130" t="s">
        <v>83</v>
      </c>
      <c r="E12" s="483">
        <v>101029188</v>
      </c>
      <c r="F12" s="131"/>
      <c r="G12" s="131"/>
      <c r="H12" s="131">
        <f t="shared" si="0"/>
        <v>101029188</v>
      </c>
    </row>
    <row r="13" spans="1:8" s="17" customFormat="1" ht="19.5" customHeight="1" thickBot="1" thickTop="1">
      <c r="A13" s="163"/>
      <c r="B13" s="163"/>
      <c r="C13" s="163"/>
      <c r="D13" s="130" t="s">
        <v>546</v>
      </c>
      <c r="E13" s="131">
        <v>11622619</v>
      </c>
      <c r="F13" s="131"/>
      <c r="G13" s="131">
        <f>G14</f>
        <v>43801</v>
      </c>
      <c r="H13" s="131">
        <f t="shared" si="0"/>
        <v>11666420</v>
      </c>
    </row>
    <row r="14" spans="1:8" ht="19.5" customHeight="1" thickTop="1">
      <c r="A14" s="115">
        <v>801</v>
      </c>
      <c r="B14" s="115"/>
      <c r="C14" s="188"/>
      <c r="D14" s="132" t="s">
        <v>532</v>
      </c>
      <c r="E14" s="133">
        <v>12000</v>
      </c>
      <c r="F14" s="189"/>
      <c r="G14" s="189">
        <f>G15+G18</f>
        <v>43801</v>
      </c>
      <c r="H14" s="133">
        <f t="shared" si="0"/>
        <v>55801</v>
      </c>
    </row>
    <row r="15" spans="1:8" ht="19.5" customHeight="1">
      <c r="A15" s="135"/>
      <c r="B15" s="172">
        <v>80101</v>
      </c>
      <c r="C15" s="182"/>
      <c r="D15" s="172" t="s">
        <v>533</v>
      </c>
      <c r="E15" s="174">
        <v>12000</v>
      </c>
      <c r="F15" s="175"/>
      <c r="G15" s="175">
        <f>G16</f>
        <v>43101</v>
      </c>
      <c r="H15" s="174">
        <f t="shared" si="0"/>
        <v>55101</v>
      </c>
    </row>
    <row r="16" spans="1:8" ht="18.75" customHeight="1">
      <c r="A16" s="163"/>
      <c r="B16" s="163"/>
      <c r="C16" s="183"/>
      <c r="D16" s="180" t="s">
        <v>84</v>
      </c>
      <c r="E16" s="184"/>
      <c r="F16" s="185"/>
      <c r="G16" s="689">
        <f>G17</f>
        <v>43101</v>
      </c>
      <c r="H16" s="184">
        <f t="shared" si="0"/>
        <v>43101</v>
      </c>
    </row>
    <row r="17" spans="1:8" ht="27" customHeight="1">
      <c r="A17" s="163"/>
      <c r="B17" s="163"/>
      <c r="C17" s="186">
        <v>2030</v>
      </c>
      <c r="D17" s="187" t="s">
        <v>447</v>
      </c>
      <c r="E17" s="117"/>
      <c r="F17" s="117"/>
      <c r="G17" s="117">
        <v>43101</v>
      </c>
      <c r="H17" s="117">
        <f t="shared" si="0"/>
        <v>43101</v>
      </c>
    </row>
    <row r="18" spans="1:8" ht="19.5" customHeight="1">
      <c r="A18" s="163"/>
      <c r="B18" s="172">
        <v>80195</v>
      </c>
      <c r="C18" s="182"/>
      <c r="D18" s="172" t="s">
        <v>531</v>
      </c>
      <c r="E18" s="174"/>
      <c r="F18" s="175"/>
      <c r="G18" s="175">
        <f>G19</f>
        <v>700</v>
      </c>
      <c r="H18" s="174">
        <f>E18-F18+G18</f>
        <v>700</v>
      </c>
    </row>
    <row r="19" spans="1:8" ht="24" customHeight="1">
      <c r="A19" s="163"/>
      <c r="B19" s="163"/>
      <c r="C19" s="183"/>
      <c r="D19" s="180" t="s">
        <v>280</v>
      </c>
      <c r="E19" s="184"/>
      <c r="F19" s="185"/>
      <c r="G19" s="689">
        <f>G20</f>
        <v>700</v>
      </c>
      <c r="H19" s="184">
        <f>E19-F19+G19</f>
        <v>700</v>
      </c>
    </row>
    <row r="20" spans="1:8" ht="27" customHeight="1">
      <c r="A20" s="163"/>
      <c r="B20" s="163"/>
      <c r="C20" s="186">
        <v>2030</v>
      </c>
      <c r="D20" s="187" t="s">
        <v>447</v>
      </c>
      <c r="E20" s="117"/>
      <c r="F20" s="117"/>
      <c r="G20" s="117">
        <v>700</v>
      </c>
      <c r="H20" s="117">
        <f>E20-F20+G20</f>
        <v>700</v>
      </c>
    </row>
    <row r="21" spans="1:8" s="17" customFormat="1" ht="21" customHeight="1" thickBot="1">
      <c r="A21" s="163"/>
      <c r="B21" s="163"/>
      <c r="C21" s="163"/>
      <c r="D21" s="130" t="s">
        <v>435</v>
      </c>
      <c r="E21" s="131">
        <v>260000</v>
      </c>
      <c r="F21" s="131"/>
      <c r="G21" s="131">
        <f>G22</f>
        <v>40000</v>
      </c>
      <c r="H21" s="131">
        <f t="shared" si="0"/>
        <v>300000</v>
      </c>
    </row>
    <row r="22" spans="1:8" ht="19.5" customHeight="1" thickTop="1">
      <c r="A22" s="115">
        <v>710</v>
      </c>
      <c r="B22" s="115"/>
      <c r="C22" s="188"/>
      <c r="D22" s="522" t="s">
        <v>478</v>
      </c>
      <c r="E22" s="133"/>
      <c r="F22" s="133"/>
      <c r="G22" s="133">
        <f>G23</f>
        <v>40000</v>
      </c>
      <c r="H22" s="133">
        <f t="shared" si="0"/>
        <v>40000</v>
      </c>
    </row>
    <row r="23" spans="1:8" ht="19.5" customHeight="1">
      <c r="A23" s="135"/>
      <c r="B23" s="172">
        <v>71035</v>
      </c>
      <c r="C23" s="182"/>
      <c r="D23" s="523" t="s">
        <v>479</v>
      </c>
      <c r="E23" s="174"/>
      <c r="F23" s="174"/>
      <c r="G23" s="174">
        <f>G24</f>
        <v>40000</v>
      </c>
      <c r="H23" s="174">
        <f t="shared" si="0"/>
        <v>40000</v>
      </c>
    </row>
    <row r="24" spans="1:8" ht="27" customHeight="1">
      <c r="A24" s="92"/>
      <c r="B24" s="92"/>
      <c r="C24" s="504"/>
      <c r="D24" s="524" t="s">
        <v>480</v>
      </c>
      <c r="E24" s="184"/>
      <c r="F24" s="184"/>
      <c r="G24" s="184">
        <f>G25</f>
        <v>40000</v>
      </c>
      <c r="H24" s="184">
        <f t="shared" si="0"/>
        <v>40000</v>
      </c>
    </row>
    <row r="25" spans="1:8" ht="27" customHeight="1">
      <c r="A25" s="163"/>
      <c r="B25" s="163"/>
      <c r="C25" s="1080">
        <v>2020</v>
      </c>
      <c r="D25" s="1081" t="s">
        <v>481</v>
      </c>
      <c r="E25" s="515"/>
      <c r="F25" s="515"/>
      <c r="G25" s="515">
        <v>40000</v>
      </c>
      <c r="H25" s="515">
        <f t="shared" si="0"/>
        <v>40000</v>
      </c>
    </row>
    <row r="26" spans="1:8" ht="27" customHeight="1">
      <c r="A26" s="1082"/>
      <c r="B26" s="1082"/>
      <c r="C26" s="1083"/>
      <c r="D26" s="1059"/>
      <c r="E26" s="1073"/>
      <c r="F26" s="1073"/>
      <c r="G26" s="1073"/>
      <c r="H26" s="1073"/>
    </row>
    <row r="27" spans="1:8" s="17" customFormat="1" ht="30.75" customHeight="1" thickBot="1">
      <c r="A27" s="163"/>
      <c r="B27" s="163"/>
      <c r="C27" s="163"/>
      <c r="D27" s="130" t="s">
        <v>547</v>
      </c>
      <c r="E27" s="131">
        <v>59006967</v>
      </c>
      <c r="F27" s="131">
        <f>F28</f>
        <v>53800</v>
      </c>
      <c r="G27" s="131"/>
      <c r="H27" s="131">
        <f t="shared" si="0"/>
        <v>58953167</v>
      </c>
    </row>
    <row r="28" spans="1:8" ht="19.5" customHeight="1" thickTop="1">
      <c r="A28" s="115">
        <v>852</v>
      </c>
      <c r="B28" s="115"/>
      <c r="C28" s="188"/>
      <c r="D28" s="132" t="s">
        <v>511</v>
      </c>
      <c r="E28" s="133">
        <v>57406000</v>
      </c>
      <c r="F28" s="133">
        <f>F29</f>
        <v>53800</v>
      </c>
      <c r="G28" s="133"/>
      <c r="H28" s="133">
        <f t="shared" si="0"/>
        <v>57352200</v>
      </c>
    </row>
    <row r="29" spans="1:8" ht="19.5" customHeight="1">
      <c r="A29" s="135"/>
      <c r="B29" s="172">
        <v>85214</v>
      </c>
      <c r="C29" s="182"/>
      <c r="D29" s="172" t="s">
        <v>474</v>
      </c>
      <c r="E29" s="174">
        <v>9258000</v>
      </c>
      <c r="F29" s="174">
        <f>F30</f>
        <v>53800</v>
      </c>
      <c r="G29" s="174"/>
      <c r="H29" s="174">
        <f t="shared" si="0"/>
        <v>9204200</v>
      </c>
    </row>
    <row r="30" spans="1:8" ht="27" customHeight="1">
      <c r="A30" s="92"/>
      <c r="B30" s="92"/>
      <c r="C30" s="504"/>
      <c r="D30" s="505" t="s">
        <v>475</v>
      </c>
      <c r="E30" s="184">
        <v>9258000</v>
      </c>
      <c r="F30" s="184">
        <f>F31</f>
        <v>53800</v>
      </c>
      <c r="G30" s="689"/>
      <c r="H30" s="184">
        <f t="shared" si="0"/>
        <v>9204200</v>
      </c>
    </row>
    <row r="31" spans="1:8" ht="27" customHeight="1">
      <c r="A31" s="163"/>
      <c r="B31" s="163"/>
      <c r="C31" s="506">
        <v>2010</v>
      </c>
      <c r="D31" s="507" t="s">
        <v>476</v>
      </c>
      <c r="E31" s="117">
        <v>9258000</v>
      </c>
      <c r="F31" s="117">
        <v>53800</v>
      </c>
      <c r="G31" s="117"/>
      <c r="H31" s="117">
        <f t="shared" si="0"/>
        <v>9204200</v>
      </c>
    </row>
    <row r="32" spans="1:9" ht="24" customHeight="1" thickBot="1">
      <c r="A32" s="92"/>
      <c r="B32" s="92"/>
      <c r="C32" s="92"/>
      <c r="D32" s="274" t="s">
        <v>599</v>
      </c>
      <c r="E32" s="270">
        <v>226992007</v>
      </c>
      <c r="F32" s="270"/>
      <c r="G32" s="270">
        <f>G33+G34+G35+G44+G45</f>
        <v>839855</v>
      </c>
      <c r="H32" s="270">
        <f t="shared" si="0"/>
        <v>227831862</v>
      </c>
      <c r="I32" s="8"/>
    </row>
    <row r="33" spans="1:8" s="164" customFormat="1" ht="21" customHeight="1" thickBot="1">
      <c r="A33" s="163"/>
      <c r="B33" s="163"/>
      <c r="C33" s="163"/>
      <c r="D33" s="276" t="s">
        <v>544</v>
      </c>
      <c r="E33" s="482">
        <v>63095330</v>
      </c>
      <c r="F33" s="271"/>
      <c r="G33" s="271"/>
      <c r="H33" s="271">
        <f t="shared" si="0"/>
        <v>63095330</v>
      </c>
    </row>
    <row r="34" spans="1:8" s="17" customFormat="1" ht="21" customHeight="1" thickBot="1" thickTop="1">
      <c r="A34" s="163"/>
      <c r="B34" s="163"/>
      <c r="C34" s="163"/>
      <c r="D34" s="130" t="s">
        <v>545</v>
      </c>
      <c r="E34" s="107">
        <v>131335640</v>
      </c>
      <c r="F34" s="107"/>
      <c r="G34" s="107"/>
      <c r="H34" s="107">
        <f t="shared" si="0"/>
        <v>131335640</v>
      </c>
    </row>
    <row r="35" spans="1:8" s="17" customFormat="1" ht="21" customHeight="1" thickBot="1" thickTop="1">
      <c r="A35" s="176"/>
      <c r="B35" s="176"/>
      <c r="C35" s="176"/>
      <c r="D35" s="455" t="s">
        <v>546</v>
      </c>
      <c r="E35" s="456">
        <v>8134070</v>
      </c>
      <c r="F35" s="456"/>
      <c r="G35" s="456">
        <f>G36+G40</f>
        <v>128400</v>
      </c>
      <c r="H35" s="456">
        <f t="shared" si="0"/>
        <v>8262470</v>
      </c>
    </row>
    <row r="36" spans="1:8" ht="19.5" customHeight="1" thickTop="1">
      <c r="A36" s="115">
        <v>801</v>
      </c>
      <c r="B36" s="115"/>
      <c r="C36" s="188"/>
      <c r="D36" s="132" t="s">
        <v>532</v>
      </c>
      <c r="E36" s="133"/>
      <c r="F36" s="189"/>
      <c r="G36" s="189">
        <f>G37+G44</f>
        <v>800</v>
      </c>
      <c r="H36" s="133">
        <f aca="true" t="shared" si="1" ref="H36:H43">E36-F36+G36</f>
        <v>800</v>
      </c>
    </row>
    <row r="37" spans="1:8" ht="19.5" customHeight="1">
      <c r="A37" s="135"/>
      <c r="B37" s="172">
        <v>80195</v>
      </c>
      <c r="C37" s="182"/>
      <c r="D37" s="172" t="s">
        <v>531</v>
      </c>
      <c r="E37" s="174"/>
      <c r="F37" s="175"/>
      <c r="G37" s="175">
        <f>G38</f>
        <v>800</v>
      </c>
      <c r="H37" s="174">
        <f t="shared" si="1"/>
        <v>800</v>
      </c>
    </row>
    <row r="38" spans="1:8" ht="27" customHeight="1">
      <c r="A38" s="163"/>
      <c r="B38" s="163"/>
      <c r="C38" s="183"/>
      <c r="D38" s="180" t="s">
        <v>280</v>
      </c>
      <c r="E38" s="184"/>
      <c r="F38" s="185"/>
      <c r="G38" s="689">
        <f>G39</f>
        <v>800</v>
      </c>
      <c r="H38" s="184">
        <f t="shared" si="1"/>
        <v>800</v>
      </c>
    </row>
    <row r="39" spans="1:8" ht="27" customHeight="1">
      <c r="A39" s="163"/>
      <c r="B39" s="163"/>
      <c r="C39" s="186">
        <v>2130</v>
      </c>
      <c r="D39" s="187" t="s">
        <v>307</v>
      </c>
      <c r="E39" s="117"/>
      <c r="F39" s="117"/>
      <c r="G39" s="117">
        <v>800</v>
      </c>
      <c r="H39" s="117">
        <f t="shared" si="1"/>
        <v>800</v>
      </c>
    </row>
    <row r="40" spans="1:8" ht="19.5" customHeight="1">
      <c r="A40" s="115">
        <v>852</v>
      </c>
      <c r="B40" s="115"/>
      <c r="C40" s="188"/>
      <c r="D40" s="132" t="s">
        <v>511</v>
      </c>
      <c r="E40" s="133">
        <v>8108000</v>
      </c>
      <c r="F40" s="133"/>
      <c r="G40" s="133">
        <f>G41</f>
        <v>127600</v>
      </c>
      <c r="H40" s="133">
        <f t="shared" si="1"/>
        <v>8235600</v>
      </c>
    </row>
    <row r="41" spans="1:8" ht="19.5" customHeight="1">
      <c r="A41" s="135"/>
      <c r="B41" s="172">
        <v>85202</v>
      </c>
      <c r="C41" s="182"/>
      <c r="D41" s="172" t="s">
        <v>240</v>
      </c>
      <c r="E41" s="174">
        <v>7898000</v>
      </c>
      <c r="F41" s="174"/>
      <c r="G41" s="174">
        <f>G42</f>
        <v>127600</v>
      </c>
      <c r="H41" s="174">
        <f t="shared" si="1"/>
        <v>8025600</v>
      </c>
    </row>
    <row r="42" spans="1:8" ht="18.75" customHeight="1">
      <c r="A42" s="163"/>
      <c r="B42" s="163"/>
      <c r="C42" s="183"/>
      <c r="D42" s="180" t="s">
        <v>279</v>
      </c>
      <c r="E42" s="184">
        <v>7858000</v>
      </c>
      <c r="F42" s="185"/>
      <c r="G42" s="689">
        <f>G43</f>
        <v>127600</v>
      </c>
      <c r="H42" s="184">
        <f t="shared" si="1"/>
        <v>7985600</v>
      </c>
    </row>
    <row r="43" spans="1:8" ht="27" customHeight="1">
      <c r="A43" s="163"/>
      <c r="B43" s="163"/>
      <c r="C43" s="186">
        <v>2130</v>
      </c>
      <c r="D43" s="187" t="s">
        <v>307</v>
      </c>
      <c r="E43" s="117">
        <v>7858000</v>
      </c>
      <c r="F43" s="117"/>
      <c r="G43" s="117">
        <v>127600</v>
      </c>
      <c r="H43" s="117">
        <f t="shared" si="1"/>
        <v>7985600</v>
      </c>
    </row>
    <row r="44" spans="1:8" s="17" customFormat="1" ht="22.5" customHeight="1" thickBot="1">
      <c r="A44" s="163"/>
      <c r="B44" s="163"/>
      <c r="C44" s="163"/>
      <c r="D44" s="130" t="s">
        <v>435</v>
      </c>
      <c r="E44" s="107">
        <v>4064113</v>
      </c>
      <c r="F44" s="107"/>
      <c r="G44" s="107"/>
      <c r="H44" s="492">
        <f t="shared" si="0"/>
        <v>4064113</v>
      </c>
    </row>
    <row r="45" spans="1:8" s="17" customFormat="1" ht="30.75" customHeight="1" thickBot="1" thickTop="1">
      <c r="A45" s="176"/>
      <c r="B45" s="176"/>
      <c r="C45" s="176"/>
      <c r="D45" s="455" t="s">
        <v>548</v>
      </c>
      <c r="E45" s="456">
        <v>20362854</v>
      </c>
      <c r="F45" s="456"/>
      <c r="G45" s="456">
        <f>G46+G52+G56+G62</f>
        <v>711455</v>
      </c>
      <c r="H45" s="456">
        <f t="shared" si="0"/>
        <v>21074309</v>
      </c>
    </row>
    <row r="46" spans="1:8" s="17" customFormat="1" ht="19.5" customHeight="1" thickTop="1">
      <c r="A46" s="458">
        <v>700</v>
      </c>
      <c r="B46" s="459"/>
      <c r="C46" s="460"/>
      <c r="D46" s="461" t="s">
        <v>603</v>
      </c>
      <c r="E46" s="462">
        <v>345000</v>
      </c>
      <c r="F46" s="510"/>
      <c r="G46" s="510">
        <f>G47</f>
        <v>394868</v>
      </c>
      <c r="H46" s="493">
        <f aca="true" t="shared" si="2" ref="H46:H55">E46-F46+G46</f>
        <v>739868</v>
      </c>
    </row>
    <row r="47" spans="1:8" ht="19.5" customHeight="1">
      <c r="A47" s="439"/>
      <c r="B47" s="440">
        <v>70005</v>
      </c>
      <c r="C47" s="441"/>
      <c r="D47" s="442" t="s">
        <v>568</v>
      </c>
      <c r="E47" s="450">
        <v>345000</v>
      </c>
      <c r="F47" s="511"/>
      <c r="G47" s="511">
        <f>G48</f>
        <v>394868</v>
      </c>
      <c r="H47" s="454">
        <f t="shared" si="2"/>
        <v>739868</v>
      </c>
    </row>
    <row r="48" spans="1:8" ht="25.5" customHeight="1">
      <c r="A48" s="439"/>
      <c r="B48" s="443"/>
      <c r="C48" s="444"/>
      <c r="D48" s="445" t="s">
        <v>158</v>
      </c>
      <c r="E48" s="451">
        <v>345000</v>
      </c>
      <c r="F48" s="512"/>
      <c r="G48" s="512">
        <f>G49</f>
        <v>394868</v>
      </c>
      <c r="H48" s="452">
        <f t="shared" si="2"/>
        <v>739868</v>
      </c>
    </row>
    <row r="49" spans="1:8" ht="38.25">
      <c r="A49" s="446"/>
      <c r="B49" s="447"/>
      <c r="C49" s="448">
        <v>2110</v>
      </c>
      <c r="D49" s="449" t="s">
        <v>442</v>
      </c>
      <c r="E49" s="453">
        <v>345000</v>
      </c>
      <c r="F49" s="395"/>
      <c r="G49" s="395">
        <v>394868</v>
      </c>
      <c r="H49" s="453">
        <f t="shared" si="2"/>
        <v>739868</v>
      </c>
    </row>
    <row r="50" spans="1:8" ht="12.75">
      <c r="A50" s="1084"/>
      <c r="B50" s="1085"/>
      <c r="C50" s="1086"/>
      <c r="D50" s="1087"/>
      <c r="E50" s="1088"/>
      <c r="F50" s="1089"/>
      <c r="G50" s="1089"/>
      <c r="H50" s="1088"/>
    </row>
    <row r="51" spans="1:8" ht="12.75">
      <c r="A51" s="1090"/>
      <c r="B51" s="1091"/>
      <c r="C51" s="1092"/>
      <c r="D51" s="1093"/>
      <c r="E51" s="1094"/>
      <c r="F51" s="1095"/>
      <c r="G51" s="1095"/>
      <c r="H51" s="1094"/>
    </row>
    <row r="52" spans="1:8" s="17" customFormat="1" ht="19.5" customHeight="1">
      <c r="A52" s="458">
        <v>752</v>
      </c>
      <c r="B52" s="459"/>
      <c r="C52" s="460"/>
      <c r="D52" s="461" t="s">
        <v>225</v>
      </c>
      <c r="E52" s="462"/>
      <c r="F52" s="510"/>
      <c r="G52" s="510">
        <f>G53</f>
        <v>1200</v>
      </c>
      <c r="H52" s="493">
        <f t="shared" si="2"/>
        <v>1200</v>
      </c>
    </row>
    <row r="53" spans="1:8" ht="19.5" customHeight="1">
      <c r="A53" s="439"/>
      <c r="B53" s="440">
        <v>75212</v>
      </c>
      <c r="C53" s="441"/>
      <c r="D53" s="442" t="s">
        <v>226</v>
      </c>
      <c r="E53" s="450"/>
      <c r="F53" s="511"/>
      <c r="G53" s="511">
        <f>G54</f>
        <v>1200</v>
      </c>
      <c r="H53" s="454">
        <f t="shared" si="2"/>
        <v>1200</v>
      </c>
    </row>
    <row r="54" spans="1:8" ht="18.75" customHeight="1">
      <c r="A54" s="439"/>
      <c r="B54" s="443"/>
      <c r="C54" s="444"/>
      <c r="D54" s="445" t="s">
        <v>227</v>
      </c>
      <c r="E54" s="451"/>
      <c r="F54" s="512"/>
      <c r="G54" s="512">
        <f>G55</f>
        <v>1200</v>
      </c>
      <c r="H54" s="452">
        <f t="shared" si="2"/>
        <v>1200</v>
      </c>
    </row>
    <row r="55" spans="1:8" ht="38.25">
      <c r="A55" s="446"/>
      <c r="B55" s="447"/>
      <c r="C55" s="448">
        <v>2110</v>
      </c>
      <c r="D55" s="449" t="s">
        <v>442</v>
      </c>
      <c r="E55" s="453"/>
      <c r="F55" s="395"/>
      <c r="G55" s="395">
        <v>1200</v>
      </c>
      <c r="H55" s="453">
        <f t="shared" si="2"/>
        <v>1200</v>
      </c>
    </row>
    <row r="56" spans="1:8" s="17" customFormat="1" ht="19.5" customHeight="1">
      <c r="A56" s="458">
        <v>852</v>
      </c>
      <c r="B56" s="459"/>
      <c r="C56" s="460"/>
      <c r="D56" s="461" t="s">
        <v>511</v>
      </c>
      <c r="E56" s="462">
        <v>2374000</v>
      </c>
      <c r="F56" s="510"/>
      <c r="G56" s="510">
        <f>G57</f>
        <v>292800</v>
      </c>
      <c r="H56" s="493">
        <f t="shared" si="0"/>
        <v>2666800</v>
      </c>
    </row>
    <row r="57" spans="1:8" ht="19.5" customHeight="1">
      <c r="A57" s="439"/>
      <c r="B57" s="440">
        <v>85203</v>
      </c>
      <c r="C57" s="441"/>
      <c r="D57" s="442" t="s">
        <v>485</v>
      </c>
      <c r="E57" s="450">
        <v>2123000</v>
      </c>
      <c r="F57" s="511"/>
      <c r="G57" s="511">
        <f>G58+G60</f>
        <v>292800</v>
      </c>
      <c r="H57" s="454">
        <f t="shared" si="0"/>
        <v>2415800</v>
      </c>
    </row>
    <row r="58" spans="1:8" ht="25.5" customHeight="1">
      <c r="A58" s="439"/>
      <c r="B58" s="443"/>
      <c r="C58" s="444"/>
      <c r="D58" s="445" t="s">
        <v>486</v>
      </c>
      <c r="E58" s="451">
        <v>2112000</v>
      </c>
      <c r="F58" s="512"/>
      <c r="G58" s="512">
        <f>G59</f>
        <v>123800</v>
      </c>
      <c r="H58" s="452">
        <f t="shared" si="0"/>
        <v>2235800</v>
      </c>
    </row>
    <row r="59" spans="1:8" ht="38.25">
      <c r="A59" s="439"/>
      <c r="B59" s="468"/>
      <c r="C59" s="448">
        <v>2110</v>
      </c>
      <c r="D59" s="449" t="s">
        <v>442</v>
      </c>
      <c r="E59" s="453">
        <v>2112000</v>
      </c>
      <c r="F59" s="395"/>
      <c r="G59" s="395">
        <f>53800+70000</f>
        <v>123800</v>
      </c>
      <c r="H59" s="453">
        <f t="shared" si="0"/>
        <v>2235800</v>
      </c>
    </row>
    <row r="60" spans="1:8" ht="25.5" customHeight="1">
      <c r="A60" s="439"/>
      <c r="B60" s="468"/>
      <c r="C60" s="444"/>
      <c r="D60" s="524" t="s">
        <v>248</v>
      </c>
      <c r="E60" s="451">
        <v>11000</v>
      </c>
      <c r="F60" s="512"/>
      <c r="G60" s="512">
        <f>G61</f>
        <v>169000</v>
      </c>
      <c r="H60" s="452">
        <f aca="true" t="shared" si="3" ref="H60:H65">E60-F60+G60</f>
        <v>180000</v>
      </c>
    </row>
    <row r="61" spans="1:8" ht="38.25">
      <c r="A61" s="446"/>
      <c r="B61" s="447"/>
      <c r="C61" s="448">
        <v>6410</v>
      </c>
      <c r="D61" s="10" t="s">
        <v>281</v>
      </c>
      <c r="E61" s="453">
        <v>11000</v>
      </c>
      <c r="F61" s="395"/>
      <c r="G61" s="395">
        <f>10000+159000</f>
        <v>169000</v>
      </c>
      <c r="H61" s="453">
        <f t="shared" si="3"/>
        <v>180000</v>
      </c>
    </row>
    <row r="62" spans="1:8" s="17" customFormat="1" ht="19.5" customHeight="1">
      <c r="A62" s="458">
        <v>853</v>
      </c>
      <c r="B62" s="459"/>
      <c r="C62" s="460"/>
      <c r="D62" s="461" t="s">
        <v>560</v>
      </c>
      <c r="E62" s="462">
        <v>505585</v>
      </c>
      <c r="F62" s="510"/>
      <c r="G62" s="510">
        <f>G63</f>
        <v>22587</v>
      </c>
      <c r="H62" s="493">
        <f t="shared" si="3"/>
        <v>528172</v>
      </c>
    </row>
    <row r="63" spans="1:8" ht="19.5" customHeight="1">
      <c r="A63" s="439"/>
      <c r="B63" s="440">
        <v>85334</v>
      </c>
      <c r="C63" s="441"/>
      <c r="D63" s="442" t="s">
        <v>440</v>
      </c>
      <c r="E63" s="450">
        <v>9585</v>
      </c>
      <c r="F63" s="511"/>
      <c r="G63" s="511">
        <f>G64+G66</f>
        <v>22587</v>
      </c>
      <c r="H63" s="454">
        <f t="shared" si="3"/>
        <v>32172</v>
      </c>
    </row>
    <row r="64" spans="1:8" ht="18.75" customHeight="1">
      <c r="A64" s="439"/>
      <c r="B64" s="443"/>
      <c r="C64" s="444"/>
      <c r="D64" s="445" t="s">
        <v>441</v>
      </c>
      <c r="E64" s="451">
        <v>9585</v>
      </c>
      <c r="F64" s="512"/>
      <c r="G64" s="512">
        <f>G65</f>
        <v>22587</v>
      </c>
      <c r="H64" s="452">
        <f t="shared" si="3"/>
        <v>32172</v>
      </c>
    </row>
    <row r="65" spans="1:8" ht="38.25">
      <c r="A65" s="446"/>
      <c r="B65" s="447"/>
      <c r="C65" s="479">
        <v>2110</v>
      </c>
      <c r="D65" s="449" t="s">
        <v>442</v>
      </c>
      <c r="E65" s="453">
        <v>9585</v>
      </c>
      <c r="F65" s="395"/>
      <c r="G65" s="395">
        <f>16383+6204</f>
        <v>22587</v>
      </c>
      <c r="H65" s="453">
        <f t="shared" si="3"/>
        <v>32172</v>
      </c>
    </row>
    <row r="70" ht="12.75">
      <c r="E70" s="17" t="s">
        <v>24</v>
      </c>
    </row>
    <row r="71" ht="12.75">
      <c r="E71" s="17" t="s">
        <v>23</v>
      </c>
    </row>
    <row r="72" ht="12.75">
      <c r="E72" s="17" t="s">
        <v>22</v>
      </c>
    </row>
  </sheetData>
  <printOptions horizontalCentered="1"/>
  <pageMargins left="0.38" right="0.35" top="0.6692913385826772" bottom="0.5905511811023623" header="0.5118110236220472" footer="0.3937007874015748"/>
  <pageSetup firstPageNumber="21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13"/>
  <sheetViews>
    <sheetView zoomScaleSheetLayoutView="75" workbookViewId="0" topLeftCell="A292">
      <selection activeCell="E302" sqref="E302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3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434</v>
      </c>
    </row>
    <row r="2" ht="18" customHeight="1">
      <c r="G2" s="1" t="s">
        <v>186</v>
      </c>
    </row>
    <row r="3" ht="18" customHeight="1">
      <c r="G3" s="1" t="s">
        <v>512</v>
      </c>
    </row>
    <row r="4" spans="4:7" ht="18" customHeight="1">
      <c r="D4" s="2" t="s">
        <v>581</v>
      </c>
      <c r="G4" s="1" t="s">
        <v>265</v>
      </c>
    </row>
    <row r="5" ht="12" customHeight="1" thickBot="1">
      <c r="H5" s="3" t="s">
        <v>514</v>
      </c>
    </row>
    <row r="6" spans="1:8" ht="78.75" customHeight="1" thickBot="1" thickTop="1">
      <c r="A6" s="4" t="s">
        <v>515</v>
      </c>
      <c r="B6" s="4" t="s">
        <v>516</v>
      </c>
      <c r="C6" s="5" t="s">
        <v>517</v>
      </c>
      <c r="D6" s="5" t="s">
        <v>518</v>
      </c>
      <c r="E6" s="5" t="s">
        <v>569</v>
      </c>
      <c r="F6" s="5" t="s">
        <v>552</v>
      </c>
      <c r="G6" s="5" t="s">
        <v>542</v>
      </c>
      <c r="H6" s="5" t="s">
        <v>520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4" customHeight="1" thickBot="1" thickTop="1">
      <c r="A8" s="163"/>
      <c r="B8" s="283"/>
      <c r="C8" s="283"/>
      <c r="D8" s="297" t="s">
        <v>521</v>
      </c>
      <c r="E8" s="286">
        <v>791983307</v>
      </c>
      <c r="F8" s="286">
        <f>F10++F226+F237</f>
        <v>1296982</v>
      </c>
      <c r="G8" s="286">
        <f>G10++G226+G237</f>
        <v>2166838</v>
      </c>
      <c r="H8" s="286">
        <f>E8+G8-F8</f>
        <v>792853163</v>
      </c>
      <c r="I8" s="8">
        <f>G8-F8</f>
        <v>869856</v>
      </c>
      <c r="J8" s="8"/>
      <c r="K8" s="8"/>
      <c r="L8" s="8"/>
    </row>
    <row r="9" spans="1:10" ht="19.5" customHeight="1">
      <c r="A9" s="92"/>
      <c r="B9" s="92"/>
      <c r="C9" s="92"/>
      <c r="D9" s="92" t="s">
        <v>522</v>
      </c>
      <c r="E9" s="152"/>
      <c r="F9" s="152"/>
      <c r="G9" s="152"/>
      <c r="H9" s="152"/>
      <c r="J9" s="9"/>
    </row>
    <row r="10" spans="1:12" ht="21" customHeight="1" thickBot="1">
      <c r="A10" s="176"/>
      <c r="B10" s="176"/>
      <c r="C10" s="176"/>
      <c r="D10" s="106" t="s">
        <v>523</v>
      </c>
      <c r="E10" s="484">
        <v>708289373</v>
      </c>
      <c r="F10" s="103">
        <f>F11+F22+F27+F40+F53+F133+F153+F181+F199+F214+F220</f>
        <v>1057224</v>
      </c>
      <c r="G10" s="103">
        <f>G11+G22+G27+G40+G53+G133+G153+G181+G199+G214+G220</f>
        <v>1229425</v>
      </c>
      <c r="H10" s="103">
        <f aca="true" t="shared" si="0" ref="H10:H18">E10+G10-F10</f>
        <v>708461574</v>
      </c>
      <c r="I10" s="8"/>
      <c r="J10" s="8"/>
      <c r="L10" s="8"/>
    </row>
    <row r="11" spans="1:12" ht="18.75" customHeight="1" thickTop="1">
      <c r="A11" s="104">
        <v>600</v>
      </c>
      <c r="B11" s="104"/>
      <c r="C11" s="104"/>
      <c r="D11" s="104" t="s">
        <v>626</v>
      </c>
      <c r="E11" s="114">
        <v>66084724</v>
      </c>
      <c r="F11" s="114">
        <f>F12+F19</f>
        <v>290000</v>
      </c>
      <c r="G11" s="114">
        <f>G12+G19</f>
        <v>290000</v>
      </c>
      <c r="H11" s="114">
        <f t="shared" si="0"/>
        <v>66084724</v>
      </c>
      <c r="J11" s="8"/>
      <c r="L11" s="8"/>
    </row>
    <row r="12" spans="1:12" ht="18.75" customHeight="1">
      <c r="A12" s="92"/>
      <c r="B12" s="176">
        <v>60015</v>
      </c>
      <c r="C12" s="176"/>
      <c r="D12" s="176" t="s">
        <v>627</v>
      </c>
      <c r="E12" s="194">
        <v>41360000</v>
      </c>
      <c r="F12" s="194">
        <f>F13+F15</f>
        <v>240000</v>
      </c>
      <c r="G12" s="194">
        <f>G13+G15</f>
        <v>290000</v>
      </c>
      <c r="H12" s="194">
        <f t="shared" si="0"/>
        <v>41410000</v>
      </c>
      <c r="J12" s="8"/>
      <c r="L12" s="8"/>
    </row>
    <row r="13" spans="1:12" s="13" customFormat="1" ht="18.75" customHeight="1">
      <c r="A13" s="399"/>
      <c r="B13" s="399"/>
      <c r="C13" s="399"/>
      <c r="D13" s="417" t="s">
        <v>463</v>
      </c>
      <c r="E13" s="425">
        <v>400000</v>
      </c>
      <c r="F13" s="425">
        <f>F14</f>
        <v>240000</v>
      </c>
      <c r="G13" s="425"/>
      <c r="H13" s="425">
        <f>E13+G13-F13</f>
        <v>160000</v>
      </c>
      <c r="J13" s="14"/>
      <c r="L13" s="14"/>
    </row>
    <row r="14" spans="1:12" s="13" customFormat="1" ht="18.75" customHeight="1">
      <c r="A14" s="399"/>
      <c r="B14" s="399"/>
      <c r="C14" s="10">
        <v>4270</v>
      </c>
      <c r="D14" s="10" t="s">
        <v>462</v>
      </c>
      <c r="E14" s="398">
        <v>400000</v>
      </c>
      <c r="F14" s="398">
        <v>240000</v>
      </c>
      <c r="G14" s="398"/>
      <c r="H14" s="398">
        <f>E14+G14-F14</f>
        <v>160000</v>
      </c>
      <c r="J14" s="14"/>
      <c r="L14" s="14"/>
    </row>
    <row r="15" spans="1:12" ht="18.75" customHeight="1">
      <c r="A15" s="92"/>
      <c r="B15" s="92"/>
      <c r="C15" s="108"/>
      <c r="D15" s="180" t="s">
        <v>473</v>
      </c>
      <c r="E15" s="184">
        <v>30374060</v>
      </c>
      <c r="F15" s="184"/>
      <c r="G15" s="184">
        <f>G18</f>
        <v>290000</v>
      </c>
      <c r="H15" s="184">
        <f t="shared" si="0"/>
        <v>30664060</v>
      </c>
      <c r="J15" s="8"/>
      <c r="L15" s="8"/>
    </row>
    <row r="16" spans="1:12" s="11" customFormat="1" ht="18.75" customHeight="1">
      <c r="A16" s="109"/>
      <c r="B16" s="109"/>
      <c r="C16" s="109"/>
      <c r="D16" s="330" t="s">
        <v>147</v>
      </c>
      <c r="E16" s="383">
        <v>500000</v>
      </c>
      <c r="F16" s="383"/>
      <c r="G16" s="383">
        <v>240000</v>
      </c>
      <c r="H16" s="383">
        <f>E16-F16+G16</f>
        <v>740000</v>
      </c>
      <c r="J16" s="12"/>
      <c r="L16" s="12"/>
    </row>
    <row r="17" spans="1:12" s="11" customFormat="1" ht="19.5" customHeight="1">
      <c r="A17" s="109"/>
      <c r="B17" s="109"/>
      <c r="C17" s="109"/>
      <c r="D17" s="695" t="s">
        <v>629</v>
      </c>
      <c r="E17" s="696">
        <v>414060</v>
      </c>
      <c r="F17" s="696"/>
      <c r="G17" s="696">
        <v>50000</v>
      </c>
      <c r="H17" s="696">
        <f t="shared" si="0"/>
        <v>464060</v>
      </c>
      <c r="J17" s="12"/>
      <c r="L17" s="12"/>
    </row>
    <row r="18" spans="1:12" ht="19.5" customHeight="1">
      <c r="A18" s="92"/>
      <c r="B18" s="105"/>
      <c r="C18" s="111">
        <v>6050</v>
      </c>
      <c r="D18" s="116" t="s">
        <v>606</v>
      </c>
      <c r="E18" s="117">
        <v>24474060</v>
      </c>
      <c r="F18" s="117"/>
      <c r="G18" s="117">
        <f>SUM(G16:G17)</f>
        <v>290000</v>
      </c>
      <c r="H18" s="117">
        <f t="shared" si="0"/>
        <v>24764060</v>
      </c>
      <c r="J18" s="8"/>
      <c r="L18" s="8"/>
    </row>
    <row r="19" spans="1:12" s="13" customFormat="1" ht="18.75" customHeight="1">
      <c r="A19" s="92"/>
      <c r="B19" s="176">
        <v>60016</v>
      </c>
      <c r="C19" s="176"/>
      <c r="D19" s="176" t="s">
        <v>461</v>
      </c>
      <c r="E19" s="194">
        <v>6835000</v>
      </c>
      <c r="F19" s="194">
        <f>F20</f>
        <v>50000</v>
      </c>
      <c r="G19" s="194"/>
      <c r="H19" s="194">
        <f>E19+G19-F19</f>
        <v>6785000</v>
      </c>
      <c r="J19" s="14"/>
      <c r="L19" s="14"/>
    </row>
    <row r="20" spans="1:12" s="13" customFormat="1" ht="18.75" customHeight="1">
      <c r="A20" s="399"/>
      <c r="B20" s="399"/>
      <c r="C20" s="399"/>
      <c r="D20" s="417" t="s">
        <v>135</v>
      </c>
      <c r="E20" s="425">
        <v>1150000</v>
      </c>
      <c r="F20" s="425">
        <f>F21</f>
        <v>50000</v>
      </c>
      <c r="G20" s="425"/>
      <c r="H20" s="425">
        <f>E20+G20-F20</f>
        <v>1100000</v>
      </c>
      <c r="J20" s="14"/>
      <c r="L20" s="14"/>
    </row>
    <row r="21" spans="1:12" s="13" customFormat="1" ht="18.75" customHeight="1">
      <c r="A21" s="424"/>
      <c r="B21" s="424"/>
      <c r="C21" s="10">
        <v>4270</v>
      </c>
      <c r="D21" s="10" t="s">
        <v>166</v>
      </c>
      <c r="E21" s="398">
        <v>1150000</v>
      </c>
      <c r="F21" s="398">
        <v>50000</v>
      </c>
      <c r="G21" s="398"/>
      <c r="H21" s="398">
        <f>E21+G21-F21</f>
        <v>1100000</v>
      </c>
      <c r="J21" s="14"/>
      <c r="L21" s="14"/>
    </row>
    <row r="22" spans="1:12" s="13" customFormat="1" ht="18.75" customHeight="1">
      <c r="A22" s="115">
        <v>710</v>
      </c>
      <c r="B22" s="115"/>
      <c r="C22" s="267"/>
      <c r="D22" s="138" t="s">
        <v>478</v>
      </c>
      <c r="E22" s="120">
        <v>2241400</v>
      </c>
      <c r="F22" s="120">
        <f>F23</f>
        <v>2400</v>
      </c>
      <c r="G22" s="120">
        <f>G23</f>
        <v>2400</v>
      </c>
      <c r="H22" s="120">
        <f>E22-F22+G22</f>
        <v>2241400</v>
      </c>
      <c r="J22" s="14"/>
      <c r="L22" s="14"/>
    </row>
    <row r="23" spans="1:12" s="13" customFormat="1" ht="18" customHeight="1">
      <c r="A23" s="92"/>
      <c r="B23" s="172">
        <v>71004</v>
      </c>
      <c r="C23" s="1020"/>
      <c r="D23" s="176" t="s">
        <v>136</v>
      </c>
      <c r="E23" s="194">
        <v>163000</v>
      </c>
      <c r="F23" s="194">
        <f>F24</f>
        <v>2400</v>
      </c>
      <c r="G23" s="194">
        <f>G24</f>
        <v>2400</v>
      </c>
      <c r="H23" s="194">
        <f>E23-F23+G23</f>
        <v>163000</v>
      </c>
      <c r="J23" s="14"/>
      <c r="L23" s="14"/>
    </row>
    <row r="24" spans="1:12" s="13" customFormat="1" ht="18.75" customHeight="1">
      <c r="A24" s="399"/>
      <c r="B24" s="399"/>
      <c r="C24" s="399"/>
      <c r="D24" s="405" t="s">
        <v>94</v>
      </c>
      <c r="E24" s="425">
        <v>158000</v>
      </c>
      <c r="F24" s="425">
        <f>SUM(F25:F26)</f>
        <v>2400</v>
      </c>
      <c r="G24" s="425">
        <f>SUM(G25:G26)</f>
        <v>2400</v>
      </c>
      <c r="H24" s="425">
        <f>E24+G24-F24</f>
        <v>158000</v>
      </c>
      <c r="J24" s="14"/>
      <c r="L24" s="14"/>
    </row>
    <row r="25" spans="1:12" s="13" customFormat="1" ht="18" customHeight="1">
      <c r="A25" s="399"/>
      <c r="B25" s="399"/>
      <c r="C25" s="10">
        <v>4170</v>
      </c>
      <c r="D25" s="397" t="s">
        <v>610</v>
      </c>
      <c r="E25" s="398"/>
      <c r="F25" s="398"/>
      <c r="G25" s="398">
        <v>2400</v>
      </c>
      <c r="H25" s="398">
        <f>E25+G25-F25</f>
        <v>2400</v>
      </c>
      <c r="J25" s="14"/>
      <c r="L25" s="14"/>
    </row>
    <row r="26" spans="1:12" ht="18.75" customHeight="1">
      <c r="A26" s="92"/>
      <c r="B26" s="92"/>
      <c r="C26" s="111">
        <v>4300</v>
      </c>
      <c r="D26" s="116" t="s">
        <v>524</v>
      </c>
      <c r="E26" s="409">
        <v>121000</v>
      </c>
      <c r="F26" s="117">
        <v>2400</v>
      </c>
      <c r="G26" s="117"/>
      <c r="H26" s="117">
        <f>E26+G26-F26</f>
        <v>118600</v>
      </c>
      <c r="J26" s="8"/>
      <c r="L26" s="8"/>
    </row>
    <row r="27" spans="1:12" s="13" customFormat="1" ht="18.75" customHeight="1">
      <c r="A27" s="115">
        <v>750</v>
      </c>
      <c r="B27" s="115"/>
      <c r="C27" s="267"/>
      <c r="D27" s="138" t="s">
        <v>526</v>
      </c>
      <c r="E27" s="120">
        <v>53664637</v>
      </c>
      <c r="F27" s="120">
        <f>F28+F33</f>
        <v>52500</v>
      </c>
      <c r="G27" s="120">
        <f>G28+G33</f>
        <v>52500</v>
      </c>
      <c r="H27" s="120">
        <f>E27-F27+G27</f>
        <v>53664637</v>
      </c>
      <c r="J27" s="14"/>
      <c r="L27" s="14"/>
    </row>
    <row r="28" spans="1:12" s="13" customFormat="1" ht="18" customHeight="1">
      <c r="A28" s="92"/>
      <c r="B28" s="176">
        <v>75022</v>
      </c>
      <c r="C28" s="176"/>
      <c r="D28" s="176" t="s">
        <v>631</v>
      </c>
      <c r="E28" s="194">
        <v>1525000</v>
      </c>
      <c r="F28" s="194">
        <f>F29</f>
        <v>2500</v>
      </c>
      <c r="G28" s="194">
        <f>G29</f>
        <v>2500</v>
      </c>
      <c r="H28" s="194">
        <f>E28-F28+G28</f>
        <v>1525000</v>
      </c>
      <c r="J28" s="14"/>
      <c r="L28" s="14"/>
    </row>
    <row r="29" spans="1:12" s="13" customFormat="1" ht="18.75" customHeight="1">
      <c r="A29" s="424"/>
      <c r="B29" s="424"/>
      <c r="C29" s="424"/>
      <c r="D29" s="877" t="s">
        <v>110</v>
      </c>
      <c r="E29" s="1096">
        <v>409000</v>
      </c>
      <c r="F29" s="1096">
        <f>SUM(F30:F32)</f>
        <v>2500</v>
      </c>
      <c r="G29" s="1096">
        <f>SUM(G30:G32)</f>
        <v>2500</v>
      </c>
      <c r="H29" s="1096">
        <f>E29+G29-F29</f>
        <v>409000</v>
      </c>
      <c r="J29" s="14"/>
      <c r="L29" s="14"/>
    </row>
    <row r="30" spans="1:12" s="13" customFormat="1" ht="18" customHeight="1">
      <c r="A30" s="399"/>
      <c r="B30" s="399"/>
      <c r="C30" s="10">
        <v>4260</v>
      </c>
      <c r="D30" s="397" t="s">
        <v>528</v>
      </c>
      <c r="E30" s="398">
        <v>30100</v>
      </c>
      <c r="F30" s="398"/>
      <c r="G30" s="398">
        <v>1000</v>
      </c>
      <c r="H30" s="398">
        <f>E30+G30-F30</f>
        <v>31100</v>
      </c>
      <c r="J30" s="14"/>
      <c r="L30" s="14"/>
    </row>
    <row r="31" spans="1:12" ht="27" customHeight="1">
      <c r="A31" s="92"/>
      <c r="B31" s="92"/>
      <c r="C31" s="111">
        <v>4270</v>
      </c>
      <c r="D31" s="116" t="s">
        <v>111</v>
      </c>
      <c r="E31" s="409">
        <v>20000</v>
      </c>
      <c r="F31" s="117">
        <v>2500</v>
      </c>
      <c r="G31" s="117"/>
      <c r="H31" s="117">
        <f>E31+G31-F31</f>
        <v>17500</v>
      </c>
      <c r="J31" s="8"/>
      <c r="L31" s="8"/>
    </row>
    <row r="32" spans="1:12" ht="18.75" customHeight="1">
      <c r="A32" s="92"/>
      <c r="B32" s="105"/>
      <c r="C32" s="111">
        <v>4300</v>
      </c>
      <c r="D32" s="421" t="s">
        <v>524</v>
      </c>
      <c r="E32" s="409">
        <v>81000</v>
      </c>
      <c r="F32" s="117"/>
      <c r="G32" s="117">
        <v>1500</v>
      </c>
      <c r="H32" s="117">
        <f>E32+G32-F32</f>
        <v>82500</v>
      </c>
      <c r="J32" s="8"/>
      <c r="L32" s="8"/>
    </row>
    <row r="33" spans="1:12" s="13" customFormat="1" ht="18" customHeight="1">
      <c r="A33" s="92"/>
      <c r="B33" s="176">
        <v>75075</v>
      </c>
      <c r="C33" s="176"/>
      <c r="D33" s="176" t="s">
        <v>572</v>
      </c>
      <c r="E33" s="194">
        <v>1196223</v>
      </c>
      <c r="F33" s="194">
        <f>F34</f>
        <v>50000</v>
      </c>
      <c r="G33" s="194">
        <f>G34</f>
        <v>50000</v>
      </c>
      <c r="H33" s="194">
        <f>E33-F33+G33</f>
        <v>1196223</v>
      </c>
      <c r="J33" s="14"/>
      <c r="L33" s="14"/>
    </row>
    <row r="34" spans="1:12" s="13" customFormat="1" ht="18.75" customHeight="1">
      <c r="A34" s="399"/>
      <c r="B34" s="399"/>
      <c r="C34" s="399"/>
      <c r="D34" s="405" t="s">
        <v>571</v>
      </c>
      <c r="E34" s="425">
        <v>588759</v>
      </c>
      <c r="F34" s="425">
        <f>SUM(F35:F39)</f>
        <v>50000</v>
      </c>
      <c r="G34" s="425">
        <f>SUM(G35:G39)</f>
        <v>50000</v>
      </c>
      <c r="H34" s="425">
        <f aca="true" t="shared" si="1" ref="H34:H39">E34+G34-F34</f>
        <v>588759</v>
      </c>
      <c r="J34" s="14"/>
      <c r="L34" s="14"/>
    </row>
    <row r="35" spans="1:12" s="13" customFormat="1" ht="18" customHeight="1">
      <c r="A35" s="399"/>
      <c r="B35" s="399"/>
      <c r="C35" s="10">
        <v>3040</v>
      </c>
      <c r="D35" s="10" t="s">
        <v>128</v>
      </c>
      <c r="E35" s="398">
        <v>22086</v>
      </c>
      <c r="F35" s="398">
        <v>10000</v>
      </c>
      <c r="G35" s="398"/>
      <c r="H35" s="398">
        <f t="shared" si="1"/>
        <v>12086</v>
      </c>
      <c r="J35" s="14"/>
      <c r="L35" s="14"/>
    </row>
    <row r="36" spans="1:12" ht="18.75" customHeight="1">
      <c r="A36" s="92"/>
      <c r="B36" s="92"/>
      <c r="C36" s="111">
        <v>4210</v>
      </c>
      <c r="D36" s="397" t="s">
        <v>525</v>
      </c>
      <c r="E36" s="409">
        <v>26038</v>
      </c>
      <c r="F36" s="117"/>
      <c r="G36" s="117">
        <v>10000</v>
      </c>
      <c r="H36" s="117">
        <f t="shared" si="1"/>
        <v>36038</v>
      </c>
      <c r="J36" s="8"/>
      <c r="L36" s="8"/>
    </row>
    <row r="37" spans="1:12" ht="18.75" customHeight="1">
      <c r="A37" s="92"/>
      <c r="B37" s="92"/>
      <c r="C37" s="111">
        <v>4300</v>
      </c>
      <c r="D37" s="420" t="s">
        <v>524</v>
      </c>
      <c r="E37" s="409">
        <v>442319</v>
      </c>
      <c r="F37" s="117"/>
      <c r="G37" s="117">
        <v>40000</v>
      </c>
      <c r="H37" s="117">
        <f t="shared" si="1"/>
        <v>482319</v>
      </c>
      <c r="J37" s="8"/>
      <c r="L37" s="8"/>
    </row>
    <row r="38" spans="1:12" ht="18.75" customHeight="1">
      <c r="A38" s="92"/>
      <c r="B38" s="92"/>
      <c r="C38" s="111">
        <v>4410</v>
      </c>
      <c r="D38" s="420" t="s">
        <v>288</v>
      </c>
      <c r="E38" s="409">
        <v>24207</v>
      </c>
      <c r="F38" s="117">
        <v>10000</v>
      </c>
      <c r="G38" s="117"/>
      <c r="H38" s="117">
        <f t="shared" si="1"/>
        <v>14207</v>
      </c>
      <c r="J38" s="8"/>
      <c r="L38" s="8"/>
    </row>
    <row r="39" spans="1:12" ht="18.75" customHeight="1">
      <c r="A39" s="92"/>
      <c r="B39" s="92"/>
      <c r="C39" s="111">
        <v>4420</v>
      </c>
      <c r="D39" s="420" t="s">
        <v>744</v>
      </c>
      <c r="E39" s="409">
        <v>51092</v>
      </c>
      <c r="F39" s="117">
        <v>30000</v>
      </c>
      <c r="G39" s="117"/>
      <c r="H39" s="117">
        <f t="shared" si="1"/>
        <v>21092</v>
      </c>
      <c r="J39" s="8"/>
      <c r="L39" s="8"/>
    </row>
    <row r="40" spans="1:12" s="13" customFormat="1" ht="18.75" customHeight="1">
      <c r="A40" s="115">
        <v>754</v>
      </c>
      <c r="B40" s="115"/>
      <c r="C40" s="267"/>
      <c r="D40" s="138" t="s">
        <v>467</v>
      </c>
      <c r="E40" s="120">
        <v>5808000</v>
      </c>
      <c r="F40" s="120">
        <f>F41+F46</f>
        <v>5056</v>
      </c>
      <c r="G40" s="120">
        <f>G41+G46</f>
        <v>5056</v>
      </c>
      <c r="H40" s="120">
        <f>E40-F40+G40</f>
        <v>5808000</v>
      </c>
      <c r="J40" s="14"/>
      <c r="L40" s="14"/>
    </row>
    <row r="41" spans="1:12" s="13" customFormat="1" ht="18" customHeight="1">
      <c r="A41" s="92"/>
      <c r="B41" s="176">
        <v>75405</v>
      </c>
      <c r="C41" s="176"/>
      <c r="D41" s="176" t="s">
        <v>230</v>
      </c>
      <c r="E41" s="194">
        <v>500000</v>
      </c>
      <c r="F41" s="194">
        <f>F42</f>
        <v>1720</v>
      </c>
      <c r="G41" s="194">
        <f>G42</f>
        <v>1720</v>
      </c>
      <c r="H41" s="194">
        <f>E41-F41+G41</f>
        <v>500000</v>
      </c>
      <c r="J41" s="14"/>
      <c r="L41" s="14"/>
    </row>
    <row r="42" spans="1:12" s="13" customFormat="1" ht="26.25" customHeight="1">
      <c r="A42" s="399"/>
      <c r="B42" s="399"/>
      <c r="C42" s="399"/>
      <c r="D42" s="405" t="s">
        <v>172</v>
      </c>
      <c r="E42" s="425">
        <v>500000</v>
      </c>
      <c r="F42" s="425">
        <f>F43+F45</f>
        <v>1720</v>
      </c>
      <c r="G42" s="425">
        <f>G43+G45</f>
        <v>1720</v>
      </c>
      <c r="H42" s="425">
        <f>E42+G42-F42</f>
        <v>500000</v>
      </c>
      <c r="J42" s="14"/>
      <c r="L42" s="14"/>
    </row>
    <row r="43" spans="1:12" s="13" customFormat="1" ht="18" customHeight="1">
      <c r="A43" s="399"/>
      <c r="B43" s="399"/>
      <c r="C43" s="10">
        <v>4210</v>
      </c>
      <c r="D43" s="397" t="s">
        <v>525</v>
      </c>
      <c r="E43" s="398"/>
      <c r="F43" s="398"/>
      <c r="G43" s="398">
        <v>1720</v>
      </c>
      <c r="H43" s="398">
        <f>E43+G43-F43</f>
        <v>1720</v>
      </c>
      <c r="J43" s="14"/>
      <c r="L43" s="14"/>
    </row>
    <row r="44" spans="1:12" s="752" customFormat="1" ht="18" customHeight="1">
      <c r="A44" s="396"/>
      <c r="B44" s="396"/>
      <c r="C44" s="420"/>
      <c r="D44" s="754" t="s">
        <v>150</v>
      </c>
      <c r="E44" s="755">
        <v>500000</v>
      </c>
      <c r="F44" s="755">
        <v>1720</v>
      </c>
      <c r="G44" s="755"/>
      <c r="H44" s="755">
        <f>E44+G44-F44</f>
        <v>498280</v>
      </c>
      <c r="J44" s="753"/>
      <c r="L44" s="753"/>
    </row>
    <row r="45" spans="1:12" s="13" customFormat="1" ht="18" customHeight="1">
      <c r="A45" s="399"/>
      <c r="B45" s="424"/>
      <c r="C45" s="10">
        <v>6050</v>
      </c>
      <c r="D45" s="116" t="s">
        <v>606</v>
      </c>
      <c r="E45" s="398">
        <v>500000</v>
      </c>
      <c r="F45" s="398">
        <f>F44</f>
        <v>1720</v>
      </c>
      <c r="G45" s="398"/>
      <c r="H45" s="398">
        <f>E45+G45-F45</f>
        <v>498280</v>
      </c>
      <c r="J45" s="14"/>
      <c r="L45" s="14"/>
    </row>
    <row r="46" spans="1:12" s="13" customFormat="1" ht="18" customHeight="1">
      <c r="A46" s="92"/>
      <c r="B46" s="176">
        <v>75412</v>
      </c>
      <c r="C46" s="176"/>
      <c r="D46" s="176" t="s">
        <v>468</v>
      </c>
      <c r="E46" s="194">
        <v>60000</v>
      </c>
      <c r="F46" s="194">
        <f>F47</f>
        <v>3336</v>
      </c>
      <c r="G46" s="194">
        <f>G47</f>
        <v>3336</v>
      </c>
      <c r="H46" s="194">
        <f>E46+G46-F46</f>
        <v>60000</v>
      </c>
      <c r="J46" s="14"/>
      <c r="L46" s="14"/>
    </row>
    <row r="47" spans="1:12" s="13" customFormat="1" ht="18" customHeight="1">
      <c r="A47" s="399"/>
      <c r="B47" s="399"/>
      <c r="C47" s="399"/>
      <c r="D47" s="417" t="s">
        <v>469</v>
      </c>
      <c r="E47" s="425">
        <v>60000</v>
      </c>
      <c r="F47" s="425">
        <f>SUM(F48:F52)</f>
        <v>3336</v>
      </c>
      <c r="G47" s="425">
        <f>SUM(G48:G52)</f>
        <v>3336</v>
      </c>
      <c r="H47" s="425">
        <f aca="true" t="shared" si="2" ref="H47:H52">E47+G47-F47</f>
        <v>60000</v>
      </c>
      <c r="J47" s="14"/>
      <c r="L47" s="14"/>
    </row>
    <row r="48" spans="1:12" s="13" customFormat="1" ht="18" customHeight="1">
      <c r="A48" s="399"/>
      <c r="B48" s="399"/>
      <c r="C48" s="10">
        <v>3030</v>
      </c>
      <c r="D48" s="10" t="s">
        <v>454</v>
      </c>
      <c r="E48" s="398">
        <v>2000</v>
      </c>
      <c r="F48" s="398">
        <v>1000</v>
      </c>
      <c r="G48" s="398"/>
      <c r="H48" s="398">
        <f t="shared" si="2"/>
        <v>1000</v>
      </c>
      <c r="J48" s="14"/>
      <c r="L48" s="14"/>
    </row>
    <row r="49" spans="1:12" s="13" customFormat="1" ht="18" customHeight="1">
      <c r="A49" s="399"/>
      <c r="B49" s="399"/>
      <c r="C49" s="421">
        <v>4260</v>
      </c>
      <c r="D49" s="421" t="s">
        <v>528</v>
      </c>
      <c r="E49" s="428">
        <v>4000</v>
      </c>
      <c r="F49" s="428">
        <v>1000</v>
      </c>
      <c r="G49" s="428"/>
      <c r="H49" s="428">
        <f t="shared" si="2"/>
        <v>3000</v>
      </c>
      <c r="J49" s="14"/>
      <c r="L49" s="14"/>
    </row>
    <row r="50" spans="1:12" s="13" customFormat="1" ht="18" customHeight="1">
      <c r="A50" s="399"/>
      <c r="B50" s="399"/>
      <c r="C50" s="419">
        <v>4280</v>
      </c>
      <c r="D50" s="419" t="s">
        <v>60</v>
      </c>
      <c r="E50" s="426">
        <v>3000</v>
      </c>
      <c r="F50" s="426">
        <v>1336</v>
      </c>
      <c r="G50" s="426"/>
      <c r="H50" s="426">
        <f t="shared" si="2"/>
        <v>1664</v>
      </c>
      <c r="J50" s="14"/>
      <c r="L50" s="14"/>
    </row>
    <row r="51" spans="1:12" s="13" customFormat="1" ht="18" customHeight="1">
      <c r="A51" s="399"/>
      <c r="B51" s="399"/>
      <c r="C51" s="420">
        <v>4300</v>
      </c>
      <c r="D51" s="420" t="s">
        <v>524</v>
      </c>
      <c r="E51" s="427">
        <v>1250</v>
      </c>
      <c r="F51" s="427"/>
      <c r="G51" s="427">
        <v>1250</v>
      </c>
      <c r="H51" s="427">
        <f t="shared" si="2"/>
        <v>2500</v>
      </c>
      <c r="J51" s="14"/>
      <c r="L51" s="14"/>
    </row>
    <row r="52" spans="1:12" s="13" customFormat="1" ht="18" customHeight="1">
      <c r="A52" s="399"/>
      <c r="B52" s="399"/>
      <c r="C52" s="421">
        <v>4430</v>
      </c>
      <c r="D52" s="421" t="s">
        <v>415</v>
      </c>
      <c r="E52" s="428">
        <v>6000</v>
      </c>
      <c r="F52" s="421"/>
      <c r="G52" s="428">
        <v>2086</v>
      </c>
      <c r="H52" s="428">
        <f t="shared" si="2"/>
        <v>8086</v>
      </c>
      <c r="J52" s="14"/>
      <c r="L52" s="14"/>
    </row>
    <row r="53" spans="1:12" ht="18.75" customHeight="1">
      <c r="A53" s="115">
        <v>801</v>
      </c>
      <c r="B53" s="115"/>
      <c r="C53" s="115"/>
      <c r="D53" s="115" t="s">
        <v>532</v>
      </c>
      <c r="E53" s="120">
        <v>322861325</v>
      </c>
      <c r="F53" s="120">
        <f>F54+F67+F73+F79+F88+F92+F97+F111+F118+F125+F130</f>
        <v>353262</v>
      </c>
      <c r="G53" s="120">
        <f>G54+G67+G73+G79+G88+G92+G97+G111+G118+G125+G130</f>
        <v>397863</v>
      </c>
      <c r="H53" s="120">
        <f>E53-F53+G53</f>
        <v>322905926</v>
      </c>
      <c r="I53" s="8">
        <f>G53-F53</f>
        <v>44601</v>
      </c>
      <c r="J53" s="8"/>
      <c r="L53" s="8"/>
    </row>
    <row r="54" spans="1:12" ht="18.75" customHeight="1">
      <c r="A54" s="92"/>
      <c r="B54" s="172">
        <v>80101</v>
      </c>
      <c r="C54" s="172"/>
      <c r="D54" s="172" t="s">
        <v>533</v>
      </c>
      <c r="E54" s="198">
        <v>89750835</v>
      </c>
      <c r="F54" s="198">
        <f>F55+F58+F61+F65</f>
        <v>4050</v>
      </c>
      <c r="G54" s="198">
        <f>G55+G58+G61+G65</f>
        <v>49801</v>
      </c>
      <c r="H54" s="198">
        <f>E54-F54+G54</f>
        <v>89796586</v>
      </c>
      <c r="J54" s="8"/>
      <c r="L54" s="8"/>
    </row>
    <row r="55" spans="1:12" s="413" customFormat="1" ht="19.5" customHeight="1">
      <c r="A55" s="411"/>
      <c r="B55" s="412"/>
      <c r="C55" s="399"/>
      <c r="D55" s="465" t="s">
        <v>527</v>
      </c>
      <c r="E55" s="486">
        <v>12113286</v>
      </c>
      <c r="F55" s="486">
        <f>SUM(F56:F57)</f>
        <v>2500</v>
      </c>
      <c r="G55" s="486">
        <f>SUM(G56:G57)</f>
        <v>2500</v>
      </c>
      <c r="H55" s="486">
        <f>E55-F55+G55</f>
        <v>12113286</v>
      </c>
      <c r="J55" s="414"/>
      <c r="L55" s="414"/>
    </row>
    <row r="56" spans="1:12" s="413" customFormat="1" ht="19.5" customHeight="1">
      <c r="A56" s="411"/>
      <c r="B56" s="412"/>
      <c r="C56" s="396">
        <v>4270</v>
      </c>
      <c r="D56" s="397" t="s">
        <v>604</v>
      </c>
      <c r="E56" s="409">
        <v>918760</v>
      </c>
      <c r="F56" s="409"/>
      <c r="G56" s="409">
        <v>2500</v>
      </c>
      <c r="H56" s="409">
        <f aca="true" t="shared" si="3" ref="H56:H64">E56+G56-F56</f>
        <v>921260</v>
      </c>
      <c r="J56" s="414"/>
      <c r="L56" s="414"/>
    </row>
    <row r="57" spans="1:12" s="413" customFormat="1" ht="19.5" customHeight="1">
      <c r="A57" s="411"/>
      <c r="B57" s="412"/>
      <c r="C57" s="490">
        <v>4300</v>
      </c>
      <c r="D57" s="490" t="s">
        <v>524</v>
      </c>
      <c r="E57" s="430">
        <v>1058368</v>
      </c>
      <c r="F57" s="430">
        <v>2500</v>
      </c>
      <c r="G57" s="430"/>
      <c r="H57" s="430">
        <f t="shared" si="3"/>
        <v>1055868</v>
      </c>
      <c r="J57" s="414"/>
      <c r="L57" s="414"/>
    </row>
    <row r="58" spans="1:12" s="413" customFormat="1" ht="19.5" customHeight="1">
      <c r="A58" s="411"/>
      <c r="B58" s="412"/>
      <c r="C58" s="399"/>
      <c r="D58" s="417" t="s">
        <v>58</v>
      </c>
      <c r="E58" s="425">
        <v>10879750</v>
      </c>
      <c r="F58" s="425">
        <f>F59</f>
        <v>1550</v>
      </c>
      <c r="G58" s="425"/>
      <c r="H58" s="425">
        <f t="shared" si="3"/>
        <v>10878200</v>
      </c>
      <c r="J58" s="414"/>
      <c r="L58" s="414"/>
    </row>
    <row r="59" spans="1:12" s="413" customFormat="1" ht="19.5" customHeight="1">
      <c r="A59" s="411"/>
      <c r="B59" s="412"/>
      <c r="C59" s="396">
        <v>4110</v>
      </c>
      <c r="D59" s="396" t="s">
        <v>529</v>
      </c>
      <c r="E59" s="487">
        <v>9603160</v>
      </c>
      <c r="F59" s="487">
        <v>1550</v>
      </c>
      <c r="G59" s="487"/>
      <c r="H59" s="487">
        <f t="shared" si="3"/>
        <v>9601610</v>
      </c>
      <c r="J59" s="414"/>
      <c r="L59" s="414"/>
    </row>
    <row r="60" spans="1:12" s="413" customFormat="1" ht="19.5" customHeight="1">
      <c r="A60" s="1069"/>
      <c r="B60" s="1070"/>
      <c r="C60" s="1071"/>
      <c r="D60" s="1071"/>
      <c r="E60" s="1072"/>
      <c r="F60" s="1072"/>
      <c r="G60" s="1072"/>
      <c r="H60" s="1072"/>
      <c r="J60" s="414"/>
      <c r="L60" s="414"/>
    </row>
    <row r="61" spans="1:12" s="413" customFormat="1" ht="18.75" customHeight="1">
      <c r="A61" s="411"/>
      <c r="B61" s="412"/>
      <c r="C61" s="399"/>
      <c r="D61" s="1097" t="s">
        <v>285</v>
      </c>
      <c r="E61" s="1098">
        <v>370000</v>
      </c>
      <c r="F61" s="1098"/>
      <c r="G61" s="1098">
        <f>SUM(G62:G64)</f>
        <v>4200</v>
      </c>
      <c r="H61" s="1098">
        <f t="shared" si="3"/>
        <v>374200</v>
      </c>
      <c r="J61" s="414"/>
      <c r="L61" s="414"/>
    </row>
    <row r="62" spans="1:12" s="413" customFormat="1" ht="19.5" customHeight="1">
      <c r="A62" s="411"/>
      <c r="B62" s="412"/>
      <c r="C62" s="396">
        <v>4010</v>
      </c>
      <c r="D62" s="824" t="s">
        <v>576</v>
      </c>
      <c r="E62" s="487">
        <v>282918</v>
      </c>
      <c r="F62" s="487"/>
      <c r="G62" s="487">
        <v>2920</v>
      </c>
      <c r="H62" s="487">
        <f t="shared" si="3"/>
        <v>285838</v>
      </c>
      <c r="J62" s="414"/>
      <c r="L62" s="414"/>
    </row>
    <row r="63" spans="1:12" s="413" customFormat="1" ht="19.5" customHeight="1">
      <c r="A63" s="411"/>
      <c r="B63" s="412"/>
      <c r="C63" s="490">
        <v>4110</v>
      </c>
      <c r="D63" s="397" t="s">
        <v>529</v>
      </c>
      <c r="E63" s="430">
        <v>44910</v>
      </c>
      <c r="F63" s="430"/>
      <c r="G63" s="430">
        <v>1200</v>
      </c>
      <c r="H63" s="430">
        <f t="shared" si="3"/>
        <v>46110</v>
      </c>
      <c r="J63" s="414"/>
      <c r="L63" s="414"/>
    </row>
    <row r="64" spans="1:12" s="413" customFormat="1" ht="19.5" customHeight="1">
      <c r="A64" s="411"/>
      <c r="B64" s="412"/>
      <c r="C64" s="490">
        <v>4120</v>
      </c>
      <c r="D64" s="490" t="s">
        <v>530</v>
      </c>
      <c r="E64" s="430">
        <v>6780</v>
      </c>
      <c r="F64" s="430"/>
      <c r="G64" s="430">
        <v>80</v>
      </c>
      <c r="H64" s="430">
        <f t="shared" si="3"/>
        <v>6860</v>
      </c>
      <c r="J64" s="414"/>
      <c r="L64" s="414"/>
    </row>
    <row r="65" spans="1:12" s="413" customFormat="1" ht="18.75" customHeight="1">
      <c r="A65" s="411"/>
      <c r="B65" s="412"/>
      <c r="C65" s="399"/>
      <c r="D65" s="509" t="s">
        <v>229</v>
      </c>
      <c r="E65" s="486"/>
      <c r="F65" s="486"/>
      <c r="G65" s="486">
        <f>G66</f>
        <v>43101</v>
      </c>
      <c r="H65" s="486">
        <f>E65+G65-F65</f>
        <v>43101</v>
      </c>
      <c r="J65" s="414"/>
      <c r="L65" s="414"/>
    </row>
    <row r="66" spans="1:12" s="413" customFormat="1" ht="18.75" customHeight="1">
      <c r="A66" s="411"/>
      <c r="B66" s="412"/>
      <c r="C66" s="396">
        <v>4240</v>
      </c>
      <c r="D66" s="397" t="s">
        <v>574</v>
      </c>
      <c r="E66" s="487"/>
      <c r="F66" s="487"/>
      <c r="G66" s="487">
        <v>43101</v>
      </c>
      <c r="H66" s="487">
        <f>E66+G66-F66</f>
        <v>43101</v>
      </c>
      <c r="J66" s="414"/>
      <c r="L66" s="414"/>
    </row>
    <row r="67" spans="1:12" ht="18.75" customHeight="1">
      <c r="A67" s="92"/>
      <c r="B67" s="172">
        <v>80102</v>
      </c>
      <c r="C67" s="172"/>
      <c r="D67" s="172" t="s">
        <v>286</v>
      </c>
      <c r="E67" s="198">
        <v>5928400</v>
      </c>
      <c r="F67" s="198">
        <f>F68+F70</f>
        <v>221450</v>
      </c>
      <c r="G67" s="198"/>
      <c r="H67" s="198">
        <f aca="true" t="shared" si="4" ref="H67:H72">E67+G67-F67</f>
        <v>5706950</v>
      </c>
      <c r="J67" s="8"/>
      <c r="L67" s="8"/>
    </row>
    <row r="68" spans="1:12" s="413" customFormat="1" ht="19.5" customHeight="1">
      <c r="A68" s="411"/>
      <c r="B68" s="412"/>
      <c r="C68" s="399"/>
      <c r="D68" s="465" t="s">
        <v>59</v>
      </c>
      <c r="E68" s="486">
        <v>4550900</v>
      </c>
      <c r="F68" s="486">
        <f>F69</f>
        <v>167720</v>
      </c>
      <c r="G68" s="486"/>
      <c r="H68" s="486">
        <f t="shared" si="4"/>
        <v>4383180</v>
      </c>
      <c r="J68" s="414"/>
      <c r="L68" s="414"/>
    </row>
    <row r="69" spans="1:12" s="413" customFormat="1" ht="19.5" customHeight="1">
      <c r="A69" s="411"/>
      <c r="B69" s="412"/>
      <c r="C69" s="397">
        <v>4010</v>
      </c>
      <c r="D69" s="397" t="s">
        <v>576</v>
      </c>
      <c r="E69" s="409">
        <v>4203278</v>
      </c>
      <c r="F69" s="409">
        <v>167720</v>
      </c>
      <c r="G69" s="409"/>
      <c r="H69" s="409">
        <f t="shared" si="4"/>
        <v>4035558</v>
      </c>
      <c r="J69" s="414"/>
      <c r="L69" s="414"/>
    </row>
    <row r="70" spans="1:12" s="413" customFormat="1" ht="19.5" customHeight="1">
      <c r="A70" s="411"/>
      <c r="B70" s="412"/>
      <c r="C70" s="399"/>
      <c r="D70" s="417" t="s">
        <v>58</v>
      </c>
      <c r="E70" s="425">
        <v>887500</v>
      </c>
      <c r="F70" s="425">
        <f>SUM(F71:F72)</f>
        <v>53730</v>
      </c>
      <c r="G70" s="425"/>
      <c r="H70" s="425">
        <f t="shared" si="4"/>
        <v>833770</v>
      </c>
      <c r="J70" s="414"/>
      <c r="L70" s="414"/>
    </row>
    <row r="71" spans="1:12" s="413" customFormat="1" ht="19.5" customHeight="1">
      <c r="A71" s="411"/>
      <c r="B71" s="412"/>
      <c r="C71" s="396">
        <v>4110</v>
      </c>
      <c r="D71" s="396" t="s">
        <v>529</v>
      </c>
      <c r="E71" s="487">
        <v>787990</v>
      </c>
      <c r="F71" s="487">
        <v>53600</v>
      </c>
      <c r="G71" s="487"/>
      <c r="H71" s="487">
        <f t="shared" si="4"/>
        <v>734390</v>
      </c>
      <c r="J71" s="414"/>
      <c r="L71" s="414"/>
    </row>
    <row r="72" spans="1:12" s="413" customFormat="1" ht="19.5" customHeight="1">
      <c r="A72" s="411"/>
      <c r="B72" s="412"/>
      <c r="C72" s="490">
        <v>4120</v>
      </c>
      <c r="D72" s="490" t="s">
        <v>530</v>
      </c>
      <c r="E72" s="430">
        <v>99510</v>
      </c>
      <c r="F72" s="430">
        <v>130</v>
      </c>
      <c r="G72" s="430"/>
      <c r="H72" s="430">
        <f t="shared" si="4"/>
        <v>99380</v>
      </c>
      <c r="J72" s="414"/>
      <c r="L72" s="414"/>
    </row>
    <row r="73" spans="1:12" ht="18.75" customHeight="1">
      <c r="A73" s="92"/>
      <c r="B73" s="172">
        <v>80103</v>
      </c>
      <c r="C73" s="172"/>
      <c r="D73" s="172" t="s">
        <v>61</v>
      </c>
      <c r="E73" s="198">
        <v>1525000</v>
      </c>
      <c r="F73" s="198"/>
      <c r="G73" s="198">
        <f>G74+G76</f>
        <v>15800</v>
      </c>
      <c r="H73" s="198">
        <f aca="true" t="shared" si="5" ref="H73:H79">E73+G73-F73</f>
        <v>1540800</v>
      </c>
      <c r="J73" s="8"/>
      <c r="L73" s="8"/>
    </row>
    <row r="74" spans="1:12" s="413" customFormat="1" ht="19.5" customHeight="1">
      <c r="A74" s="411"/>
      <c r="B74" s="412"/>
      <c r="C74" s="404"/>
      <c r="D74" s="509" t="s">
        <v>59</v>
      </c>
      <c r="E74" s="485">
        <v>1160500</v>
      </c>
      <c r="F74" s="485"/>
      <c r="G74" s="485">
        <f>G75</f>
        <v>11800</v>
      </c>
      <c r="H74" s="485">
        <f t="shared" si="5"/>
        <v>1172300</v>
      </c>
      <c r="J74" s="414"/>
      <c r="L74" s="414"/>
    </row>
    <row r="75" spans="1:12" s="413" customFormat="1" ht="19.5" customHeight="1">
      <c r="A75" s="411"/>
      <c r="B75" s="412"/>
      <c r="C75" s="397">
        <v>4010</v>
      </c>
      <c r="D75" s="397" t="s">
        <v>576</v>
      </c>
      <c r="E75" s="409">
        <v>1089239</v>
      </c>
      <c r="F75" s="409"/>
      <c r="G75" s="409">
        <f>35000-23200</f>
        <v>11800</v>
      </c>
      <c r="H75" s="409">
        <f t="shared" si="5"/>
        <v>1101039</v>
      </c>
      <c r="J75" s="414"/>
      <c r="L75" s="414"/>
    </row>
    <row r="76" spans="1:12" s="413" customFormat="1" ht="19.5" customHeight="1">
      <c r="A76" s="411"/>
      <c r="B76" s="412"/>
      <c r="C76" s="399"/>
      <c r="D76" s="465" t="s">
        <v>58</v>
      </c>
      <c r="E76" s="486">
        <v>226500</v>
      </c>
      <c r="F76" s="486"/>
      <c r="G76" s="486">
        <f>G77+G78</f>
        <v>4000</v>
      </c>
      <c r="H76" s="486">
        <f t="shared" si="5"/>
        <v>230500</v>
      </c>
      <c r="J76" s="414"/>
      <c r="L76" s="414"/>
    </row>
    <row r="77" spans="1:12" s="413" customFormat="1" ht="19.5" customHeight="1">
      <c r="A77" s="411"/>
      <c r="B77" s="412"/>
      <c r="C77" s="396">
        <v>4110</v>
      </c>
      <c r="D77" s="396" t="s">
        <v>529</v>
      </c>
      <c r="E77" s="487">
        <v>199050</v>
      </c>
      <c r="F77" s="487"/>
      <c r="G77" s="487">
        <f>6000-3000</f>
        <v>3000</v>
      </c>
      <c r="H77" s="487">
        <f t="shared" si="5"/>
        <v>202050</v>
      </c>
      <c r="J77" s="414"/>
      <c r="L77" s="414"/>
    </row>
    <row r="78" spans="1:12" s="413" customFormat="1" ht="19.5" customHeight="1">
      <c r="A78" s="411"/>
      <c r="B78" s="412"/>
      <c r="C78" s="490">
        <v>4120</v>
      </c>
      <c r="D78" s="490" t="s">
        <v>530</v>
      </c>
      <c r="E78" s="430">
        <v>27450</v>
      </c>
      <c r="F78" s="430"/>
      <c r="G78" s="430">
        <v>1000</v>
      </c>
      <c r="H78" s="430">
        <f t="shared" si="5"/>
        <v>28450</v>
      </c>
      <c r="J78" s="414"/>
      <c r="L78" s="414"/>
    </row>
    <row r="79" spans="1:12" ht="19.5" customHeight="1">
      <c r="A79" s="92"/>
      <c r="B79" s="172">
        <v>80104</v>
      </c>
      <c r="C79" s="172"/>
      <c r="D79" s="172" t="s">
        <v>501</v>
      </c>
      <c r="E79" s="198">
        <v>46178040</v>
      </c>
      <c r="F79" s="198">
        <f>F80</f>
        <v>9837</v>
      </c>
      <c r="G79" s="198">
        <f>G80</f>
        <v>9837</v>
      </c>
      <c r="H79" s="198">
        <f t="shared" si="5"/>
        <v>46178040</v>
      </c>
      <c r="J79" s="8"/>
      <c r="L79" s="8"/>
    </row>
    <row r="80" spans="1:12" ht="19.5" customHeight="1">
      <c r="A80" s="92"/>
      <c r="B80" s="92"/>
      <c r="C80" s="92"/>
      <c r="D80" s="231" t="s">
        <v>527</v>
      </c>
      <c r="E80" s="232">
        <v>5663540</v>
      </c>
      <c r="F80" s="232">
        <f>SUM(F81:F87)</f>
        <v>9837</v>
      </c>
      <c r="G80" s="232">
        <f>SUM(G81:G87)</f>
        <v>9837</v>
      </c>
      <c r="H80" s="232">
        <f>E80+G80-F80</f>
        <v>5663540</v>
      </c>
      <c r="J80" s="8"/>
      <c r="L80" s="8"/>
    </row>
    <row r="81" spans="1:12" ht="19.5" customHeight="1">
      <c r="A81" s="92"/>
      <c r="B81" s="92"/>
      <c r="C81" s="111">
        <v>4210</v>
      </c>
      <c r="D81" s="111" t="s">
        <v>525</v>
      </c>
      <c r="E81" s="112">
        <v>329742</v>
      </c>
      <c r="F81" s="112"/>
      <c r="G81" s="112">
        <v>6520</v>
      </c>
      <c r="H81" s="112">
        <f>E81+G81-F81</f>
        <v>336262</v>
      </c>
      <c r="J81" s="8"/>
      <c r="L81" s="8"/>
    </row>
    <row r="82" spans="1:12" ht="19.5" customHeight="1">
      <c r="A82" s="92"/>
      <c r="B82" s="92"/>
      <c r="C82" s="111">
        <v>4240</v>
      </c>
      <c r="D82" s="111" t="s">
        <v>574</v>
      </c>
      <c r="E82" s="112">
        <v>121773</v>
      </c>
      <c r="F82" s="112">
        <v>575</v>
      </c>
      <c r="G82" s="112"/>
      <c r="H82" s="112">
        <f aca="true" t="shared" si="6" ref="H82:H91">E82+G82-F82</f>
        <v>121198</v>
      </c>
      <c r="J82" s="8"/>
      <c r="L82" s="8"/>
    </row>
    <row r="83" spans="1:12" ht="19.5" customHeight="1">
      <c r="A83" s="92"/>
      <c r="B83" s="92"/>
      <c r="C83" s="111">
        <v>4260</v>
      </c>
      <c r="D83" s="111" t="s">
        <v>528</v>
      </c>
      <c r="E83" s="112">
        <v>1985029</v>
      </c>
      <c r="F83" s="112">
        <f>6796-5959</f>
        <v>837</v>
      </c>
      <c r="G83" s="112"/>
      <c r="H83" s="112">
        <f t="shared" si="6"/>
        <v>1984192</v>
      </c>
      <c r="J83" s="8"/>
      <c r="L83" s="8"/>
    </row>
    <row r="84" spans="1:12" ht="19.5" customHeight="1">
      <c r="A84" s="92"/>
      <c r="B84" s="92"/>
      <c r="C84" s="111">
        <v>4270</v>
      </c>
      <c r="D84" s="111" t="s">
        <v>605</v>
      </c>
      <c r="E84" s="112">
        <v>127731</v>
      </c>
      <c r="F84" s="112">
        <f>9000-575</f>
        <v>8425</v>
      </c>
      <c r="G84" s="112"/>
      <c r="H84" s="112">
        <f t="shared" si="6"/>
        <v>119306</v>
      </c>
      <c r="J84" s="8"/>
      <c r="L84" s="8"/>
    </row>
    <row r="85" spans="1:12" ht="19.5" customHeight="1">
      <c r="A85" s="92"/>
      <c r="B85" s="92"/>
      <c r="C85" s="111">
        <v>4280</v>
      </c>
      <c r="D85" s="111" t="s">
        <v>60</v>
      </c>
      <c r="E85" s="112">
        <v>31393</v>
      </c>
      <c r="F85" s="112"/>
      <c r="G85" s="112">
        <v>530</v>
      </c>
      <c r="H85" s="112">
        <f t="shared" si="6"/>
        <v>31923</v>
      </c>
      <c r="J85" s="8"/>
      <c r="L85" s="8"/>
    </row>
    <row r="86" spans="1:12" ht="19.5" customHeight="1">
      <c r="A86" s="92"/>
      <c r="B86" s="92"/>
      <c r="C86" s="111">
        <v>4300</v>
      </c>
      <c r="D86" s="111" t="s">
        <v>524</v>
      </c>
      <c r="E86" s="112">
        <v>1086612</v>
      </c>
      <c r="F86" s="112"/>
      <c r="G86" s="112">
        <f>6610-4069</f>
        <v>2541</v>
      </c>
      <c r="H86" s="112">
        <f t="shared" si="6"/>
        <v>1089153</v>
      </c>
      <c r="J86" s="8"/>
      <c r="L86" s="8"/>
    </row>
    <row r="87" spans="1:12" ht="19.5" customHeight="1">
      <c r="A87" s="92"/>
      <c r="B87" s="92"/>
      <c r="C87" s="111">
        <v>4410</v>
      </c>
      <c r="D87" s="111" t="s">
        <v>288</v>
      </c>
      <c r="E87" s="112">
        <v>11701</v>
      </c>
      <c r="F87" s="112"/>
      <c r="G87" s="112">
        <v>246</v>
      </c>
      <c r="H87" s="112">
        <f t="shared" si="6"/>
        <v>11947</v>
      </c>
      <c r="J87" s="8"/>
      <c r="L87" s="8"/>
    </row>
    <row r="88" spans="1:12" ht="19.5" customHeight="1">
      <c r="A88" s="92"/>
      <c r="B88" s="172">
        <v>80110</v>
      </c>
      <c r="C88" s="217"/>
      <c r="D88" s="172" t="s">
        <v>534</v>
      </c>
      <c r="E88" s="198">
        <v>51433520</v>
      </c>
      <c r="F88" s="198">
        <f>F89</f>
        <v>5000</v>
      </c>
      <c r="G88" s="198">
        <f>G89</f>
        <v>5000</v>
      </c>
      <c r="H88" s="198">
        <f t="shared" si="6"/>
        <v>51433520</v>
      </c>
      <c r="J88" s="8"/>
      <c r="L88" s="8"/>
    </row>
    <row r="89" spans="1:12" ht="19.5" customHeight="1">
      <c r="A89" s="92"/>
      <c r="B89" s="92"/>
      <c r="C89" s="165"/>
      <c r="D89" s="265" t="s">
        <v>527</v>
      </c>
      <c r="E89" s="195">
        <v>6405082</v>
      </c>
      <c r="F89" s="195">
        <f>SUM(F90:F91)</f>
        <v>5000</v>
      </c>
      <c r="G89" s="195">
        <f>SUM(G90:G91)</f>
        <v>5000</v>
      </c>
      <c r="H89" s="195">
        <f t="shared" si="6"/>
        <v>6405082</v>
      </c>
      <c r="J89" s="8"/>
      <c r="L89" s="8"/>
    </row>
    <row r="90" spans="1:12" ht="19.5" customHeight="1">
      <c r="A90" s="105"/>
      <c r="B90" s="105"/>
      <c r="C90" s="111">
        <v>4210</v>
      </c>
      <c r="D90" s="260" t="s">
        <v>525</v>
      </c>
      <c r="E90" s="112">
        <v>496429</v>
      </c>
      <c r="F90" s="112"/>
      <c r="G90" s="112">
        <v>5000</v>
      </c>
      <c r="H90" s="112">
        <f t="shared" si="6"/>
        <v>501429</v>
      </c>
      <c r="J90" s="8"/>
      <c r="L90" s="8"/>
    </row>
    <row r="91" spans="1:12" ht="19.5" customHeight="1">
      <c r="A91" s="92"/>
      <c r="B91" s="105"/>
      <c r="C91" s="111">
        <v>4260</v>
      </c>
      <c r="D91" s="111" t="s">
        <v>528</v>
      </c>
      <c r="E91" s="112">
        <v>2498465</v>
      </c>
      <c r="F91" s="112">
        <f>100000-95000</f>
        <v>5000</v>
      </c>
      <c r="G91" s="112"/>
      <c r="H91" s="112">
        <f t="shared" si="6"/>
        <v>2493465</v>
      </c>
      <c r="J91" s="8"/>
      <c r="L91" s="8"/>
    </row>
    <row r="92" spans="1:12" ht="19.5" customHeight="1">
      <c r="A92" s="163"/>
      <c r="B92" s="176">
        <v>80111</v>
      </c>
      <c r="C92" s="176"/>
      <c r="D92" s="176" t="s">
        <v>287</v>
      </c>
      <c r="E92" s="194">
        <v>3807000</v>
      </c>
      <c r="F92" s="194"/>
      <c r="G92" s="194">
        <f>G93+G95</f>
        <v>203000</v>
      </c>
      <c r="H92" s="194">
        <f aca="true" t="shared" si="7" ref="H92:H110">E92+G92-F92</f>
        <v>4010000</v>
      </c>
      <c r="I92" s="8"/>
      <c r="J92" s="8"/>
      <c r="L92" s="8"/>
    </row>
    <row r="93" spans="1:12" ht="18" customHeight="1">
      <c r="A93" s="92"/>
      <c r="B93" s="92"/>
      <c r="C93" s="92"/>
      <c r="D93" s="231" t="s">
        <v>430</v>
      </c>
      <c r="E93" s="232">
        <v>2917800</v>
      </c>
      <c r="F93" s="232"/>
      <c r="G93" s="232">
        <f>G94</f>
        <v>153000</v>
      </c>
      <c r="H93" s="232">
        <f t="shared" si="7"/>
        <v>3070800</v>
      </c>
      <c r="J93" s="8"/>
      <c r="L93" s="8"/>
    </row>
    <row r="94" spans="1:12" ht="18" customHeight="1">
      <c r="A94" s="92"/>
      <c r="B94" s="92"/>
      <c r="C94" s="111">
        <v>4010</v>
      </c>
      <c r="D94" s="397" t="s">
        <v>576</v>
      </c>
      <c r="E94" s="112">
        <v>2689307</v>
      </c>
      <c r="F94" s="112"/>
      <c r="G94" s="112">
        <v>153000</v>
      </c>
      <c r="H94" s="112">
        <f t="shared" si="7"/>
        <v>2842307</v>
      </c>
      <c r="J94" s="8"/>
      <c r="L94" s="8"/>
    </row>
    <row r="95" spans="1:12" s="413" customFormat="1" ht="19.5" customHeight="1">
      <c r="A95" s="411"/>
      <c r="B95" s="412"/>
      <c r="C95" s="399"/>
      <c r="D95" s="465" t="s">
        <v>58</v>
      </c>
      <c r="E95" s="486">
        <v>569200</v>
      </c>
      <c r="F95" s="486"/>
      <c r="G95" s="486">
        <f>G96</f>
        <v>50000</v>
      </c>
      <c r="H95" s="486">
        <f t="shared" si="7"/>
        <v>619200</v>
      </c>
      <c r="J95" s="414"/>
      <c r="L95" s="414"/>
    </row>
    <row r="96" spans="1:12" s="413" customFormat="1" ht="19.5" customHeight="1">
      <c r="A96" s="411"/>
      <c r="B96" s="415"/>
      <c r="C96" s="397">
        <v>4110</v>
      </c>
      <c r="D96" s="397" t="s">
        <v>529</v>
      </c>
      <c r="E96" s="409">
        <v>497700</v>
      </c>
      <c r="F96" s="409"/>
      <c r="G96" s="409">
        <v>50000</v>
      </c>
      <c r="H96" s="409">
        <f t="shared" si="7"/>
        <v>547700</v>
      </c>
      <c r="J96" s="414"/>
      <c r="L96" s="414"/>
    </row>
    <row r="97" spans="1:12" ht="19.5" customHeight="1">
      <c r="A97" s="163"/>
      <c r="B97" s="176">
        <v>80120</v>
      </c>
      <c r="C97" s="176"/>
      <c r="D97" s="176" t="s">
        <v>535</v>
      </c>
      <c r="E97" s="194">
        <v>45431000</v>
      </c>
      <c r="F97" s="194">
        <f>F98+F106+F108</f>
        <v>21525</v>
      </c>
      <c r="G97" s="194">
        <f>G98+G106+G108</f>
        <v>55025</v>
      </c>
      <c r="H97" s="194">
        <f t="shared" si="7"/>
        <v>45464500</v>
      </c>
      <c r="I97" s="8"/>
      <c r="J97" s="8"/>
      <c r="L97" s="8"/>
    </row>
    <row r="98" spans="1:12" ht="18" customHeight="1">
      <c r="A98" s="92"/>
      <c r="B98" s="92"/>
      <c r="C98" s="92"/>
      <c r="D98" s="231" t="s">
        <v>527</v>
      </c>
      <c r="E98" s="232">
        <v>5012000</v>
      </c>
      <c r="F98" s="232">
        <f>SUM(F99:F105)</f>
        <v>6525</v>
      </c>
      <c r="G98" s="232">
        <f>SUM(G99:G105)</f>
        <v>49525</v>
      </c>
      <c r="H98" s="232">
        <f t="shared" si="7"/>
        <v>5055000</v>
      </c>
      <c r="J98" s="8"/>
      <c r="L98" s="8"/>
    </row>
    <row r="99" spans="1:12" s="11" customFormat="1" ht="18" customHeight="1">
      <c r="A99" s="109"/>
      <c r="B99" s="109"/>
      <c r="C99" s="111">
        <v>3020</v>
      </c>
      <c r="D99" s="111" t="s">
        <v>616</v>
      </c>
      <c r="E99" s="112">
        <v>72175</v>
      </c>
      <c r="F99" s="112"/>
      <c r="G99" s="112">
        <v>2000</v>
      </c>
      <c r="H99" s="112">
        <f t="shared" si="7"/>
        <v>74175</v>
      </c>
      <c r="J99" s="12"/>
      <c r="L99" s="12"/>
    </row>
    <row r="100" spans="1:12" s="11" customFormat="1" ht="18" customHeight="1">
      <c r="A100" s="109"/>
      <c r="B100" s="109"/>
      <c r="C100" s="111">
        <v>4210</v>
      </c>
      <c r="D100" s="260" t="s">
        <v>525</v>
      </c>
      <c r="E100" s="112">
        <v>199900</v>
      </c>
      <c r="F100" s="112"/>
      <c r="G100" s="112">
        <v>17000</v>
      </c>
      <c r="H100" s="112">
        <f t="shared" si="7"/>
        <v>216900</v>
      </c>
      <c r="J100" s="12"/>
      <c r="L100" s="12"/>
    </row>
    <row r="101" spans="1:12" ht="18" customHeight="1">
      <c r="A101" s="92"/>
      <c r="B101" s="92"/>
      <c r="C101" s="111">
        <v>4260</v>
      </c>
      <c r="D101" s="397" t="s">
        <v>528</v>
      </c>
      <c r="E101" s="112">
        <v>1910960</v>
      </c>
      <c r="F101" s="112">
        <v>6525</v>
      </c>
      <c r="G101" s="112"/>
      <c r="H101" s="112">
        <f t="shared" si="7"/>
        <v>1904435</v>
      </c>
      <c r="J101" s="8"/>
      <c r="L101" s="8"/>
    </row>
    <row r="102" spans="1:12" ht="18" customHeight="1">
      <c r="A102" s="92"/>
      <c r="B102" s="92"/>
      <c r="C102" s="111">
        <v>4270</v>
      </c>
      <c r="D102" s="111" t="s">
        <v>604</v>
      </c>
      <c r="E102" s="112">
        <v>500000</v>
      </c>
      <c r="F102" s="112"/>
      <c r="G102" s="112">
        <v>1025</v>
      </c>
      <c r="H102" s="112">
        <f t="shared" si="7"/>
        <v>501025</v>
      </c>
      <c r="J102" s="8"/>
      <c r="L102" s="8"/>
    </row>
    <row r="103" spans="1:12" ht="18" customHeight="1">
      <c r="A103" s="92"/>
      <c r="B103" s="92"/>
      <c r="C103" s="111">
        <v>4300</v>
      </c>
      <c r="D103" s="397" t="s">
        <v>524</v>
      </c>
      <c r="E103" s="112">
        <v>230095</v>
      </c>
      <c r="F103" s="112"/>
      <c r="G103" s="112">
        <v>22500</v>
      </c>
      <c r="H103" s="112">
        <f t="shared" si="7"/>
        <v>252595</v>
      </c>
      <c r="J103" s="8"/>
      <c r="L103" s="8"/>
    </row>
    <row r="104" spans="1:12" ht="18" customHeight="1">
      <c r="A104" s="92"/>
      <c r="B104" s="92"/>
      <c r="C104" s="111">
        <v>4410</v>
      </c>
      <c r="D104" s="397" t="s">
        <v>288</v>
      </c>
      <c r="E104" s="112">
        <v>37150</v>
      </c>
      <c r="F104" s="112"/>
      <c r="G104" s="112">
        <v>1000</v>
      </c>
      <c r="H104" s="112">
        <f t="shared" si="7"/>
        <v>38150</v>
      </c>
      <c r="J104" s="8"/>
      <c r="L104" s="8"/>
    </row>
    <row r="105" spans="1:12" ht="18" customHeight="1">
      <c r="A105" s="92"/>
      <c r="B105" s="92"/>
      <c r="C105" s="111">
        <v>4420</v>
      </c>
      <c r="D105" s="397" t="s">
        <v>744</v>
      </c>
      <c r="E105" s="112">
        <v>7300</v>
      </c>
      <c r="F105" s="112"/>
      <c r="G105" s="112">
        <v>6000</v>
      </c>
      <c r="H105" s="112">
        <f t="shared" si="7"/>
        <v>13300</v>
      </c>
      <c r="J105" s="8"/>
      <c r="L105" s="8"/>
    </row>
    <row r="106" spans="1:12" s="413" customFormat="1" ht="18.75" customHeight="1">
      <c r="A106" s="411"/>
      <c r="B106" s="412"/>
      <c r="C106" s="399"/>
      <c r="D106" s="465" t="s">
        <v>58</v>
      </c>
      <c r="E106" s="486">
        <v>5769900</v>
      </c>
      <c r="F106" s="486">
        <f>F107</f>
        <v>15000</v>
      </c>
      <c r="G106" s="486"/>
      <c r="H106" s="486">
        <f t="shared" si="7"/>
        <v>5754900</v>
      </c>
      <c r="J106" s="414"/>
      <c r="L106" s="414"/>
    </row>
    <row r="107" spans="1:12" s="413" customFormat="1" ht="18.75" customHeight="1">
      <c r="A107" s="411"/>
      <c r="B107" s="412"/>
      <c r="C107" s="397">
        <v>4110</v>
      </c>
      <c r="D107" s="397" t="s">
        <v>529</v>
      </c>
      <c r="E107" s="409">
        <v>5052280</v>
      </c>
      <c r="F107" s="409">
        <v>15000</v>
      </c>
      <c r="G107" s="409"/>
      <c r="H107" s="409">
        <f t="shared" si="7"/>
        <v>5037280</v>
      </c>
      <c r="J107" s="414"/>
      <c r="L107" s="414"/>
    </row>
    <row r="108" spans="1:12" ht="18.75" customHeight="1">
      <c r="A108" s="92"/>
      <c r="B108" s="92"/>
      <c r="C108" s="108"/>
      <c r="D108" s="509" t="s">
        <v>473</v>
      </c>
      <c r="E108" s="195">
        <v>701500</v>
      </c>
      <c r="F108" s="195"/>
      <c r="G108" s="195">
        <f>G110</f>
        <v>5500</v>
      </c>
      <c r="H108" s="195">
        <f t="shared" si="7"/>
        <v>707000</v>
      </c>
      <c r="J108" s="8"/>
      <c r="L108" s="8"/>
    </row>
    <row r="109" spans="1:12" s="11" customFormat="1" ht="18.75" customHeight="1">
      <c r="A109" s="109"/>
      <c r="B109" s="109"/>
      <c r="C109" s="109"/>
      <c r="D109" s="473" t="s">
        <v>339</v>
      </c>
      <c r="E109" s="247"/>
      <c r="F109" s="247"/>
      <c r="G109" s="247">
        <f>G110</f>
        <v>5500</v>
      </c>
      <c r="H109" s="247">
        <f t="shared" si="7"/>
        <v>5500</v>
      </c>
      <c r="J109" s="12"/>
      <c r="L109" s="12"/>
    </row>
    <row r="110" spans="1:12" ht="18.75" customHeight="1">
      <c r="A110" s="92"/>
      <c r="B110" s="105"/>
      <c r="C110" s="111">
        <v>6060</v>
      </c>
      <c r="D110" s="397" t="s">
        <v>338</v>
      </c>
      <c r="E110" s="112"/>
      <c r="F110" s="112"/>
      <c r="G110" s="112">
        <v>5500</v>
      </c>
      <c r="H110" s="112">
        <f t="shared" si="7"/>
        <v>5500</v>
      </c>
      <c r="J110" s="8"/>
      <c r="L110" s="8"/>
    </row>
    <row r="111" spans="1:12" ht="18.75" customHeight="1">
      <c r="A111" s="163"/>
      <c r="B111" s="176">
        <v>80123</v>
      </c>
      <c r="C111" s="176"/>
      <c r="D111" s="176" t="s">
        <v>296</v>
      </c>
      <c r="E111" s="194">
        <v>7877000</v>
      </c>
      <c r="F111" s="194"/>
      <c r="G111" s="194">
        <f>G112+G116</f>
        <v>38000</v>
      </c>
      <c r="H111" s="194">
        <f aca="true" t="shared" si="8" ref="H111:H117">E111+G111-F111</f>
        <v>7915000</v>
      </c>
      <c r="I111" s="8"/>
      <c r="J111" s="8"/>
      <c r="L111" s="8"/>
    </row>
    <row r="112" spans="1:12" ht="18.75" customHeight="1">
      <c r="A112" s="92"/>
      <c r="B112" s="92"/>
      <c r="C112" s="92"/>
      <c r="D112" s="231" t="s">
        <v>527</v>
      </c>
      <c r="E112" s="232">
        <v>565000</v>
      </c>
      <c r="F112" s="232"/>
      <c r="G112" s="232">
        <f>SUM(G113:G115)</f>
        <v>23000</v>
      </c>
      <c r="H112" s="232">
        <f t="shared" si="8"/>
        <v>588000</v>
      </c>
      <c r="J112" s="8"/>
      <c r="L112" s="8"/>
    </row>
    <row r="113" spans="1:12" s="11" customFormat="1" ht="18.75" customHeight="1">
      <c r="A113" s="109"/>
      <c r="B113" s="109"/>
      <c r="C113" s="111">
        <v>4210</v>
      </c>
      <c r="D113" s="260" t="s">
        <v>525</v>
      </c>
      <c r="E113" s="112">
        <v>24650</v>
      </c>
      <c r="F113" s="112"/>
      <c r="G113" s="112">
        <v>6000</v>
      </c>
      <c r="H113" s="112">
        <f t="shared" si="8"/>
        <v>30650</v>
      </c>
      <c r="J113" s="12"/>
      <c r="L113" s="12"/>
    </row>
    <row r="114" spans="1:12" s="11" customFormat="1" ht="18.75" customHeight="1">
      <c r="A114" s="109"/>
      <c r="B114" s="109"/>
      <c r="C114" s="111">
        <v>4260</v>
      </c>
      <c r="D114" s="260" t="s">
        <v>528</v>
      </c>
      <c r="E114" s="112">
        <v>141550</v>
      </c>
      <c r="F114" s="112"/>
      <c r="G114" s="112">
        <v>8000</v>
      </c>
      <c r="H114" s="112">
        <f t="shared" si="8"/>
        <v>149550</v>
      </c>
      <c r="J114" s="12"/>
      <c r="L114" s="12"/>
    </row>
    <row r="115" spans="1:12" ht="18.75" customHeight="1">
      <c r="A115" s="92"/>
      <c r="B115" s="92"/>
      <c r="C115" s="111">
        <v>4300</v>
      </c>
      <c r="D115" s="397" t="s">
        <v>524</v>
      </c>
      <c r="E115" s="112">
        <v>16100</v>
      </c>
      <c r="F115" s="112"/>
      <c r="G115" s="112">
        <v>9000</v>
      </c>
      <c r="H115" s="112">
        <f t="shared" si="8"/>
        <v>25100</v>
      </c>
      <c r="J115" s="8"/>
      <c r="L115" s="8"/>
    </row>
    <row r="116" spans="1:12" s="413" customFormat="1" ht="18.75" customHeight="1">
      <c r="A116" s="411"/>
      <c r="B116" s="412"/>
      <c r="C116" s="399"/>
      <c r="D116" s="465" t="s">
        <v>58</v>
      </c>
      <c r="E116" s="486">
        <v>1108200</v>
      </c>
      <c r="F116" s="486"/>
      <c r="G116" s="486">
        <f>G117</f>
        <v>15000</v>
      </c>
      <c r="H116" s="486">
        <f t="shared" si="8"/>
        <v>1123200</v>
      </c>
      <c r="J116" s="414"/>
      <c r="L116" s="414"/>
    </row>
    <row r="117" spans="1:12" s="413" customFormat="1" ht="18.75" customHeight="1">
      <c r="A117" s="411"/>
      <c r="B117" s="415"/>
      <c r="C117" s="397">
        <v>4110</v>
      </c>
      <c r="D117" s="397" t="s">
        <v>529</v>
      </c>
      <c r="E117" s="409">
        <v>969300</v>
      </c>
      <c r="F117" s="409"/>
      <c r="G117" s="409">
        <f>30000-15000</f>
        <v>15000</v>
      </c>
      <c r="H117" s="409">
        <f t="shared" si="8"/>
        <v>984300</v>
      </c>
      <c r="J117" s="414"/>
      <c r="L117" s="414"/>
    </row>
    <row r="118" spans="1:12" ht="18.75" customHeight="1">
      <c r="A118" s="163"/>
      <c r="B118" s="176">
        <v>80130</v>
      </c>
      <c r="C118" s="176"/>
      <c r="D118" s="176" t="s">
        <v>536</v>
      </c>
      <c r="E118" s="194">
        <v>45880332</v>
      </c>
      <c r="F118" s="194">
        <f>F119+F123</f>
        <v>89500</v>
      </c>
      <c r="G118" s="194">
        <f>G119+G123</f>
        <v>18000</v>
      </c>
      <c r="H118" s="194">
        <f aca="true" t="shared" si="9" ref="H118:H129">E118+G118-F118</f>
        <v>45808832</v>
      </c>
      <c r="I118" s="8"/>
      <c r="J118" s="8"/>
      <c r="L118" s="8"/>
    </row>
    <row r="119" spans="1:12" ht="18.75" customHeight="1">
      <c r="A119" s="92"/>
      <c r="B119" s="92"/>
      <c r="C119" s="92"/>
      <c r="D119" s="231" t="s">
        <v>527</v>
      </c>
      <c r="E119" s="232">
        <v>5443132</v>
      </c>
      <c r="F119" s="232">
        <f>SUM(F120:F121)</f>
        <v>59500</v>
      </c>
      <c r="G119" s="232">
        <f>SUM(G120:G121)</f>
        <v>18000</v>
      </c>
      <c r="H119" s="232">
        <f t="shared" si="9"/>
        <v>5401632</v>
      </c>
      <c r="J119" s="8"/>
      <c r="L119" s="8"/>
    </row>
    <row r="120" spans="1:12" ht="18.75" customHeight="1">
      <c r="A120" s="92"/>
      <c r="B120" s="92"/>
      <c r="C120" s="111">
        <v>4260</v>
      </c>
      <c r="D120" s="397" t="s">
        <v>528</v>
      </c>
      <c r="E120" s="112">
        <v>2052530</v>
      </c>
      <c r="F120" s="112">
        <v>59500</v>
      </c>
      <c r="G120" s="112"/>
      <c r="H120" s="112">
        <f t="shared" si="9"/>
        <v>1993030</v>
      </c>
      <c r="J120" s="8"/>
      <c r="L120" s="8"/>
    </row>
    <row r="121" spans="1:12" ht="18.75" customHeight="1">
      <c r="A121" s="92"/>
      <c r="B121" s="92"/>
      <c r="C121" s="109">
        <v>4300</v>
      </c>
      <c r="D121" s="396" t="s">
        <v>524</v>
      </c>
      <c r="E121" s="110">
        <v>384360</v>
      </c>
      <c r="F121" s="110"/>
      <c r="G121" s="110">
        <v>18000</v>
      </c>
      <c r="H121" s="110">
        <f t="shared" si="9"/>
        <v>402360</v>
      </c>
      <c r="J121" s="8"/>
      <c r="L121" s="8"/>
    </row>
    <row r="122" spans="1:12" ht="18.75" customHeight="1">
      <c r="A122" s="1061"/>
      <c r="B122" s="1061"/>
      <c r="C122" s="1062"/>
      <c r="D122" s="1071"/>
      <c r="E122" s="1063"/>
      <c r="F122" s="1063"/>
      <c r="G122" s="1063"/>
      <c r="H122" s="1063"/>
      <c r="J122" s="8"/>
      <c r="L122" s="8"/>
    </row>
    <row r="123" spans="1:12" s="413" customFormat="1" ht="18.75" customHeight="1">
      <c r="A123" s="411"/>
      <c r="B123" s="412"/>
      <c r="C123" s="399"/>
      <c r="D123" s="465" t="s">
        <v>58</v>
      </c>
      <c r="E123" s="486">
        <v>5127000</v>
      </c>
      <c r="F123" s="416">
        <f>F124</f>
        <v>30000</v>
      </c>
      <c r="G123" s="486"/>
      <c r="H123" s="486">
        <f>E123+G123-F123</f>
        <v>5097000</v>
      </c>
      <c r="J123" s="414"/>
      <c r="L123" s="414"/>
    </row>
    <row r="124" spans="1:12" s="413" customFormat="1" ht="19.5" customHeight="1">
      <c r="A124" s="92"/>
      <c r="B124" s="176"/>
      <c r="C124" s="397">
        <v>4110</v>
      </c>
      <c r="D124" s="397" t="s">
        <v>529</v>
      </c>
      <c r="E124" s="409">
        <v>4496410</v>
      </c>
      <c r="F124" s="409">
        <v>30000</v>
      </c>
      <c r="G124" s="409"/>
      <c r="H124" s="409">
        <f>E124+G124-F124</f>
        <v>4466410</v>
      </c>
      <c r="J124" s="414"/>
      <c r="L124" s="414"/>
    </row>
    <row r="125" spans="1:12" ht="25.5" customHeight="1">
      <c r="A125" s="163"/>
      <c r="B125" s="176">
        <v>80140</v>
      </c>
      <c r="C125" s="176"/>
      <c r="D125" s="173" t="s">
        <v>74</v>
      </c>
      <c r="E125" s="407">
        <v>9188648</v>
      </c>
      <c r="F125" s="194">
        <f>F126+F128</f>
        <v>1900</v>
      </c>
      <c r="G125" s="194">
        <f>G126+G128</f>
        <v>1900</v>
      </c>
      <c r="H125" s="194">
        <f t="shared" si="9"/>
        <v>9188648</v>
      </c>
      <c r="I125" s="8"/>
      <c r="J125" s="8"/>
      <c r="L125" s="8"/>
    </row>
    <row r="126" spans="1:12" ht="18.75" customHeight="1">
      <c r="A126" s="92"/>
      <c r="B126" s="92"/>
      <c r="C126" s="92"/>
      <c r="D126" s="231" t="s">
        <v>527</v>
      </c>
      <c r="E126" s="232">
        <v>1319668</v>
      </c>
      <c r="F126" s="232"/>
      <c r="G126" s="232">
        <f>G127</f>
        <v>1900</v>
      </c>
      <c r="H126" s="232">
        <f t="shared" si="9"/>
        <v>1321568</v>
      </c>
      <c r="J126" s="8"/>
      <c r="L126" s="8"/>
    </row>
    <row r="127" spans="1:12" ht="18.75" customHeight="1">
      <c r="A127" s="92"/>
      <c r="B127" s="92"/>
      <c r="C127" s="111">
        <v>3020</v>
      </c>
      <c r="D127" s="111" t="s">
        <v>616</v>
      </c>
      <c r="E127" s="112">
        <v>20620</v>
      </c>
      <c r="F127" s="112"/>
      <c r="G127" s="112">
        <v>1900</v>
      </c>
      <c r="H127" s="112">
        <f t="shared" si="9"/>
        <v>22520</v>
      </c>
      <c r="J127" s="8"/>
      <c r="L127" s="8"/>
    </row>
    <row r="128" spans="1:12" s="413" customFormat="1" ht="19.5" customHeight="1">
      <c r="A128" s="411"/>
      <c r="B128" s="412"/>
      <c r="C128" s="399"/>
      <c r="D128" s="465" t="s">
        <v>58</v>
      </c>
      <c r="E128" s="486">
        <v>1274400</v>
      </c>
      <c r="F128" s="416">
        <f>F129</f>
        <v>1900</v>
      </c>
      <c r="G128" s="486"/>
      <c r="H128" s="486">
        <f t="shared" si="9"/>
        <v>1272500</v>
      </c>
      <c r="J128" s="414"/>
      <c r="L128" s="414"/>
    </row>
    <row r="129" spans="1:12" ht="19.5" customHeight="1">
      <c r="A129" s="92"/>
      <c r="B129" s="176"/>
      <c r="C129" s="397">
        <v>4110</v>
      </c>
      <c r="D129" s="397" t="s">
        <v>529</v>
      </c>
      <c r="E129" s="409">
        <v>1116500</v>
      </c>
      <c r="F129" s="409">
        <v>1900</v>
      </c>
      <c r="G129" s="409"/>
      <c r="H129" s="409">
        <f t="shared" si="9"/>
        <v>1114600</v>
      </c>
      <c r="J129" s="8"/>
      <c r="L129" s="8"/>
    </row>
    <row r="130" spans="1:12" ht="19.5" customHeight="1">
      <c r="A130" s="92"/>
      <c r="B130" s="172">
        <v>80195</v>
      </c>
      <c r="C130" s="176"/>
      <c r="D130" s="176" t="s">
        <v>531</v>
      </c>
      <c r="E130" s="194">
        <v>2333750</v>
      </c>
      <c r="F130" s="194"/>
      <c r="G130" s="194">
        <f>G131</f>
        <v>1500</v>
      </c>
      <c r="H130" s="194">
        <f>E130-F130+G130</f>
        <v>2335250</v>
      </c>
      <c r="J130" s="8"/>
      <c r="L130" s="8"/>
    </row>
    <row r="131" spans="1:12" ht="19.5" customHeight="1">
      <c r="A131" s="92"/>
      <c r="B131" s="108"/>
      <c r="C131" s="135"/>
      <c r="D131" s="265" t="s">
        <v>308</v>
      </c>
      <c r="E131" s="195"/>
      <c r="F131" s="195"/>
      <c r="G131" s="195">
        <f>G132</f>
        <v>1500</v>
      </c>
      <c r="H131" s="195">
        <f>E131-F131+G131</f>
        <v>1500</v>
      </c>
      <c r="J131" s="8"/>
      <c r="L131" s="8"/>
    </row>
    <row r="132" spans="1:12" ht="19.5" customHeight="1">
      <c r="A132" s="92"/>
      <c r="B132" s="92"/>
      <c r="C132" s="111">
        <v>4170</v>
      </c>
      <c r="D132" s="111" t="s">
        <v>610</v>
      </c>
      <c r="E132" s="112"/>
      <c r="F132" s="112"/>
      <c r="G132" s="112">
        <v>1500</v>
      </c>
      <c r="H132" s="112">
        <f>E132-F132+G132</f>
        <v>1500</v>
      </c>
      <c r="J132" s="8"/>
      <c r="L132" s="8"/>
    </row>
    <row r="133" spans="1:12" ht="18" customHeight="1">
      <c r="A133" s="115">
        <v>851</v>
      </c>
      <c r="B133" s="115"/>
      <c r="C133" s="203"/>
      <c r="D133" s="132" t="s">
        <v>620</v>
      </c>
      <c r="E133" s="133">
        <v>12655000</v>
      </c>
      <c r="F133" s="133">
        <f>F134+F140+F147</f>
        <v>45157</v>
      </c>
      <c r="G133" s="133">
        <f>G134+G140+G147</f>
        <v>45157</v>
      </c>
      <c r="H133" s="133">
        <f aca="true" t="shared" si="10" ref="H133:H139">E133+G133-F133</f>
        <v>12655000</v>
      </c>
      <c r="J133" s="8"/>
      <c r="L133" s="8"/>
    </row>
    <row r="134" spans="1:12" ht="18" customHeight="1">
      <c r="A134" s="92"/>
      <c r="B134" s="172">
        <v>85153</v>
      </c>
      <c r="C134" s="176"/>
      <c r="D134" s="173" t="s">
        <v>420</v>
      </c>
      <c r="E134" s="198">
        <v>110000</v>
      </c>
      <c r="F134" s="198">
        <f>F135</f>
        <v>2159</v>
      </c>
      <c r="G134" s="198">
        <f>G135</f>
        <v>2159</v>
      </c>
      <c r="H134" s="198">
        <f t="shared" si="10"/>
        <v>110000</v>
      </c>
      <c r="J134" s="8"/>
      <c r="L134" s="8"/>
    </row>
    <row r="135" spans="1:12" ht="27" customHeight="1">
      <c r="A135" s="92"/>
      <c r="B135" s="92"/>
      <c r="C135" s="92"/>
      <c r="D135" s="119" t="s">
        <v>489</v>
      </c>
      <c r="E135" s="232">
        <v>110000</v>
      </c>
      <c r="F135" s="232">
        <f>F136</f>
        <v>2159</v>
      </c>
      <c r="G135" s="232">
        <f>G136</f>
        <v>2159</v>
      </c>
      <c r="H135" s="232">
        <f t="shared" si="10"/>
        <v>110000</v>
      </c>
      <c r="J135" s="8"/>
      <c r="L135" s="8"/>
    </row>
    <row r="136" spans="1:12" ht="18" customHeight="1">
      <c r="A136" s="92"/>
      <c r="B136" s="92"/>
      <c r="C136" s="92"/>
      <c r="D136" s="257" t="s">
        <v>425</v>
      </c>
      <c r="E136" s="259">
        <v>60000</v>
      </c>
      <c r="F136" s="259">
        <f>SUM(F137:F139)</f>
        <v>2159</v>
      </c>
      <c r="G136" s="259">
        <f>SUM(G137:G139)</f>
        <v>2159</v>
      </c>
      <c r="H136" s="259">
        <f t="shared" si="10"/>
        <v>60000</v>
      </c>
      <c r="J136" s="8"/>
      <c r="L136" s="8"/>
    </row>
    <row r="137" spans="1:12" s="11" customFormat="1" ht="18" customHeight="1">
      <c r="A137" s="109"/>
      <c r="B137" s="109"/>
      <c r="C137" s="111">
        <v>4170</v>
      </c>
      <c r="D137" s="116" t="s">
        <v>610</v>
      </c>
      <c r="E137" s="112">
        <v>1931</v>
      </c>
      <c r="F137" s="112"/>
      <c r="G137" s="112">
        <v>2159</v>
      </c>
      <c r="H137" s="112">
        <f>E137+G137-F137</f>
        <v>4090</v>
      </c>
      <c r="J137" s="12"/>
      <c r="L137" s="12"/>
    </row>
    <row r="138" spans="1:12" ht="18" customHeight="1">
      <c r="A138" s="92"/>
      <c r="B138" s="92"/>
      <c r="C138" s="111">
        <v>4210</v>
      </c>
      <c r="D138" s="260" t="s">
        <v>525</v>
      </c>
      <c r="E138" s="112">
        <v>23832</v>
      </c>
      <c r="F138" s="112">
        <v>759</v>
      </c>
      <c r="G138" s="112"/>
      <c r="H138" s="112">
        <f t="shared" si="10"/>
        <v>23073</v>
      </c>
      <c r="J138" s="8"/>
      <c r="L138" s="8"/>
    </row>
    <row r="139" spans="1:12" ht="18" customHeight="1">
      <c r="A139" s="92"/>
      <c r="B139" s="92"/>
      <c r="C139" s="111">
        <v>4300</v>
      </c>
      <c r="D139" s="111" t="s">
        <v>524</v>
      </c>
      <c r="E139" s="166">
        <v>22017</v>
      </c>
      <c r="F139" s="166">
        <v>1400</v>
      </c>
      <c r="G139" s="166"/>
      <c r="H139" s="166">
        <f t="shared" si="10"/>
        <v>20617</v>
      </c>
      <c r="J139" s="8"/>
      <c r="L139" s="8"/>
    </row>
    <row r="140" spans="1:12" ht="18" customHeight="1">
      <c r="A140" s="92"/>
      <c r="B140" s="172">
        <v>85154</v>
      </c>
      <c r="C140" s="176"/>
      <c r="D140" s="173" t="s">
        <v>621</v>
      </c>
      <c r="E140" s="198">
        <v>5000000</v>
      </c>
      <c r="F140" s="198">
        <f>F141</f>
        <v>36998</v>
      </c>
      <c r="G140" s="198">
        <f>G141</f>
        <v>36998</v>
      </c>
      <c r="H140" s="198">
        <f>E140+G140-F140</f>
        <v>5000000</v>
      </c>
      <c r="J140" s="8"/>
      <c r="L140" s="8"/>
    </row>
    <row r="141" spans="1:12" ht="27" customHeight="1">
      <c r="A141" s="92"/>
      <c r="B141" s="92"/>
      <c r="C141" s="92"/>
      <c r="D141" s="180" t="s">
        <v>490</v>
      </c>
      <c r="E141" s="232">
        <v>5000000</v>
      </c>
      <c r="F141" s="232">
        <f>F142</f>
        <v>36998</v>
      </c>
      <c r="G141" s="232">
        <f>G142</f>
        <v>36998</v>
      </c>
      <c r="H141" s="232">
        <f>E141+G141-F141</f>
        <v>5000000</v>
      </c>
      <c r="J141" s="8"/>
      <c r="L141" s="8"/>
    </row>
    <row r="142" spans="1:12" ht="92.25" customHeight="1">
      <c r="A142" s="92"/>
      <c r="B142" s="92"/>
      <c r="C142" s="109"/>
      <c r="D142" s="401" t="s">
        <v>422</v>
      </c>
      <c r="E142" s="113">
        <v>1200000</v>
      </c>
      <c r="F142" s="113">
        <f>SUM(F143:F146)</f>
        <v>36998</v>
      </c>
      <c r="G142" s="113">
        <f>SUM(G143:G146)</f>
        <v>36998</v>
      </c>
      <c r="H142" s="113">
        <f aca="true" t="shared" si="11" ref="H142:H159">E142+G142-F142</f>
        <v>1200000</v>
      </c>
      <c r="J142" s="8"/>
      <c r="L142" s="8"/>
    </row>
    <row r="143" spans="1:12" ht="18" customHeight="1">
      <c r="A143" s="92"/>
      <c r="B143" s="92"/>
      <c r="C143" s="111">
        <v>4170</v>
      </c>
      <c r="D143" s="260" t="s">
        <v>610</v>
      </c>
      <c r="E143" s="262">
        <v>108432</v>
      </c>
      <c r="F143" s="262"/>
      <c r="G143" s="262">
        <v>36998</v>
      </c>
      <c r="H143" s="262">
        <f t="shared" si="11"/>
        <v>145430</v>
      </c>
      <c r="J143" s="8"/>
      <c r="L143" s="8"/>
    </row>
    <row r="144" spans="1:12" ht="18" customHeight="1">
      <c r="A144" s="92"/>
      <c r="B144" s="92"/>
      <c r="C144" s="111">
        <v>4110</v>
      </c>
      <c r="D144" s="397" t="s">
        <v>529</v>
      </c>
      <c r="E144" s="112">
        <v>15092</v>
      </c>
      <c r="F144" s="112">
        <v>167</v>
      </c>
      <c r="G144" s="112"/>
      <c r="H144" s="112">
        <f t="shared" si="11"/>
        <v>14925</v>
      </c>
      <c r="J144" s="8"/>
      <c r="L144" s="8"/>
    </row>
    <row r="145" spans="1:12" ht="18" customHeight="1">
      <c r="A145" s="92"/>
      <c r="B145" s="92"/>
      <c r="C145" s="111">
        <v>4120</v>
      </c>
      <c r="D145" s="490" t="s">
        <v>530</v>
      </c>
      <c r="E145" s="112">
        <v>2061</v>
      </c>
      <c r="F145" s="112">
        <v>22</v>
      </c>
      <c r="G145" s="112"/>
      <c r="H145" s="112">
        <f t="shared" si="11"/>
        <v>2039</v>
      </c>
      <c r="J145" s="8"/>
      <c r="L145" s="8"/>
    </row>
    <row r="146" spans="1:12" ht="18" customHeight="1">
      <c r="A146" s="92"/>
      <c r="B146" s="105"/>
      <c r="C146" s="111">
        <v>4300</v>
      </c>
      <c r="D146" s="111" t="s">
        <v>524</v>
      </c>
      <c r="E146" s="166">
        <v>594601</v>
      </c>
      <c r="F146" s="166">
        <v>36809</v>
      </c>
      <c r="G146" s="166"/>
      <c r="H146" s="166">
        <f t="shared" si="11"/>
        <v>557792</v>
      </c>
      <c r="J146" s="8"/>
      <c r="L146" s="8"/>
    </row>
    <row r="147" spans="1:12" ht="19.5" customHeight="1">
      <c r="A147" s="92"/>
      <c r="B147" s="176">
        <v>85195</v>
      </c>
      <c r="C147" s="176"/>
      <c r="D147" s="173" t="s">
        <v>531</v>
      </c>
      <c r="E147" s="194">
        <v>445000</v>
      </c>
      <c r="F147" s="194">
        <f>F148</f>
        <v>6000</v>
      </c>
      <c r="G147" s="194">
        <f>G148</f>
        <v>6000</v>
      </c>
      <c r="H147" s="194">
        <f aca="true" t="shared" si="12" ref="H147:H152">E147+G147-F147</f>
        <v>445000</v>
      </c>
      <c r="J147" s="8"/>
      <c r="L147" s="8"/>
    </row>
    <row r="148" spans="1:12" ht="27.75" customHeight="1">
      <c r="A148" s="105"/>
      <c r="B148" s="105"/>
      <c r="C148" s="182"/>
      <c r="D148" s="877" t="s">
        <v>491</v>
      </c>
      <c r="E148" s="206">
        <v>425000</v>
      </c>
      <c r="F148" s="206">
        <f>F149</f>
        <v>6000</v>
      </c>
      <c r="G148" s="206">
        <f>G149</f>
        <v>6000</v>
      </c>
      <c r="H148" s="206">
        <f t="shared" si="12"/>
        <v>425000</v>
      </c>
      <c r="J148" s="8"/>
      <c r="L148" s="8"/>
    </row>
    <row r="149" spans="1:12" ht="25.5" customHeight="1">
      <c r="A149" s="92"/>
      <c r="B149" s="92"/>
      <c r="C149" s="92"/>
      <c r="D149" s="401" t="s">
        <v>429</v>
      </c>
      <c r="E149" s="1142">
        <v>150000</v>
      </c>
      <c r="F149" s="1142">
        <f>F150+F151</f>
        <v>6000</v>
      </c>
      <c r="G149" s="1142">
        <f>G150+G151</f>
        <v>6000</v>
      </c>
      <c r="H149" s="1142">
        <f t="shared" si="12"/>
        <v>150000</v>
      </c>
      <c r="J149" s="8"/>
      <c r="L149" s="8"/>
    </row>
    <row r="150" spans="1:12" ht="18.75" customHeight="1">
      <c r="A150" s="92"/>
      <c r="B150" s="92"/>
      <c r="C150" s="111">
        <v>4300</v>
      </c>
      <c r="D150" s="111" t="s">
        <v>524</v>
      </c>
      <c r="E150" s="112">
        <v>54740</v>
      </c>
      <c r="F150" s="112">
        <v>6000</v>
      </c>
      <c r="G150" s="112"/>
      <c r="H150" s="112">
        <f t="shared" si="12"/>
        <v>48740</v>
      </c>
      <c r="J150" s="8"/>
      <c r="L150" s="8"/>
    </row>
    <row r="151" spans="1:12" s="11" customFormat="1" ht="18.75" customHeight="1">
      <c r="A151" s="109"/>
      <c r="B151" s="109"/>
      <c r="C151" s="165"/>
      <c r="D151" s="1140" t="s">
        <v>152</v>
      </c>
      <c r="E151" s="1132"/>
      <c r="F151" s="1132"/>
      <c r="G151" s="1132">
        <f>G152</f>
        <v>6000</v>
      </c>
      <c r="H151" s="1132">
        <f t="shared" si="12"/>
        <v>6000</v>
      </c>
      <c r="J151" s="12"/>
      <c r="L151" s="12"/>
    </row>
    <row r="152" spans="1:12" ht="18.75" customHeight="1">
      <c r="A152" s="92"/>
      <c r="B152" s="92"/>
      <c r="C152" s="397">
        <v>6060</v>
      </c>
      <c r="D152" s="10" t="s">
        <v>338</v>
      </c>
      <c r="E152" s="112"/>
      <c r="F152" s="112"/>
      <c r="G152" s="112">
        <v>6000</v>
      </c>
      <c r="H152" s="112">
        <f t="shared" si="12"/>
        <v>6000</v>
      </c>
      <c r="J152" s="8"/>
      <c r="L152" s="8"/>
    </row>
    <row r="153" spans="1:12" ht="18.75" customHeight="1">
      <c r="A153" s="115">
        <v>852</v>
      </c>
      <c r="B153" s="115"/>
      <c r="C153" s="196"/>
      <c r="D153" s="115" t="s">
        <v>511</v>
      </c>
      <c r="E153" s="133">
        <v>86181970</v>
      </c>
      <c r="F153" s="133">
        <f>F154+F160+F172+F177</f>
        <v>131845</v>
      </c>
      <c r="G153" s="133">
        <f>G154+G160+G172+G177</f>
        <v>259445</v>
      </c>
      <c r="H153" s="133">
        <f t="shared" si="11"/>
        <v>86309570</v>
      </c>
      <c r="J153" s="8"/>
      <c r="L153" s="8"/>
    </row>
    <row r="154" spans="1:12" ht="18.75" customHeight="1">
      <c r="A154" s="92"/>
      <c r="B154" s="176">
        <v>85201</v>
      </c>
      <c r="C154" s="176"/>
      <c r="D154" s="173" t="s">
        <v>85</v>
      </c>
      <c r="E154" s="194">
        <v>10501900</v>
      </c>
      <c r="F154" s="194">
        <f>F155+F157</f>
        <v>101445</v>
      </c>
      <c r="G154" s="194">
        <f>G155+G157</f>
        <v>1445</v>
      </c>
      <c r="H154" s="194">
        <f t="shared" si="11"/>
        <v>10401900</v>
      </c>
      <c r="J154" s="8"/>
      <c r="L154" s="8"/>
    </row>
    <row r="155" spans="1:12" ht="18.75" customHeight="1">
      <c r="A155" s="92"/>
      <c r="B155" s="92"/>
      <c r="C155" s="92"/>
      <c r="D155" s="234" t="s">
        <v>527</v>
      </c>
      <c r="E155" s="232">
        <v>1808490</v>
      </c>
      <c r="F155" s="232">
        <f>F156</f>
        <v>101445</v>
      </c>
      <c r="G155" s="232"/>
      <c r="H155" s="232">
        <f t="shared" si="11"/>
        <v>1707045</v>
      </c>
      <c r="J155" s="8"/>
      <c r="L155" s="8"/>
    </row>
    <row r="156" spans="1:12" ht="18.75" customHeight="1">
      <c r="A156" s="92"/>
      <c r="B156" s="92"/>
      <c r="C156" s="111">
        <v>4270</v>
      </c>
      <c r="D156" s="397" t="s">
        <v>167</v>
      </c>
      <c r="E156" s="112">
        <v>238790</v>
      </c>
      <c r="F156" s="112">
        <f>1445+100000</f>
        <v>101445</v>
      </c>
      <c r="G156" s="112"/>
      <c r="H156" s="112">
        <f t="shared" si="11"/>
        <v>137345</v>
      </c>
      <c r="J156" s="8"/>
      <c r="L156" s="8"/>
    </row>
    <row r="157" spans="1:12" ht="18.75" customHeight="1">
      <c r="A157" s="92"/>
      <c r="B157" s="92"/>
      <c r="C157" s="92"/>
      <c r="D157" s="509" t="s">
        <v>473</v>
      </c>
      <c r="E157" s="195">
        <v>1097210</v>
      </c>
      <c r="F157" s="195"/>
      <c r="G157" s="195">
        <f>G159</f>
        <v>1445</v>
      </c>
      <c r="H157" s="195">
        <f t="shared" si="11"/>
        <v>1098655</v>
      </c>
      <c r="J157" s="8"/>
      <c r="L157" s="8"/>
    </row>
    <row r="158" spans="1:12" ht="18.75" customHeight="1">
      <c r="A158" s="92"/>
      <c r="B158" s="92"/>
      <c r="C158" s="109"/>
      <c r="D158" s="473" t="s">
        <v>86</v>
      </c>
      <c r="E158" s="247">
        <v>497210</v>
      </c>
      <c r="F158" s="247"/>
      <c r="G158" s="247">
        <v>1445</v>
      </c>
      <c r="H158" s="247">
        <f t="shared" si="11"/>
        <v>498655</v>
      </c>
      <c r="J158" s="8"/>
      <c r="L158" s="8"/>
    </row>
    <row r="159" spans="1:12" ht="18.75" customHeight="1">
      <c r="A159" s="92"/>
      <c r="B159" s="105"/>
      <c r="C159" s="111">
        <v>6050</v>
      </c>
      <c r="D159" s="111" t="s">
        <v>606</v>
      </c>
      <c r="E159" s="112">
        <v>1097210</v>
      </c>
      <c r="F159" s="112"/>
      <c r="G159" s="112">
        <f>G158</f>
        <v>1445</v>
      </c>
      <c r="H159" s="112">
        <f t="shared" si="11"/>
        <v>1098655</v>
      </c>
      <c r="J159" s="8"/>
      <c r="L159" s="8"/>
    </row>
    <row r="160" spans="1:12" ht="19.5" customHeight="1">
      <c r="A160" s="92"/>
      <c r="B160" s="176">
        <v>85202</v>
      </c>
      <c r="C160" s="176"/>
      <c r="D160" s="173" t="s">
        <v>240</v>
      </c>
      <c r="E160" s="194">
        <v>14055584</v>
      </c>
      <c r="F160" s="194"/>
      <c r="G160" s="194">
        <f>G161+G167+G169</f>
        <v>227600</v>
      </c>
      <c r="H160" s="194">
        <f aca="true" t="shared" si="13" ref="H160:H168">E160+G160-F160</f>
        <v>14283184</v>
      </c>
      <c r="J160" s="8"/>
      <c r="L160" s="8"/>
    </row>
    <row r="161" spans="1:12" ht="19.5" customHeight="1">
      <c r="A161" s="92"/>
      <c r="B161" s="92"/>
      <c r="C161" s="108"/>
      <c r="D161" s="180" t="s">
        <v>527</v>
      </c>
      <c r="E161" s="195">
        <v>3730000</v>
      </c>
      <c r="F161" s="195"/>
      <c r="G161" s="195">
        <f>SUM(G162:G166)</f>
        <v>119400</v>
      </c>
      <c r="H161" s="195">
        <f t="shared" si="13"/>
        <v>3849400</v>
      </c>
      <c r="J161" s="8"/>
      <c r="L161" s="8"/>
    </row>
    <row r="162" spans="1:12" s="11" customFormat="1" ht="19.5" customHeight="1">
      <c r="A162" s="109"/>
      <c r="B162" s="109"/>
      <c r="C162" s="111">
        <v>4210</v>
      </c>
      <c r="D162" s="260" t="s">
        <v>525</v>
      </c>
      <c r="E162" s="112">
        <v>507000</v>
      </c>
      <c r="F162" s="112"/>
      <c r="G162" s="112">
        <v>80800</v>
      </c>
      <c r="H162" s="112">
        <f t="shared" si="13"/>
        <v>587800</v>
      </c>
      <c r="J162" s="12"/>
      <c r="L162" s="12"/>
    </row>
    <row r="163" spans="1:12" s="11" customFormat="1" ht="19.5" customHeight="1">
      <c r="A163" s="109"/>
      <c r="B163" s="109"/>
      <c r="C163" s="111">
        <v>4260</v>
      </c>
      <c r="D163" s="260" t="s">
        <v>528</v>
      </c>
      <c r="E163" s="112">
        <v>840000</v>
      </c>
      <c r="F163" s="112"/>
      <c r="G163" s="112">
        <v>9600</v>
      </c>
      <c r="H163" s="112">
        <f t="shared" si="13"/>
        <v>849600</v>
      </c>
      <c r="J163" s="12"/>
      <c r="L163" s="12"/>
    </row>
    <row r="164" spans="1:12" ht="18.75" customHeight="1">
      <c r="A164" s="92"/>
      <c r="B164" s="92"/>
      <c r="C164" s="111">
        <v>4270</v>
      </c>
      <c r="D164" s="397" t="s">
        <v>167</v>
      </c>
      <c r="E164" s="112">
        <v>208000</v>
      </c>
      <c r="F164" s="112"/>
      <c r="G164" s="112">
        <v>22000</v>
      </c>
      <c r="H164" s="112">
        <f t="shared" si="13"/>
        <v>230000</v>
      </c>
      <c r="J164" s="8"/>
      <c r="L164" s="8"/>
    </row>
    <row r="165" spans="1:12" ht="18.75" customHeight="1">
      <c r="A165" s="92"/>
      <c r="B165" s="92"/>
      <c r="C165" s="162">
        <v>4300</v>
      </c>
      <c r="D165" s="162" t="s">
        <v>524</v>
      </c>
      <c r="E165" s="166">
        <v>419650</v>
      </c>
      <c r="F165" s="166"/>
      <c r="G165" s="166">
        <v>5000</v>
      </c>
      <c r="H165" s="166">
        <f t="shared" si="13"/>
        <v>424650</v>
      </c>
      <c r="J165" s="8"/>
      <c r="L165" s="8"/>
    </row>
    <row r="166" spans="1:12" ht="18.75" customHeight="1">
      <c r="A166" s="92"/>
      <c r="B166" s="92"/>
      <c r="C166" s="165">
        <v>4410</v>
      </c>
      <c r="D166" s="165" t="s">
        <v>288</v>
      </c>
      <c r="E166" s="434">
        <v>13000</v>
      </c>
      <c r="F166" s="434"/>
      <c r="G166" s="434">
        <v>2000</v>
      </c>
      <c r="H166" s="434">
        <f t="shared" si="13"/>
        <v>15000</v>
      </c>
      <c r="J166" s="8"/>
      <c r="L166" s="8"/>
    </row>
    <row r="167" spans="1:12" ht="25.5" customHeight="1">
      <c r="A167" s="92"/>
      <c r="B167" s="92"/>
      <c r="C167" s="108"/>
      <c r="D167" s="180" t="s">
        <v>252</v>
      </c>
      <c r="E167" s="195">
        <v>327000</v>
      </c>
      <c r="F167" s="195"/>
      <c r="G167" s="195">
        <f>G168</f>
        <v>8200</v>
      </c>
      <c r="H167" s="195">
        <f t="shared" si="13"/>
        <v>335200</v>
      </c>
      <c r="J167" s="8"/>
      <c r="L167" s="8"/>
    </row>
    <row r="168" spans="1:12" ht="42.75" customHeight="1">
      <c r="A168" s="92"/>
      <c r="B168" s="92"/>
      <c r="C168" s="111">
        <v>2830</v>
      </c>
      <c r="D168" s="260" t="s">
        <v>453</v>
      </c>
      <c r="E168" s="112">
        <v>327000</v>
      </c>
      <c r="F168" s="112"/>
      <c r="G168" s="112">
        <v>8200</v>
      </c>
      <c r="H168" s="112">
        <f t="shared" si="13"/>
        <v>335200</v>
      </c>
      <c r="J168" s="8"/>
      <c r="L168" s="8"/>
    </row>
    <row r="169" spans="1:12" ht="19.5" customHeight="1">
      <c r="A169" s="92"/>
      <c r="B169" s="92"/>
      <c r="C169" s="108"/>
      <c r="D169" s="180" t="s">
        <v>473</v>
      </c>
      <c r="E169" s="195">
        <v>936584</v>
      </c>
      <c r="F169" s="195"/>
      <c r="G169" s="195">
        <f>G171</f>
        <v>100000</v>
      </c>
      <c r="H169" s="195">
        <f>E169+G169-F169</f>
        <v>1036584</v>
      </c>
      <c r="J169" s="8"/>
      <c r="L169" s="8"/>
    </row>
    <row r="170" spans="1:12" s="11" customFormat="1" ht="19.5" customHeight="1">
      <c r="A170" s="109"/>
      <c r="B170" s="109"/>
      <c r="C170" s="109"/>
      <c r="D170" s="1141" t="s">
        <v>168</v>
      </c>
      <c r="E170" s="247"/>
      <c r="F170" s="247"/>
      <c r="G170" s="247">
        <v>100000</v>
      </c>
      <c r="H170" s="247">
        <f>E170+G170-F170</f>
        <v>100000</v>
      </c>
      <c r="J170" s="12"/>
      <c r="L170" s="12"/>
    </row>
    <row r="171" spans="1:12" s="11" customFormat="1" ht="19.5" customHeight="1">
      <c r="A171" s="109"/>
      <c r="B171" s="111"/>
      <c r="C171" s="111">
        <v>6050</v>
      </c>
      <c r="D171" s="111" t="s">
        <v>606</v>
      </c>
      <c r="E171" s="112">
        <v>896584</v>
      </c>
      <c r="F171" s="112"/>
      <c r="G171" s="112">
        <f>G170</f>
        <v>100000</v>
      </c>
      <c r="H171" s="112">
        <f>E171+G171-F171</f>
        <v>996584</v>
      </c>
      <c r="J171" s="12"/>
      <c r="L171" s="12"/>
    </row>
    <row r="172" spans="1:12" ht="18.75" customHeight="1">
      <c r="A172" s="163"/>
      <c r="B172" s="176">
        <v>85219</v>
      </c>
      <c r="C172" s="245"/>
      <c r="D172" s="176" t="s">
        <v>185</v>
      </c>
      <c r="E172" s="174">
        <v>11448600</v>
      </c>
      <c r="F172" s="174">
        <f>F173</f>
        <v>30000</v>
      </c>
      <c r="G172" s="174">
        <f>G173</f>
        <v>30000</v>
      </c>
      <c r="H172" s="174">
        <f aca="true" t="shared" si="14" ref="H172:H180">E172-F172+G172</f>
        <v>11448600</v>
      </c>
      <c r="J172" s="8"/>
      <c r="L172" s="8"/>
    </row>
    <row r="173" spans="1:12" ht="18.75" customHeight="1">
      <c r="A173" s="163"/>
      <c r="B173" s="135"/>
      <c r="C173" s="229"/>
      <c r="D173" s="265" t="s">
        <v>527</v>
      </c>
      <c r="E173" s="184">
        <v>1574600</v>
      </c>
      <c r="F173" s="184">
        <f>SUM(F174:F175)</f>
        <v>30000</v>
      </c>
      <c r="G173" s="184">
        <f>SUM(G174:G175)</f>
        <v>30000</v>
      </c>
      <c r="H173" s="184">
        <f t="shared" si="14"/>
        <v>1574600</v>
      </c>
      <c r="J173" s="8"/>
      <c r="L173" s="8"/>
    </row>
    <row r="174" spans="1:12" ht="25.5" customHeight="1">
      <c r="A174" s="163"/>
      <c r="B174" s="163"/>
      <c r="C174" s="136">
        <v>4270</v>
      </c>
      <c r="D174" s="116" t="s">
        <v>189</v>
      </c>
      <c r="E174" s="117">
        <v>10000</v>
      </c>
      <c r="F174" s="117"/>
      <c r="G174" s="117">
        <v>30000</v>
      </c>
      <c r="H174" s="117">
        <f t="shared" si="14"/>
        <v>40000</v>
      </c>
      <c r="J174" s="8"/>
      <c r="L174" s="8"/>
    </row>
    <row r="175" spans="1:12" ht="18.75" customHeight="1">
      <c r="A175" s="163"/>
      <c r="B175" s="163"/>
      <c r="C175" s="165">
        <v>4300</v>
      </c>
      <c r="D175" s="165" t="s">
        <v>524</v>
      </c>
      <c r="E175" s="515">
        <v>905000</v>
      </c>
      <c r="F175" s="515">
        <v>30000</v>
      </c>
      <c r="G175" s="515"/>
      <c r="H175" s="515">
        <f t="shared" si="14"/>
        <v>875000</v>
      </c>
      <c r="J175" s="8"/>
      <c r="L175" s="8"/>
    </row>
    <row r="176" spans="1:12" ht="18.75" customHeight="1">
      <c r="A176" s="1082"/>
      <c r="B176" s="1082"/>
      <c r="C176" s="1062"/>
      <c r="D176" s="1062"/>
      <c r="E176" s="1073"/>
      <c r="F176" s="1073"/>
      <c r="G176" s="1073"/>
      <c r="H176" s="1073"/>
      <c r="J176" s="8"/>
      <c r="L176" s="8"/>
    </row>
    <row r="177" spans="1:12" ht="25.5" customHeight="1">
      <c r="A177" s="163"/>
      <c r="B177" s="176">
        <v>85220</v>
      </c>
      <c r="C177" s="245"/>
      <c r="D177" s="173" t="s">
        <v>195</v>
      </c>
      <c r="E177" s="174">
        <v>128000</v>
      </c>
      <c r="F177" s="174">
        <f>F178</f>
        <v>400</v>
      </c>
      <c r="G177" s="174">
        <f>G178</f>
        <v>400</v>
      </c>
      <c r="H177" s="174">
        <f t="shared" si="14"/>
        <v>128000</v>
      </c>
      <c r="J177" s="8"/>
      <c r="L177" s="8"/>
    </row>
    <row r="178" spans="1:12" ht="18.75" customHeight="1">
      <c r="A178" s="163"/>
      <c r="B178" s="135"/>
      <c r="C178" s="229"/>
      <c r="D178" s="265" t="s">
        <v>196</v>
      </c>
      <c r="E178" s="184">
        <v>120000</v>
      </c>
      <c r="F178" s="184">
        <f>SUM(F179:F180)</f>
        <v>400</v>
      </c>
      <c r="G178" s="184">
        <f>SUM(G179:G180)</f>
        <v>400</v>
      </c>
      <c r="H178" s="184">
        <f t="shared" si="14"/>
        <v>120000</v>
      </c>
      <c r="J178" s="8"/>
      <c r="L178" s="8"/>
    </row>
    <row r="179" spans="1:12" ht="18.75" customHeight="1">
      <c r="A179" s="163"/>
      <c r="B179" s="163"/>
      <c r="C179" s="136">
        <v>4170</v>
      </c>
      <c r="D179" s="260" t="s">
        <v>610</v>
      </c>
      <c r="E179" s="117"/>
      <c r="F179" s="117"/>
      <c r="G179" s="117">
        <v>400</v>
      </c>
      <c r="H179" s="117">
        <f t="shared" si="14"/>
        <v>400</v>
      </c>
      <c r="J179" s="8"/>
      <c r="L179" s="8"/>
    </row>
    <row r="180" spans="1:12" ht="18.75" customHeight="1">
      <c r="A180" s="163"/>
      <c r="B180" s="163"/>
      <c r="C180" s="162">
        <v>4300</v>
      </c>
      <c r="D180" s="162" t="s">
        <v>524</v>
      </c>
      <c r="E180" s="117">
        <v>19500</v>
      </c>
      <c r="F180" s="117">
        <v>400</v>
      </c>
      <c r="G180" s="117"/>
      <c r="H180" s="117">
        <f t="shared" si="14"/>
        <v>19100</v>
      </c>
      <c r="J180" s="8"/>
      <c r="L180" s="8"/>
    </row>
    <row r="181" spans="1:12" ht="18.75" customHeight="1">
      <c r="A181" s="115">
        <v>854</v>
      </c>
      <c r="B181" s="115"/>
      <c r="C181" s="203"/>
      <c r="D181" s="115" t="s">
        <v>537</v>
      </c>
      <c r="E181" s="220">
        <v>39071062</v>
      </c>
      <c r="F181" s="220">
        <f>F182+F187+F190+F193</f>
        <v>21000</v>
      </c>
      <c r="G181" s="220">
        <f>G182+G187+G190+G193</f>
        <v>21000</v>
      </c>
      <c r="H181" s="220">
        <f>E181+G181-F181</f>
        <v>39071062</v>
      </c>
      <c r="J181" s="8"/>
      <c r="L181" s="8"/>
    </row>
    <row r="182" spans="1:12" ht="18.75" customHeight="1">
      <c r="A182" s="163"/>
      <c r="B182" s="176">
        <v>85401</v>
      </c>
      <c r="C182" s="245"/>
      <c r="D182" s="176" t="s">
        <v>297</v>
      </c>
      <c r="E182" s="174">
        <v>6931000</v>
      </c>
      <c r="F182" s="174">
        <f>F183+F185</f>
        <v>1000</v>
      </c>
      <c r="G182" s="174">
        <f>G183+G185</f>
        <v>1000</v>
      </c>
      <c r="H182" s="174">
        <f>E182-F182+G182</f>
        <v>6931000</v>
      </c>
      <c r="J182" s="8"/>
      <c r="L182" s="8"/>
    </row>
    <row r="183" spans="1:12" ht="18.75" customHeight="1">
      <c r="A183" s="163"/>
      <c r="B183" s="135"/>
      <c r="C183" s="229"/>
      <c r="D183" s="265" t="s">
        <v>570</v>
      </c>
      <c r="E183" s="184">
        <v>381700</v>
      </c>
      <c r="F183" s="184"/>
      <c r="G183" s="184">
        <f>G184</f>
        <v>1000</v>
      </c>
      <c r="H183" s="184">
        <f>E183-F183+G183</f>
        <v>382700</v>
      </c>
      <c r="J183" s="8"/>
      <c r="L183" s="8"/>
    </row>
    <row r="184" spans="1:12" ht="18.75" customHeight="1">
      <c r="A184" s="163"/>
      <c r="B184" s="163"/>
      <c r="C184" s="136">
        <v>3020</v>
      </c>
      <c r="D184" s="111" t="s">
        <v>616</v>
      </c>
      <c r="E184" s="117">
        <v>8770</v>
      </c>
      <c r="F184" s="117"/>
      <c r="G184" s="117">
        <v>1000</v>
      </c>
      <c r="H184" s="117">
        <f>E184-F184+G184</f>
        <v>9770</v>
      </c>
      <c r="J184" s="8"/>
      <c r="L184" s="8"/>
    </row>
    <row r="185" spans="1:12" s="413" customFormat="1" ht="18.75" customHeight="1">
      <c r="A185" s="411"/>
      <c r="B185" s="412"/>
      <c r="C185" s="399"/>
      <c r="D185" s="465" t="s">
        <v>58</v>
      </c>
      <c r="E185" s="486">
        <v>1064600</v>
      </c>
      <c r="F185" s="486">
        <f>F186</f>
        <v>1000</v>
      </c>
      <c r="G185" s="486"/>
      <c r="H185" s="486">
        <f>E185+G185-F185</f>
        <v>1063600</v>
      </c>
      <c r="J185" s="414"/>
      <c r="L185" s="414"/>
    </row>
    <row r="186" spans="1:12" s="413" customFormat="1" ht="18.75" customHeight="1">
      <c r="A186" s="411"/>
      <c r="B186" s="415"/>
      <c r="C186" s="397">
        <v>4110</v>
      </c>
      <c r="D186" s="397" t="s">
        <v>529</v>
      </c>
      <c r="E186" s="409">
        <v>938540</v>
      </c>
      <c r="F186" s="409">
        <v>1000</v>
      </c>
      <c r="G186" s="409"/>
      <c r="H186" s="409">
        <f>E186+G186-F186</f>
        <v>937540</v>
      </c>
      <c r="J186" s="414"/>
      <c r="L186" s="414"/>
    </row>
    <row r="187" spans="1:12" ht="25.5" customHeight="1">
      <c r="A187" s="163"/>
      <c r="B187" s="176">
        <v>85406</v>
      </c>
      <c r="C187" s="245"/>
      <c r="D187" s="173" t="s">
        <v>275</v>
      </c>
      <c r="E187" s="174">
        <v>5769000</v>
      </c>
      <c r="F187" s="174">
        <f>F188</f>
        <v>10000</v>
      </c>
      <c r="G187" s="174"/>
      <c r="H187" s="174">
        <f>E187+G187-F187</f>
        <v>5759000</v>
      </c>
      <c r="J187" s="8"/>
      <c r="L187" s="8"/>
    </row>
    <row r="188" spans="1:12" ht="18.75" customHeight="1">
      <c r="A188" s="163"/>
      <c r="B188" s="135"/>
      <c r="C188" s="229"/>
      <c r="D188" s="265" t="s">
        <v>58</v>
      </c>
      <c r="E188" s="184">
        <v>840800</v>
      </c>
      <c r="F188" s="184">
        <f>F189</f>
        <v>10000</v>
      </c>
      <c r="G188" s="184"/>
      <c r="H188" s="184">
        <f>E188+G188-F188</f>
        <v>830800</v>
      </c>
      <c r="J188" s="8"/>
      <c r="L188" s="8"/>
    </row>
    <row r="189" spans="1:12" ht="18.75" customHeight="1">
      <c r="A189" s="163"/>
      <c r="B189" s="176"/>
      <c r="C189" s="136">
        <v>4110</v>
      </c>
      <c r="D189" s="397" t="s">
        <v>529</v>
      </c>
      <c r="E189" s="117">
        <v>742600</v>
      </c>
      <c r="F189" s="117">
        <v>10000</v>
      </c>
      <c r="G189" s="117"/>
      <c r="H189" s="117">
        <f>E189+G189-F189</f>
        <v>732600</v>
      </c>
      <c r="J189" s="8"/>
      <c r="L189" s="8"/>
    </row>
    <row r="190" spans="1:12" ht="18.75" customHeight="1">
      <c r="A190" s="163"/>
      <c r="B190" s="176">
        <v>85415</v>
      </c>
      <c r="C190" s="245"/>
      <c r="D190" s="176" t="s">
        <v>341</v>
      </c>
      <c r="E190" s="174">
        <v>2065212</v>
      </c>
      <c r="F190" s="174"/>
      <c r="G190" s="174">
        <f>G191</f>
        <v>10000</v>
      </c>
      <c r="H190" s="174">
        <f>E190-F190+G190</f>
        <v>2075212</v>
      </c>
      <c r="J190" s="8"/>
      <c r="L190" s="8"/>
    </row>
    <row r="191" spans="1:12" ht="25.5" customHeight="1">
      <c r="A191" s="163"/>
      <c r="B191" s="135"/>
      <c r="C191" s="229"/>
      <c r="D191" s="180" t="s">
        <v>184</v>
      </c>
      <c r="E191" s="184"/>
      <c r="F191" s="184"/>
      <c r="G191" s="184">
        <f>G192</f>
        <v>10000</v>
      </c>
      <c r="H191" s="184">
        <f>E191-F191+G191</f>
        <v>10000</v>
      </c>
      <c r="J191" s="8"/>
      <c r="L191" s="8"/>
    </row>
    <row r="192" spans="1:12" ht="18.75" customHeight="1">
      <c r="A192" s="163"/>
      <c r="B192" s="176"/>
      <c r="C192" s="136">
        <v>4300</v>
      </c>
      <c r="D192" s="260" t="s">
        <v>524</v>
      </c>
      <c r="E192" s="117"/>
      <c r="F192" s="117"/>
      <c r="G192" s="117">
        <v>10000</v>
      </c>
      <c r="H192" s="117">
        <f>E192-F192+G192</f>
        <v>10000</v>
      </c>
      <c r="J192" s="8"/>
      <c r="L192" s="8"/>
    </row>
    <row r="193" spans="1:12" ht="18.75" customHeight="1">
      <c r="A193" s="163"/>
      <c r="B193" s="176">
        <v>85495</v>
      </c>
      <c r="C193" s="245"/>
      <c r="D193" s="176" t="s">
        <v>531</v>
      </c>
      <c r="E193" s="174">
        <v>6018250</v>
      </c>
      <c r="F193" s="174">
        <f>F194</f>
        <v>10000</v>
      </c>
      <c r="G193" s="174">
        <f>G194</f>
        <v>10000</v>
      </c>
      <c r="H193" s="174">
        <f aca="true" t="shared" si="15" ref="H193:H199">E193-F193+G193</f>
        <v>6018250</v>
      </c>
      <c r="J193" s="8"/>
      <c r="L193" s="8"/>
    </row>
    <row r="194" spans="1:12" ht="18.75" customHeight="1">
      <c r="A194" s="92"/>
      <c r="B194" s="108"/>
      <c r="C194" s="516"/>
      <c r="D194" s="733" t="s">
        <v>298</v>
      </c>
      <c r="E194" s="502">
        <v>5819000</v>
      </c>
      <c r="F194" s="502">
        <f>F195</f>
        <v>10000</v>
      </c>
      <c r="G194" s="502">
        <f>G195</f>
        <v>10000</v>
      </c>
      <c r="H194" s="502">
        <f t="shared" si="15"/>
        <v>5819000</v>
      </c>
      <c r="J194" s="8"/>
      <c r="L194" s="8"/>
    </row>
    <row r="195" spans="1:12" ht="18.75" customHeight="1">
      <c r="A195" s="163"/>
      <c r="B195" s="163"/>
      <c r="C195" s="230"/>
      <c r="D195" s="231" t="s">
        <v>570</v>
      </c>
      <c r="E195" s="204">
        <v>1393400</v>
      </c>
      <c r="F195" s="204">
        <f>SUM(F196:F198)</f>
        <v>10000</v>
      </c>
      <c r="G195" s="204">
        <f>SUM(G196:G198)</f>
        <v>10000</v>
      </c>
      <c r="H195" s="204">
        <f t="shared" si="15"/>
        <v>1393400</v>
      </c>
      <c r="J195" s="8"/>
      <c r="L195" s="8"/>
    </row>
    <row r="196" spans="1:12" ht="18.75" customHeight="1">
      <c r="A196" s="163"/>
      <c r="B196" s="163"/>
      <c r="C196" s="136">
        <v>4210</v>
      </c>
      <c r="D196" s="260" t="s">
        <v>525</v>
      </c>
      <c r="E196" s="117">
        <v>163571</v>
      </c>
      <c r="F196" s="117"/>
      <c r="G196" s="117">
        <v>8000</v>
      </c>
      <c r="H196" s="117">
        <f t="shared" si="15"/>
        <v>171571</v>
      </c>
      <c r="J196" s="8"/>
      <c r="L196" s="8"/>
    </row>
    <row r="197" spans="1:12" ht="18.75" customHeight="1">
      <c r="A197" s="163"/>
      <c r="B197" s="163"/>
      <c r="C197" s="826">
        <v>4220</v>
      </c>
      <c r="D197" s="825" t="s">
        <v>82</v>
      </c>
      <c r="E197" s="515">
        <v>527600</v>
      </c>
      <c r="F197" s="515">
        <v>10000</v>
      </c>
      <c r="G197" s="515"/>
      <c r="H197" s="515">
        <f t="shared" si="15"/>
        <v>517600</v>
      </c>
      <c r="J197" s="8"/>
      <c r="L197" s="8"/>
    </row>
    <row r="198" spans="1:12" ht="18.75" customHeight="1">
      <c r="A198" s="163"/>
      <c r="B198" s="163"/>
      <c r="C198" s="322">
        <v>4300</v>
      </c>
      <c r="D198" s="827" t="s">
        <v>524</v>
      </c>
      <c r="E198" s="720">
        <v>112732</v>
      </c>
      <c r="F198" s="720"/>
      <c r="G198" s="720">
        <v>2000</v>
      </c>
      <c r="H198" s="720">
        <f t="shared" si="15"/>
        <v>114732</v>
      </c>
      <c r="J198" s="8"/>
      <c r="L198" s="8"/>
    </row>
    <row r="199" spans="1:8" ht="18.75" customHeight="1">
      <c r="A199" s="115">
        <v>900</v>
      </c>
      <c r="B199" s="115"/>
      <c r="C199" s="115"/>
      <c r="D199" s="222" t="s">
        <v>48</v>
      </c>
      <c r="E199" s="120">
        <v>47668000</v>
      </c>
      <c r="F199" s="120">
        <f>F200+F208</f>
        <v>141000</v>
      </c>
      <c r="G199" s="120">
        <f>G200+G208</f>
        <v>141000</v>
      </c>
      <c r="H199" s="120">
        <f t="shared" si="15"/>
        <v>47668000</v>
      </c>
    </row>
    <row r="200" spans="1:12" ht="18.75" customHeight="1">
      <c r="A200" s="163"/>
      <c r="B200" s="176">
        <v>90001</v>
      </c>
      <c r="C200" s="325"/>
      <c r="D200" s="176" t="s">
        <v>622</v>
      </c>
      <c r="E200" s="194">
        <v>5644000</v>
      </c>
      <c r="F200" s="194">
        <f>F201+F204+F206</f>
        <v>75000</v>
      </c>
      <c r="G200" s="194">
        <f>G201+G204+G206</f>
        <v>75000</v>
      </c>
      <c r="H200" s="194">
        <f aca="true" t="shared" si="16" ref="H200:H207">E200+G200-F200</f>
        <v>5644000</v>
      </c>
      <c r="J200" s="8"/>
      <c r="L200" s="8"/>
    </row>
    <row r="201" spans="1:12" ht="18.75" customHeight="1">
      <c r="A201" s="92"/>
      <c r="B201" s="92"/>
      <c r="C201" s="108"/>
      <c r="D201" s="184" t="s">
        <v>623</v>
      </c>
      <c r="E201" s="195">
        <v>1750000</v>
      </c>
      <c r="F201" s="195">
        <f>SUM(F202:F203)</f>
        <v>50000</v>
      </c>
      <c r="G201" s="195">
        <f>SUM(G202:G203)</f>
        <v>50000</v>
      </c>
      <c r="H201" s="195">
        <f t="shared" si="16"/>
        <v>1750000</v>
      </c>
      <c r="J201" s="8"/>
      <c r="L201" s="8"/>
    </row>
    <row r="202" spans="1:12" s="11" customFormat="1" ht="18.75" customHeight="1">
      <c r="A202" s="109"/>
      <c r="B202" s="109"/>
      <c r="C202" s="397">
        <v>4270</v>
      </c>
      <c r="D202" s="538" t="s">
        <v>173</v>
      </c>
      <c r="E202" s="112">
        <v>100000</v>
      </c>
      <c r="F202" s="112"/>
      <c r="G202" s="112">
        <v>50000</v>
      </c>
      <c r="H202" s="112">
        <f t="shared" si="16"/>
        <v>150000</v>
      </c>
      <c r="J202" s="12"/>
      <c r="L202" s="12"/>
    </row>
    <row r="203" spans="1:12" ht="18.75" customHeight="1">
      <c r="A203" s="92"/>
      <c r="B203" s="92"/>
      <c r="C203" s="397">
        <v>4300</v>
      </c>
      <c r="D203" s="397" t="s">
        <v>524</v>
      </c>
      <c r="E203" s="117">
        <v>1648000</v>
      </c>
      <c r="F203" s="117">
        <v>50000</v>
      </c>
      <c r="G203" s="117"/>
      <c r="H203" s="117">
        <f t="shared" si="16"/>
        <v>1598000</v>
      </c>
      <c r="J203" s="8"/>
      <c r="L203" s="8"/>
    </row>
    <row r="204" spans="1:12" ht="39" customHeight="1">
      <c r="A204" s="92"/>
      <c r="B204" s="92"/>
      <c r="C204" s="404"/>
      <c r="D204" s="405" t="s">
        <v>624</v>
      </c>
      <c r="E204" s="184">
        <v>250000</v>
      </c>
      <c r="F204" s="184">
        <f>F205</f>
        <v>25000</v>
      </c>
      <c r="G204" s="184"/>
      <c r="H204" s="184">
        <f t="shared" si="16"/>
        <v>225000</v>
      </c>
      <c r="J204" s="8"/>
      <c r="L204" s="8"/>
    </row>
    <row r="205" spans="1:12" ht="18.75" customHeight="1">
      <c r="A205" s="105"/>
      <c r="B205" s="105"/>
      <c r="C205" s="111">
        <v>4300</v>
      </c>
      <c r="D205" s="397" t="s">
        <v>524</v>
      </c>
      <c r="E205" s="117">
        <v>195000</v>
      </c>
      <c r="F205" s="117">
        <v>25000</v>
      </c>
      <c r="G205" s="117"/>
      <c r="H205" s="117">
        <f t="shared" si="16"/>
        <v>170000</v>
      </c>
      <c r="J205" s="8"/>
      <c r="L205" s="8"/>
    </row>
    <row r="206" spans="1:12" ht="18.75" customHeight="1">
      <c r="A206" s="92"/>
      <c r="B206" s="92"/>
      <c r="C206" s="92"/>
      <c r="D206" s="465" t="s">
        <v>455</v>
      </c>
      <c r="E206" s="204">
        <v>79000</v>
      </c>
      <c r="F206" s="204"/>
      <c r="G206" s="204">
        <f>G207</f>
        <v>25000</v>
      </c>
      <c r="H206" s="204">
        <f t="shared" si="16"/>
        <v>104000</v>
      </c>
      <c r="J206" s="8"/>
      <c r="L206" s="8"/>
    </row>
    <row r="207" spans="1:12" s="11" customFormat="1" ht="18.75" customHeight="1">
      <c r="A207" s="109"/>
      <c r="B207" s="111"/>
      <c r="C207" s="111">
        <v>4270</v>
      </c>
      <c r="D207" s="538" t="s">
        <v>122</v>
      </c>
      <c r="E207" s="395"/>
      <c r="F207" s="395"/>
      <c r="G207" s="395">
        <v>25000</v>
      </c>
      <c r="H207" s="395">
        <f t="shared" si="16"/>
        <v>25000</v>
      </c>
      <c r="J207" s="12"/>
      <c r="L207" s="12"/>
    </row>
    <row r="208" spans="1:12" ht="18.75" customHeight="1">
      <c r="A208" s="163"/>
      <c r="B208" s="176">
        <v>90015</v>
      </c>
      <c r="C208" s="325"/>
      <c r="D208" s="176" t="s">
        <v>456</v>
      </c>
      <c r="E208" s="194">
        <v>7460000</v>
      </c>
      <c r="F208" s="194">
        <f>F209+F211</f>
        <v>66000</v>
      </c>
      <c r="G208" s="194">
        <f>G209+G211</f>
        <v>66000</v>
      </c>
      <c r="H208" s="194">
        <f aca="true" t="shared" si="17" ref="H208:H213">E208+G208-F208</f>
        <v>7460000</v>
      </c>
      <c r="J208" s="8"/>
      <c r="L208" s="8"/>
    </row>
    <row r="209" spans="1:12" ht="18.75" customHeight="1">
      <c r="A209" s="92"/>
      <c r="B209" s="92"/>
      <c r="C209" s="108"/>
      <c r="D209" s="184" t="s">
        <v>457</v>
      </c>
      <c r="E209" s="195">
        <v>4600000</v>
      </c>
      <c r="F209" s="195">
        <f>SUM(F210:F213)</f>
        <v>66000</v>
      </c>
      <c r="G209" s="195"/>
      <c r="H209" s="195">
        <f t="shared" si="17"/>
        <v>4534000</v>
      </c>
      <c r="J209" s="8"/>
      <c r="L209" s="8"/>
    </row>
    <row r="210" spans="1:12" s="11" customFormat="1" ht="18.75" customHeight="1">
      <c r="A210" s="109"/>
      <c r="B210" s="109"/>
      <c r="C210" s="397">
        <v>4260</v>
      </c>
      <c r="D210" s="538" t="s">
        <v>528</v>
      </c>
      <c r="E210" s="112">
        <v>4600000</v>
      </c>
      <c r="F210" s="112">
        <v>66000</v>
      </c>
      <c r="G210" s="112"/>
      <c r="H210" s="112">
        <f t="shared" si="17"/>
        <v>4534000</v>
      </c>
      <c r="J210" s="12"/>
      <c r="L210" s="12"/>
    </row>
    <row r="211" spans="1:12" ht="18.75" customHeight="1">
      <c r="A211" s="92"/>
      <c r="B211" s="92"/>
      <c r="C211" s="404"/>
      <c r="D211" s="527" t="s">
        <v>615</v>
      </c>
      <c r="E211" s="195">
        <v>10000</v>
      </c>
      <c r="F211" s="195"/>
      <c r="G211" s="195">
        <f>G213</f>
        <v>66000</v>
      </c>
      <c r="H211" s="195">
        <f t="shared" si="17"/>
        <v>76000</v>
      </c>
      <c r="J211" s="8"/>
      <c r="L211" s="8"/>
    </row>
    <row r="212" spans="1:12" s="11" customFormat="1" ht="18.75" customHeight="1">
      <c r="A212" s="109"/>
      <c r="B212" s="109"/>
      <c r="C212" s="396"/>
      <c r="D212" s="862" t="s">
        <v>458</v>
      </c>
      <c r="E212" s="247">
        <v>10000</v>
      </c>
      <c r="F212" s="247"/>
      <c r="G212" s="247">
        <f>G213</f>
        <v>66000</v>
      </c>
      <c r="H212" s="383">
        <f t="shared" si="17"/>
        <v>76000</v>
      </c>
      <c r="J212" s="12"/>
      <c r="L212" s="12"/>
    </row>
    <row r="213" spans="1:12" ht="18.75" customHeight="1">
      <c r="A213" s="92"/>
      <c r="B213" s="92"/>
      <c r="C213" s="397">
        <v>6050</v>
      </c>
      <c r="D213" s="397" t="s">
        <v>606</v>
      </c>
      <c r="E213" s="117">
        <v>10000</v>
      </c>
      <c r="F213" s="117"/>
      <c r="G213" s="117">
        <v>66000</v>
      </c>
      <c r="H213" s="117">
        <f t="shared" si="17"/>
        <v>76000</v>
      </c>
      <c r="J213" s="8"/>
      <c r="L213" s="8"/>
    </row>
    <row r="214" spans="1:8" ht="18.75" customHeight="1">
      <c r="A214" s="115">
        <v>921</v>
      </c>
      <c r="B214" s="115"/>
      <c r="C214" s="115"/>
      <c r="D214" s="132" t="s">
        <v>745</v>
      </c>
      <c r="E214" s="120">
        <v>13919000</v>
      </c>
      <c r="F214" s="120">
        <f aca="true" t="shared" si="18" ref="F214:G216">F215</f>
        <v>15000</v>
      </c>
      <c r="G214" s="120">
        <f t="shared" si="18"/>
        <v>15000</v>
      </c>
      <c r="H214" s="120">
        <f>E214-F214+G214</f>
        <v>13919000</v>
      </c>
    </row>
    <row r="215" spans="1:12" ht="18.75" customHeight="1">
      <c r="A215" s="135"/>
      <c r="B215" s="172">
        <v>92105</v>
      </c>
      <c r="C215" s="828"/>
      <c r="D215" s="491" t="s">
        <v>743</v>
      </c>
      <c r="E215" s="198">
        <v>992000</v>
      </c>
      <c r="F215" s="198">
        <f t="shared" si="18"/>
        <v>15000</v>
      </c>
      <c r="G215" s="198">
        <f t="shared" si="18"/>
        <v>15000</v>
      </c>
      <c r="H215" s="198">
        <f>E215+G215-F215</f>
        <v>992000</v>
      </c>
      <c r="J215" s="8"/>
      <c r="L215" s="8"/>
    </row>
    <row r="216" spans="1:12" ht="18.75" customHeight="1">
      <c r="A216" s="92"/>
      <c r="B216" s="92"/>
      <c r="C216" s="404"/>
      <c r="D216" s="405" t="s">
        <v>197</v>
      </c>
      <c r="E216" s="184">
        <v>749000</v>
      </c>
      <c r="F216" s="184">
        <f t="shared" si="18"/>
        <v>15000</v>
      </c>
      <c r="G216" s="184">
        <f t="shared" si="18"/>
        <v>15000</v>
      </c>
      <c r="H216" s="184">
        <f>E216+G216-F216</f>
        <v>749000</v>
      </c>
      <c r="J216" s="8"/>
      <c r="L216" s="8"/>
    </row>
    <row r="217" spans="1:12" ht="18.75" customHeight="1">
      <c r="A217" s="92"/>
      <c r="B217" s="92"/>
      <c r="C217" s="399"/>
      <c r="D217" s="1099" t="s">
        <v>198</v>
      </c>
      <c r="E217" s="1100">
        <v>61000</v>
      </c>
      <c r="F217" s="1100">
        <f>SUM(F218:F219)</f>
        <v>15000</v>
      </c>
      <c r="G217" s="1100">
        <f>SUM(G218:G219)</f>
        <v>15000</v>
      </c>
      <c r="H217" s="1100">
        <f>E217+G217-F217</f>
        <v>61000</v>
      </c>
      <c r="J217" s="8"/>
      <c r="L217" s="8"/>
    </row>
    <row r="218" spans="1:12" s="11" customFormat="1" ht="25.5" customHeight="1">
      <c r="A218" s="109"/>
      <c r="B218" s="109"/>
      <c r="C218" s="111">
        <v>2810</v>
      </c>
      <c r="D218" s="538" t="s">
        <v>169</v>
      </c>
      <c r="E218" s="117">
        <v>30000</v>
      </c>
      <c r="F218" s="117">
        <v>15000</v>
      </c>
      <c r="G218" s="117"/>
      <c r="H218" s="117">
        <f>E218+G218-F218</f>
        <v>15000</v>
      </c>
      <c r="J218" s="12"/>
      <c r="L218" s="12"/>
    </row>
    <row r="219" spans="1:12" s="11" customFormat="1" ht="25.5" customHeight="1">
      <c r="A219" s="109"/>
      <c r="B219" s="109"/>
      <c r="C219" s="111">
        <v>2820</v>
      </c>
      <c r="D219" s="538" t="s">
        <v>170</v>
      </c>
      <c r="E219" s="720">
        <v>25000</v>
      </c>
      <c r="F219" s="720"/>
      <c r="G219" s="720">
        <v>15000</v>
      </c>
      <c r="H219" s="720">
        <f>E219+G219-F219</f>
        <v>40000</v>
      </c>
      <c r="J219" s="12"/>
      <c r="L219" s="12"/>
    </row>
    <row r="220" spans="1:8" ht="18.75" customHeight="1">
      <c r="A220" s="115">
        <v>926</v>
      </c>
      <c r="B220" s="115"/>
      <c r="C220" s="115"/>
      <c r="D220" s="222" t="s">
        <v>244</v>
      </c>
      <c r="E220" s="120">
        <v>14906000</v>
      </c>
      <c r="F220" s="120">
        <f>F221</f>
        <v>4</v>
      </c>
      <c r="G220" s="120">
        <f>G221</f>
        <v>4</v>
      </c>
      <c r="H220" s="120">
        <f>E220-F220+G220</f>
        <v>14906000</v>
      </c>
    </row>
    <row r="221" spans="1:12" ht="18.75" customHeight="1">
      <c r="A221" s="163"/>
      <c r="B221" s="176">
        <v>92605</v>
      </c>
      <c r="C221" s="828"/>
      <c r="D221" s="172" t="s">
        <v>246</v>
      </c>
      <c r="E221" s="194">
        <v>2150000</v>
      </c>
      <c r="F221" s="194">
        <f>F222</f>
        <v>4</v>
      </c>
      <c r="G221" s="194">
        <f>G222</f>
        <v>4</v>
      </c>
      <c r="H221" s="194">
        <f>E221+G221-F221</f>
        <v>2150000</v>
      </c>
      <c r="J221" s="8"/>
      <c r="L221" s="8"/>
    </row>
    <row r="222" spans="1:12" ht="18" customHeight="1">
      <c r="A222" s="92"/>
      <c r="B222" s="92"/>
      <c r="C222" s="404"/>
      <c r="D222" s="509" t="s">
        <v>174</v>
      </c>
      <c r="E222" s="184">
        <v>700000</v>
      </c>
      <c r="F222" s="184">
        <f>SUM(F223:F225)</f>
        <v>4</v>
      </c>
      <c r="G222" s="184">
        <f>SUM(G223:G225)</f>
        <v>4</v>
      </c>
      <c r="H222" s="184">
        <f>E222+G222-F222</f>
        <v>700000</v>
      </c>
      <c r="J222" s="8"/>
      <c r="L222" s="8"/>
    </row>
    <row r="223" spans="1:12" s="11" customFormat="1" ht="18" customHeight="1">
      <c r="A223" s="109"/>
      <c r="B223" s="109"/>
      <c r="C223" s="397">
        <v>4110</v>
      </c>
      <c r="D223" s="111" t="s">
        <v>529</v>
      </c>
      <c r="E223" s="515">
        <v>97600</v>
      </c>
      <c r="F223" s="515"/>
      <c r="G223" s="515">
        <v>3</v>
      </c>
      <c r="H223" s="515">
        <f>E223+G223-F223</f>
        <v>97603</v>
      </c>
      <c r="J223" s="12"/>
      <c r="L223" s="12"/>
    </row>
    <row r="224" spans="1:12" s="11" customFormat="1" ht="18" customHeight="1">
      <c r="A224" s="109"/>
      <c r="B224" s="109"/>
      <c r="C224" s="397">
        <v>4120</v>
      </c>
      <c r="D224" s="162" t="s">
        <v>530</v>
      </c>
      <c r="E224" s="720">
        <v>14400</v>
      </c>
      <c r="F224" s="720"/>
      <c r="G224" s="720">
        <v>1</v>
      </c>
      <c r="H224" s="720">
        <f>E224+G224-F224</f>
        <v>14401</v>
      </c>
      <c r="J224" s="12"/>
      <c r="L224" s="12"/>
    </row>
    <row r="225" spans="1:12" s="11" customFormat="1" ht="18" customHeight="1">
      <c r="A225" s="109"/>
      <c r="B225" s="109"/>
      <c r="C225" s="397">
        <v>4170</v>
      </c>
      <c r="D225" s="490" t="s">
        <v>610</v>
      </c>
      <c r="E225" s="720">
        <v>588000</v>
      </c>
      <c r="F225" s="720">
        <v>4</v>
      </c>
      <c r="G225" s="720"/>
      <c r="H225" s="720">
        <f>E225+G225-F225</f>
        <v>587996</v>
      </c>
      <c r="J225" s="12"/>
      <c r="L225" s="12"/>
    </row>
    <row r="226" spans="1:8" ht="28.5" customHeight="1" thickBot="1">
      <c r="A226" s="92"/>
      <c r="B226" s="92"/>
      <c r="C226" s="526"/>
      <c r="D226" s="130" t="s">
        <v>573</v>
      </c>
      <c r="E226" s="131">
        <v>4324113</v>
      </c>
      <c r="F226" s="131">
        <f>F227+F232</f>
        <v>2462</v>
      </c>
      <c r="G226" s="131">
        <f>G227+G232</f>
        <v>42462</v>
      </c>
      <c r="H226" s="131">
        <f aca="true" t="shared" si="19" ref="H226:H231">E226+G226-F226</f>
        <v>4364113</v>
      </c>
    </row>
    <row r="227" spans="1:8" s="16" customFormat="1" ht="18.75" customHeight="1" thickTop="1">
      <c r="A227" s="203">
        <v>710</v>
      </c>
      <c r="B227" s="115"/>
      <c r="C227" s="104"/>
      <c r="D227" s="402" t="s">
        <v>175</v>
      </c>
      <c r="E227" s="133"/>
      <c r="F227" s="133"/>
      <c r="G227" s="133">
        <f>G228</f>
        <v>40000</v>
      </c>
      <c r="H227" s="133">
        <f t="shared" si="19"/>
        <v>40000</v>
      </c>
    </row>
    <row r="228" spans="1:8" s="16" customFormat="1" ht="18.75" customHeight="1">
      <c r="A228" s="92"/>
      <c r="B228" s="440">
        <v>71035</v>
      </c>
      <c r="C228" s="440"/>
      <c r="D228" s="403" t="s">
        <v>479</v>
      </c>
      <c r="E228" s="194"/>
      <c r="F228" s="194"/>
      <c r="G228" s="194">
        <f>G229</f>
        <v>40000</v>
      </c>
      <c r="H228" s="194">
        <f t="shared" si="19"/>
        <v>40000</v>
      </c>
    </row>
    <row r="229" spans="1:8" s="16" customFormat="1" ht="18.75" customHeight="1">
      <c r="A229" s="92"/>
      <c r="B229" s="404"/>
      <c r="C229" s="404"/>
      <c r="D229" s="527" t="s">
        <v>483</v>
      </c>
      <c r="E229" s="195"/>
      <c r="F229" s="195"/>
      <c r="G229" s="195">
        <f>SUM(G230:G231)</f>
        <v>40000</v>
      </c>
      <c r="H229" s="195">
        <f t="shared" si="19"/>
        <v>40000</v>
      </c>
    </row>
    <row r="230" spans="1:8" s="170" customFormat="1" ht="18.75" customHeight="1">
      <c r="A230" s="109"/>
      <c r="B230" s="396"/>
      <c r="C230" s="397">
        <v>4270</v>
      </c>
      <c r="D230" s="538" t="s">
        <v>171</v>
      </c>
      <c r="E230" s="112"/>
      <c r="F230" s="112"/>
      <c r="G230" s="112">
        <v>2000</v>
      </c>
      <c r="H230" s="112">
        <f t="shared" si="19"/>
        <v>2000</v>
      </c>
    </row>
    <row r="231" spans="1:8" s="16" customFormat="1" ht="18.75" customHeight="1">
      <c r="A231" s="105"/>
      <c r="B231" s="399"/>
      <c r="C231" s="397">
        <v>4300</v>
      </c>
      <c r="D231" s="397" t="s">
        <v>524</v>
      </c>
      <c r="E231" s="112"/>
      <c r="F231" s="112"/>
      <c r="G231" s="112">
        <v>38000</v>
      </c>
      <c r="H231" s="112">
        <f t="shared" si="19"/>
        <v>38000</v>
      </c>
    </row>
    <row r="232" spans="1:8" ht="19.5" customHeight="1">
      <c r="A232" s="115">
        <v>801</v>
      </c>
      <c r="B232" s="115"/>
      <c r="C232" s="203"/>
      <c r="D232" s="137" t="s">
        <v>532</v>
      </c>
      <c r="E232" s="266">
        <v>200000</v>
      </c>
      <c r="F232" s="266">
        <f>F233</f>
        <v>2462</v>
      </c>
      <c r="G232" s="266">
        <f>G233</f>
        <v>2462</v>
      </c>
      <c r="H232" s="266">
        <f>E232-F232+G232</f>
        <v>200000</v>
      </c>
    </row>
    <row r="233" spans="1:8" ht="19.5" customHeight="1">
      <c r="A233" s="92"/>
      <c r="B233" s="176">
        <v>80104</v>
      </c>
      <c r="C233" s="245"/>
      <c r="D233" s="192" t="s">
        <v>501</v>
      </c>
      <c r="E233" s="205">
        <v>200000</v>
      </c>
      <c r="F233" s="205">
        <f>F234</f>
        <v>2462</v>
      </c>
      <c r="G233" s="205">
        <f>G234</f>
        <v>2462</v>
      </c>
      <c r="H233" s="205">
        <f>E233-F233+G233</f>
        <v>200000</v>
      </c>
    </row>
    <row r="234" spans="1:12" ht="18.75" customHeight="1">
      <c r="A234" s="92"/>
      <c r="B234" s="92"/>
      <c r="C234" s="109"/>
      <c r="D234" s="231" t="s">
        <v>594</v>
      </c>
      <c r="E234" s="232">
        <v>200000</v>
      </c>
      <c r="F234" s="232">
        <f>F235+F236</f>
        <v>2462</v>
      </c>
      <c r="G234" s="232">
        <f>G235+G236</f>
        <v>2462</v>
      </c>
      <c r="H234" s="232">
        <f>E234-F234+G234</f>
        <v>200000</v>
      </c>
      <c r="J234" s="8"/>
      <c r="L234" s="8"/>
    </row>
    <row r="235" spans="1:12" ht="29.25" customHeight="1">
      <c r="A235" s="105"/>
      <c r="B235" s="105"/>
      <c r="C235" s="111">
        <v>2540</v>
      </c>
      <c r="D235" s="10" t="s">
        <v>619</v>
      </c>
      <c r="E235" s="112">
        <v>98779</v>
      </c>
      <c r="F235" s="112"/>
      <c r="G235" s="112">
        <v>2462</v>
      </c>
      <c r="H235" s="112">
        <f>E235-F235+G235</f>
        <v>101241</v>
      </c>
      <c r="J235" s="8"/>
      <c r="L235" s="8"/>
    </row>
    <row r="236" spans="1:12" ht="41.25" customHeight="1">
      <c r="A236" s="92"/>
      <c r="B236" s="92"/>
      <c r="C236" s="111">
        <v>2590</v>
      </c>
      <c r="D236" s="10" t="s">
        <v>578</v>
      </c>
      <c r="E236" s="112">
        <v>101221</v>
      </c>
      <c r="F236" s="112">
        <v>2462</v>
      </c>
      <c r="G236" s="112"/>
      <c r="H236" s="112">
        <f>E236-F236+G236</f>
        <v>98759</v>
      </c>
      <c r="J236" s="8"/>
      <c r="L236" s="8"/>
    </row>
    <row r="237" spans="1:8" ht="19.5" customHeight="1" thickBot="1">
      <c r="A237" s="230"/>
      <c r="B237" s="224"/>
      <c r="C237" s="224"/>
      <c r="D237" s="298" t="s">
        <v>492</v>
      </c>
      <c r="E237" s="285">
        <v>79369821</v>
      </c>
      <c r="F237" s="285">
        <f>F238+F248</f>
        <v>237296</v>
      </c>
      <c r="G237" s="285">
        <f>G238+G248</f>
        <v>894951</v>
      </c>
      <c r="H237" s="285">
        <f aca="true" t="shared" si="20" ref="H237:H283">E237+G237-F237</f>
        <v>80027476</v>
      </c>
    </row>
    <row r="238" spans="1:9" s="16" customFormat="1" ht="19.5" customHeight="1" thickBot="1">
      <c r="A238" s="92"/>
      <c r="B238" s="92"/>
      <c r="C238" s="105"/>
      <c r="D238" s="275" t="s">
        <v>538</v>
      </c>
      <c r="E238" s="271">
        <v>59006967</v>
      </c>
      <c r="F238" s="271">
        <f>F239</f>
        <v>199031</v>
      </c>
      <c r="G238" s="271">
        <f>G239</f>
        <v>145231</v>
      </c>
      <c r="H238" s="271">
        <f t="shared" si="20"/>
        <v>58953167</v>
      </c>
      <c r="I238" s="15"/>
    </row>
    <row r="239" spans="1:8" s="16" customFormat="1" ht="20.25" customHeight="1" thickTop="1">
      <c r="A239" s="203">
        <v>852</v>
      </c>
      <c r="B239" s="115"/>
      <c r="C239" s="104"/>
      <c r="D239" s="132" t="s">
        <v>511</v>
      </c>
      <c r="E239" s="133">
        <v>57406000</v>
      </c>
      <c r="F239" s="133">
        <f>F240+F245</f>
        <v>199031</v>
      </c>
      <c r="G239" s="133">
        <f>G240+G245</f>
        <v>145231</v>
      </c>
      <c r="H239" s="133">
        <f t="shared" si="20"/>
        <v>57352200</v>
      </c>
    </row>
    <row r="240" spans="1:8" s="16" customFormat="1" ht="25.5" customHeight="1">
      <c r="A240" s="92"/>
      <c r="B240" s="440">
        <v>85212</v>
      </c>
      <c r="C240" s="440"/>
      <c r="D240" s="508" t="s">
        <v>234</v>
      </c>
      <c r="E240" s="194">
        <v>45881000</v>
      </c>
      <c r="F240" s="194">
        <f>F241+F243</f>
        <v>145231</v>
      </c>
      <c r="G240" s="194">
        <f>G241+G243</f>
        <v>145231</v>
      </c>
      <c r="H240" s="194">
        <f>E240+G240-F240</f>
        <v>45881000</v>
      </c>
    </row>
    <row r="241" spans="1:8" s="16" customFormat="1" ht="18.75" customHeight="1">
      <c r="A241" s="92"/>
      <c r="B241" s="404"/>
      <c r="C241" s="404"/>
      <c r="D241" s="509" t="s">
        <v>430</v>
      </c>
      <c r="E241" s="195">
        <v>664650</v>
      </c>
      <c r="F241" s="195"/>
      <c r="G241" s="195">
        <f>G242</f>
        <v>145231</v>
      </c>
      <c r="H241" s="195">
        <f>E241+G241-F241</f>
        <v>809881</v>
      </c>
    </row>
    <row r="242" spans="1:8" s="16" customFormat="1" ht="18.75" customHeight="1">
      <c r="A242" s="92"/>
      <c r="B242" s="399"/>
      <c r="C242" s="397">
        <v>4010</v>
      </c>
      <c r="D242" s="397" t="s">
        <v>576</v>
      </c>
      <c r="E242" s="112">
        <v>515000</v>
      </c>
      <c r="F242" s="112"/>
      <c r="G242" s="112">
        <v>145231</v>
      </c>
      <c r="H242" s="112">
        <f>E242+G242-F242</f>
        <v>660231</v>
      </c>
    </row>
    <row r="243" spans="1:8" s="756" customFormat="1" ht="19.5" customHeight="1">
      <c r="A243" s="741"/>
      <c r="B243" s="742"/>
      <c r="C243" s="1101"/>
      <c r="D243" s="999" t="s">
        <v>235</v>
      </c>
      <c r="E243" s="1102">
        <v>44981360</v>
      </c>
      <c r="F243" s="1102">
        <f>F244</f>
        <v>145231</v>
      </c>
      <c r="G243" s="1102"/>
      <c r="H243" s="1102">
        <f>E243+G243-F243</f>
        <v>44836129</v>
      </c>
    </row>
    <row r="244" spans="1:8" s="714" customFormat="1" ht="19.5" customHeight="1">
      <c r="A244" s="711"/>
      <c r="B244" s="757"/>
      <c r="C244" s="707">
        <v>3110</v>
      </c>
      <c r="D244" s="708" t="s">
        <v>436</v>
      </c>
      <c r="E244" s="713">
        <v>44281360</v>
      </c>
      <c r="F244" s="713">
        <v>145231</v>
      </c>
      <c r="G244" s="713"/>
      <c r="H244" s="713">
        <f>E244+G244-F244</f>
        <v>44136129</v>
      </c>
    </row>
    <row r="245" spans="1:8" s="16" customFormat="1" ht="25.5" customHeight="1">
      <c r="A245" s="92"/>
      <c r="B245" s="440">
        <v>85214</v>
      </c>
      <c r="C245" s="440"/>
      <c r="D245" s="508" t="s">
        <v>474</v>
      </c>
      <c r="E245" s="194">
        <v>9258000</v>
      </c>
      <c r="F245" s="194">
        <f>F246</f>
        <v>53800</v>
      </c>
      <c r="G245" s="194"/>
      <c r="H245" s="194">
        <f t="shared" si="20"/>
        <v>9204200</v>
      </c>
    </row>
    <row r="246" spans="1:8" s="16" customFormat="1" ht="18.75" customHeight="1">
      <c r="A246" s="92"/>
      <c r="B246" s="404"/>
      <c r="C246" s="404"/>
      <c r="D246" s="509" t="s">
        <v>477</v>
      </c>
      <c r="E246" s="195">
        <v>9258000</v>
      </c>
      <c r="F246" s="195">
        <f>F247</f>
        <v>53800</v>
      </c>
      <c r="G246" s="195"/>
      <c r="H246" s="195">
        <f t="shared" si="20"/>
        <v>9204200</v>
      </c>
    </row>
    <row r="247" spans="1:8" s="16" customFormat="1" ht="18.75" customHeight="1">
      <c r="A247" s="92"/>
      <c r="B247" s="399"/>
      <c r="C247" s="397">
        <v>3110</v>
      </c>
      <c r="D247" s="397" t="s">
        <v>436</v>
      </c>
      <c r="E247" s="112">
        <v>9256770</v>
      </c>
      <c r="F247" s="112">
        <v>53800</v>
      </c>
      <c r="G247" s="112"/>
      <c r="H247" s="112">
        <f t="shared" si="20"/>
        <v>9202970</v>
      </c>
    </row>
    <row r="248" spans="1:8" s="16" customFormat="1" ht="27.75" customHeight="1" thickBot="1">
      <c r="A248" s="245"/>
      <c r="B248" s="136"/>
      <c r="C248" s="136"/>
      <c r="D248" s="130" t="s">
        <v>539</v>
      </c>
      <c r="E248" s="131">
        <v>20362854</v>
      </c>
      <c r="F248" s="131">
        <f>F249+F253+F264+F269+F302</f>
        <v>38265</v>
      </c>
      <c r="G248" s="131">
        <f>G249+G253+G264+G269+G302</f>
        <v>749720</v>
      </c>
      <c r="H248" s="131">
        <f t="shared" si="20"/>
        <v>21074309</v>
      </c>
    </row>
    <row r="249" spans="1:8" s="16" customFormat="1" ht="20.25" customHeight="1" thickTop="1">
      <c r="A249" s="203">
        <v>700</v>
      </c>
      <c r="B249" s="115"/>
      <c r="C249" s="104"/>
      <c r="D249" s="132" t="s">
        <v>87</v>
      </c>
      <c r="E249" s="133">
        <v>345000</v>
      </c>
      <c r="F249" s="133"/>
      <c r="G249" s="133">
        <f>G250</f>
        <v>394868</v>
      </c>
      <c r="H249" s="133">
        <f t="shared" si="20"/>
        <v>739868</v>
      </c>
    </row>
    <row r="250" spans="1:8" s="16" customFormat="1" ht="18.75" customHeight="1">
      <c r="A250" s="108"/>
      <c r="B250" s="706">
        <v>70005</v>
      </c>
      <c r="C250" s="706"/>
      <c r="D250" s="442" t="s">
        <v>568</v>
      </c>
      <c r="E250" s="198">
        <v>345000</v>
      </c>
      <c r="F250" s="198"/>
      <c r="G250" s="198">
        <f>G251</f>
        <v>394868</v>
      </c>
      <c r="H250" s="198">
        <f t="shared" si="20"/>
        <v>739868</v>
      </c>
    </row>
    <row r="251" spans="1:8" s="16" customFormat="1" ht="19.5" customHeight="1">
      <c r="A251" s="92"/>
      <c r="B251" s="443"/>
      <c r="C251" s="443"/>
      <c r="D251" s="405" t="s">
        <v>88</v>
      </c>
      <c r="E251" s="195">
        <v>345000</v>
      </c>
      <c r="F251" s="195"/>
      <c r="G251" s="195">
        <f>G252</f>
        <v>394868</v>
      </c>
      <c r="H251" s="195">
        <f t="shared" si="20"/>
        <v>739868</v>
      </c>
    </row>
    <row r="252" spans="1:8" s="714" customFormat="1" ht="19.5" customHeight="1">
      <c r="A252" s="711"/>
      <c r="B252" s="712"/>
      <c r="C252" s="707">
        <v>4590</v>
      </c>
      <c r="D252" s="708" t="s">
        <v>89</v>
      </c>
      <c r="E252" s="713">
        <v>270000</v>
      </c>
      <c r="F252" s="713"/>
      <c r="G252" s="713">
        <v>394868</v>
      </c>
      <c r="H252" s="713">
        <f t="shared" si="20"/>
        <v>664868</v>
      </c>
    </row>
    <row r="253" spans="1:8" s="16" customFormat="1" ht="20.25" customHeight="1">
      <c r="A253" s="203">
        <v>750</v>
      </c>
      <c r="B253" s="115"/>
      <c r="C253" s="104"/>
      <c r="D253" s="132" t="s">
        <v>526</v>
      </c>
      <c r="E253" s="133">
        <v>940144</v>
      </c>
      <c r="F253" s="133">
        <f>F254</f>
        <v>38265</v>
      </c>
      <c r="G253" s="133">
        <f>G254</f>
        <v>38265</v>
      </c>
      <c r="H253" s="133">
        <f aca="true" t="shared" si="21" ref="H253:H262">E253+G253-F253</f>
        <v>940144</v>
      </c>
    </row>
    <row r="254" spans="1:8" s="16" customFormat="1" ht="18.75" customHeight="1">
      <c r="A254" s="108"/>
      <c r="B254" s="706">
        <v>75045</v>
      </c>
      <c r="C254" s="706"/>
      <c r="D254" s="491" t="s">
        <v>465</v>
      </c>
      <c r="E254" s="198">
        <v>106000</v>
      </c>
      <c r="F254" s="198">
        <f>F255</f>
        <v>38265</v>
      </c>
      <c r="G254" s="198">
        <f>G255</f>
        <v>38265</v>
      </c>
      <c r="H254" s="198">
        <f t="shared" si="21"/>
        <v>106000</v>
      </c>
    </row>
    <row r="255" spans="1:8" s="16" customFormat="1" ht="19.5" customHeight="1">
      <c r="A255" s="92"/>
      <c r="B255" s="443"/>
      <c r="C255" s="443"/>
      <c r="D255" s="405" t="s">
        <v>176</v>
      </c>
      <c r="E255" s="195">
        <v>106000</v>
      </c>
      <c r="F255" s="195">
        <f>SUM(F256:F262)</f>
        <v>38265</v>
      </c>
      <c r="G255" s="195">
        <f>SUM(G256:G262)</f>
        <v>38265</v>
      </c>
      <c r="H255" s="195">
        <f t="shared" si="21"/>
        <v>106000</v>
      </c>
    </row>
    <row r="256" spans="1:8" s="714" customFormat="1" ht="19.5" customHeight="1">
      <c r="A256" s="711"/>
      <c r="B256" s="712"/>
      <c r="C256" s="707">
        <v>3030</v>
      </c>
      <c r="D256" s="708" t="s">
        <v>454</v>
      </c>
      <c r="E256" s="713">
        <v>35000</v>
      </c>
      <c r="F256" s="713">
        <f>3075+31925</f>
        <v>35000</v>
      </c>
      <c r="G256" s="713"/>
      <c r="H256" s="713">
        <f t="shared" si="21"/>
        <v>0</v>
      </c>
    </row>
    <row r="257" spans="1:8" s="714" customFormat="1" ht="19.5" customHeight="1">
      <c r="A257" s="711"/>
      <c r="B257" s="712"/>
      <c r="C257" s="707">
        <v>4110</v>
      </c>
      <c r="D257" s="708" t="s">
        <v>529</v>
      </c>
      <c r="E257" s="715">
        <v>4400</v>
      </c>
      <c r="F257" s="715">
        <v>1135</v>
      </c>
      <c r="G257" s="715"/>
      <c r="H257" s="715">
        <f t="shared" si="21"/>
        <v>3265</v>
      </c>
    </row>
    <row r="258" spans="1:8" s="714" customFormat="1" ht="19.5" customHeight="1">
      <c r="A258" s="711"/>
      <c r="B258" s="712"/>
      <c r="C258" s="707">
        <v>4120</v>
      </c>
      <c r="D258" s="708" t="s">
        <v>530</v>
      </c>
      <c r="E258" s="715">
        <v>600</v>
      </c>
      <c r="F258" s="715">
        <v>135</v>
      </c>
      <c r="G258" s="715"/>
      <c r="H258" s="715">
        <f t="shared" si="21"/>
        <v>465</v>
      </c>
    </row>
    <row r="259" spans="1:8" s="714" customFormat="1" ht="19.5" customHeight="1">
      <c r="A259" s="711"/>
      <c r="B259" s="712"/>
      <c r="C259" s="707">
        <v>4170</v>
      </c>
      <c r="D259" s="708" t="s">
        <v>610</v>
      </c>
      <c r="E259" s="715">
        <v>28000</v>
      </c>
      <c r="F259" s="715"/>
      <c r="G259" s="715">
        <f>31925-2600</f>
        <v>29325</v>
      </c>
      <c r="H259" s="715">
        <f t="shared" si="21"/>
        <v>57325</v>
      </c>
    </row>
    <row r="260" spans="1:8" s="714" customFormat="1" ht="19.5" customHeight="1">
      <c r="A260" s="711"/>
      <c r="B260" s="716"/>
      <c r="C260" s="707">
        <v>4210</v>
      </c>
      <c r="D260" s="708" t="s">
        <v>525</v>
      </c>
      <c r="E260" s="715">
        <v>6000</v>
      </c>
      <c r="F260" s="715"/>
      <c r="G260" s="715">
        <v>1104</v>
      </c>
      <c r="H260" s="715">
        <f t="shared" si="21"/>
        <v>7104</v>
      </c>
    </row>
    <row r="261" spans="1:8" s="714" customFormat="1" ht="19.5" customHeight="1">
      <c r="A261" s="711"/>
      <c r="B261" s="716"/>
      <c r="C261" s="709">
        <v>4260</v>
      </c>
      <c r="D261" s="708" t="s">
        <v>528</v>
      </c>
      <c r="E261" s="713">
        <v>5000</v>
      </c>
      <c r="F261" s="713">
        <v>1995</v>
      </c>
      <c r="G261" s="713"/>
      <c r="H261" s="713">
        <f t="shared" si="21"/>
        <v>3005</v>
      </c>
    </row>
    <row r="262" spans="1:8" s="714" customFormat="1" ht="19.5" customHeight="1">
      <c r="A262" s="717"/>
      <c r="B262" s="707"/>
      <c r="C262" s="709">
        <v>4300</v>
      </c>
      <c r="D262" s="710" t="s">
        <v>524</v>
      </c>
      <c r="E262" s="713">
        <v>27000</v>
      </c>
      <c r="F262" s="713"/>
      <c r="G262" s="713">
        <v>7836</v>
      </c>
      <c r="H262" s="713">
        <f t="shared" si="21"/>
        <v>34836</v>
      </c>
    </row>
    <row r="263" spans="1:8" s="714" customFormat="1" ht="19.5" customHeight="1">
      <c r="A263" s="1074"/>
      <c r="B263" s="1075"/>
      <c r="C263" s="1075"/>
      <c r="D263" s="1076"/>
      <c r="E263" s="1077"/>
      <c r="F263" s="1077"/>
      <c r="G263" s="1077"/>
      <c r="H263" s="1077"/>
    </row>
    <row r="264" spans="1:8" s="16" customFormat="1" ht="20.25" customHeight="1">
      <c r="A264" s="196">
        <v>752</v>
      </c>
      <c r="B264" s="104"/>
      <c r="C264" s="104"/>
      <c r="D264" s="132" t="s">
        <v>225</v>
      </c>
      <c r="E264" s="133"/>
      <c r="F264" s="133"/>
      <c r="G264" s="133">
        <f>G265</f>
        <v>1200</v>
      </c>
      <c r="H264" s="133">
        <f>E264+G264-F264</f>
        <v>1200</v>
      </c>
    </row>
    <row r="265" spans="1:8" s="16" customFormat="1" ht="18.75" customHeight="1">
      <c r="A265" s="108"/>
      <c r="B265" s="706">
        <v>75212</v>
      </c>
      <c r="C265" s="706"/>
      <c r="D265" s="491" t="s">
        <v>226</v>
      </c>
      <c r="E265" s="198"/>
      <c r="F265" s="198"/>
      <c r="G265" s="198">
        <f>G266</f>
        <v>1200</v>
      </c>
      <c r="H265" s="198">
        <f>E265+G265-F265</f>
        <v>1200</v>
      </c>
    </row>
    <row r="266" spans="1:8" s="16" customFormat="1" ht="19.5" customHeight="1">
      <c r="A266" s="92"/>
      <c r="B266" s="443"/>
      <c r="C266" s="443"/>
      <c r="D266" s="405" t="s">
        <v>98</v>
      </c>
      <c r="E266" s="195"/>
      <c r="F266" s="195"/>
      <c r="G266" s="195">
        <f>SUM(G267:G268)</f>
        <v>1200</v>
      </c>
      <c r="H266" s="195">
        <f>E266+G266-F266</f>
        <v>1200</v>
      </c>
    </row>
    <row r="267" spans="1:8" s="714" customFormat="1" ht="19.5" customHeight="1">
      <c r="A267" s="711"/>
      <c r="B267" s="712"/>
      <c r="C267" s="707">
        <v>4170</v>
      </c>
      <c r="D267" s="708" t="s">
        <v>610</v>
      </c>
      <c r="E267" s="713"/>
      <c r="F267" s="713"/>
      <c r="G267" s="713">
        <v>500</v>
      </c>
      <c r="H267" s="713">
        <f>E267+G267-F267</f>
        <v>500</v>
      </c>
    </row>
    <row r="268" spans="1:8" s="714" customFormat="1" ht="19.5" customHeight="1">
      <c r="A268" s="717"/>
      <c r="B268" s="757"/>
      <c r="C268" s="707">
        <v>4210</v>
      </c>
      <c r="D268" s="708" t="s">
        <v>525</v>
      </c>
      <c r="E268" s="713"/>
      <c r="F268" s="713"/>
      <c r="G268" s="713">
        <v>700</v>
      </c>
      <c r="H268" s="713">
        <f>E268+G268-F268</f>
        <v>700</v>
      </c>
    </row>
    <row r="269" spans="1:8" s="16" customFormat="1" ht="20.25" customHeight="1">
      <c r="A269" s="196">
        <v>852</v>
      </c>
      <c r="B269" s="104"/>
      <c r="C269" s="104"/>
      <c r="D269" s="132" t="s">
        <v>511</v>
      </c>
      <c r="E269" s="133">
        <v>2374000</v>
      </c>
      <c r="F269" s="133"/>
      <c r="G269" s="133">
        <f>G270</f>
        <v>292800</v>
      </c>
      <c r="H269" s="133">
        <f t="shared" si="20"/>
        <v>2666800</v>
      </c>
    </row>
    <row r="270" spans="1:8" s="16" customFormat="1" ht="19.5" customHeight="1">
      <c r="A270" s="92"/>
      <c r="B270" s="176">
        <v>85203</v>
      </c>
      <c r="C270" s="176"/>
      <c r="D270" s="192" t="s">
        <v>485</v>
      </c>
      <c r="E270" s="194">
        <v>2123000</v>
      </c>
      <c r="F270" s="194"/>
      <c r="G270" s="194">
        <f>G271+G286</f>
        <v>292800</v>
      </c>
      <c r="H270" s="194">
        <f t="shared" si="20"/>
        <v>2415800</v>
      </c>
    </row>
    <row r="271" spans="1:8" s="16" customFormat="1" ht="39.75" customHeight="1">
      <c r="A271" s="92"/>
      <c r="B271" s="92"/>
      <c r="C271" s="108"/>
      <c r="D271" s="531" t="s">
        <v>487</v>
      </c>
      <c r="E271" s="734">
        <v>75600</v>
      </c>
      <c r="F271" s="734"/>
      <c r="G271" s="734">
        <f>G272+G275+G281+G284</f>
        <v>63800</v>
      </c>
      <c r="H271" s="734">
        <f t="shared" si="20"/>
        <v>139400</v>
      </c>
    </row>
    <row r="272" spans="1:8" s="16" customFormat="1" ht="19.5" customHeight="1">
      <c r="A272" s="92"/>
      <c r="B272" s="92"/>
      <c r="C272" s="92"/>
      <c r="D272" s="418" t="s">
        <v>430</v>
      </c>
      <c r="E272" s="232">
        <v>40000</v>
      </c>
      <c r="F272" s="232"/>
      <c r="G272" s="232">
        <f>SUM(G273:G274)</f>
        <v>21800</v>
      </c>
      <c r="H272" s="232">
        <f t="shared" si="20"/>
        <v>61800</v>
      </c>
    </row>
    <row r="273" spans="1:8" s="16" customFormat="1" ht="19.5" customHeight="1">
      <c r="A273" s="92"/>
      <c r="B273" s="92"/>
      <c r="C273" s="111">
        <v>4010</v>
      </c>
      <c r="D273" s="10" t="s">
        <v>576</v>
      </c>
      <c r="E273" s="112">
        <v>35000</v>
      </c>
      <c r="F273" s="112"/>
      <c r="G273" s="112">
        <v>19800</v>
      </c>
      <c r="H273" s="112">
        <f t="shared" si="20"/>
        <v>54800</v>
      </c>
    </row>
    <row r="274" spans="1:8" s="16" customFormat="1" ht="19.5" customHeight="1">
      <c r="A274" s="92"/>
      <c r="B274" s="92"/>
      <c r="C274" s="162">
        <v>4170</v>
      </c>
      <c r="D274" s="421" t="s">
        <v>610</v>
      </c>
      <c r="E274" s="166">
        <v>5000</v>
      </c>
      <c r="F274" s="166"/>
      <c r="G274" s="166">
        <v>2000</v>
      </c>
      <c r="H274" s="166">
        <f t="shared" si="20"/>
        <v>7000</v>
      </c>
    </row>
    <row r="275" spans="1:8" s="16" customFormat="1" ht="19.5" customHeight="1">
      <c r="A275" s="92"/>
      <c r="B275" s="92"/>
      <c r="C275" s="108"/>
      <c r="D275" s="405" t="s">
        <v>570</v>
      </c>
      <c r="E275" s="195">
        <v>27520</v>
      </c>
      <c r="F275" s="195"/>
      <c r="G275" s="195">
        <f>SUM(G276:G280)</f>
        <v>29980</v>
      </c>
      <c r="H275" s="195">
        <f t="shared" si="20"/>
        <v>57500</v>
      </c>
    </row>
    <row r="276" spans="1:8" s="16" customFormat="1" ht="19.5" customHeight="1">
      <c r="A276" s="92"/>
      <c r="B276" s="92"/>
      <c r="C276" s="111">
        <v>4210</v>
      </c>
      <c r="D276" s="10" t="s">
        <v>525</v>
      </c>
      <c r="E276" s="112">
        <v>6000</v>
      </c>
      <c r="F276" s="112"/>
      <c r="G276" s="112">
        <v>16000</v>
      </c>
      <c r="H276" s="112">
        <f t="shared" si="20"/>
        <v>22000</v>
      </c>
    </row>
    <row r="277" spans="1:8" s="16" customFormat="1" ht="19.5" customHeight="1">
      <c r="A277" s="92"/>
      <c r="B277" s="92"/>
      <c r="C277" s="162">
        <v>4220</v>
      </c>
      <c r="D277" s="421" t="s">
        <v>82</v>
      </c>
      <c r="E277" s="166">
        <v>10500</v>
      </c>
      <c r="F277" s="166"/>
      <c r="G277" s="166">
        <v>6500</v>
      </c>
      <c r="H277" s="166">
        <f t="shared" si="20"/>
        <v>17000</v>
      </c>
    </row>
    <row r="278" spans="1:8" s="16" customFormat="1" ht="19.5" customHeight="1">
      <c r="A278" s="92"/>
      <c r="B278" s="92"/>
      <c r="C278" s="111">
        <v>4260</v>
      </c>
      <c r="D278" s="116" t="s">
        <v>528</v>
      </c>
      <c r="E278" s="112">
        <v>8550</v>
      </c>
      <c r="F278" s="112"/>
      <c r="G278" s="112">
        <v>3150</v>
      </c>
      <c r="H278" s="112">
        <f t="shared" si="20"/>
        <v>11700</v>
      </c>
    </row>
    <row r="279" spans="1:8" s="16" customFormat="1" ht="19.5" customHeight="1">
      <c r="A279" s="92"/>
      <c r="B279" s="92"/>
      <c r="C279" s="111">
        <v>4300</v>
      </c>
      <c r="D279" s="10" t="s">
        <v>524</v>
      </c>
      <c r="E279" s="112">
        <v>1000</v>
      </c>
      <c r="F279" s="112"/>
      <c r="G279" s="112">
        <v>4000</v>
      </c>
      <c r="H279" s="112">
        <f t="shared" si="20"/>
        <v>5000</v>
      </c>
    </row>
    <row r="280" spans="1:8" s="16" customFormat="1" ht="19.5" customHeight="1">
      <c r="A280" s="92"/>
      <c r="B280" s="92"/>
      <c r="C280" s="162">
        <v>4440</v>
      </c>
      <c r="D280" s="421" t="s">
        <v>575</v>
      </c>
      <c r="E280" s="166">
        <v>1470</v>
      </c>
      <c r="F280" s="166"/>
      <c r="G280" s="166">
        <v>330</v>
      </c>
      <c r="H280" s="166">
        <f t="shared" si="20"/>
        <v>1800</v>
      </c>
    </row>
    <row r="281" spans="1:8" s="16" customFormat="1" ht="19.5" customHeight="1">
      <c r="A281" s="92"/>
      <c r="B281" s="92"/>
      <c r="C281" s="92"/>
      <c r="D281" s="180" t="s">
        <v>58</v>
      </c>
      <c r="E281" s="195">
        <v>8080</v>
      </c>
      <c r="F281" s="195"/>
      <c r="G281" s="195">
        <f>SUM(G282:G283)</f>
        <v>2020</v>
      </c>
      <c r="H281" s="195">
        <f t="shared" si="20"/>
        <v>10100</v>
      </c>
    </row>
    <row r="282" spans="1:8" s="16" customFormat="1" ht="19.5" customHeight="1">
      <c r="A282" s="92"/>
      <c r="B282" s="92"/>
      <c r="C282" s="111">
        <v>4110</v>
      </c>
      <c r="D282" s="10" t="s">
        <v>529</v>
      </c>
      <c r="E282" s="112">
        <v>7100</v>
      </c>
      <c r="F282" s="112"/>
      <c r="G282" s="112">
        <v>1700</v>
      </c>
      <c r="H282" s="112">
        <f t="shared" si="20"/>
        <v>8800</v>
      </c>
    </row>
    <row r="283" spans="1:8" s="16" customFormat="1" ht="19.5" customHeight="1">
      <c r="A283" s="92"/>
      <c r="B283" s="92"/>
      <c r="C283" s="162">
        <v>4120</v>
      </c>
      <c r="D283" s="421" t="s">
        <v>530</v>
      </c>
      <c r="E283" s="166">
        <v>980</v>
      </c>
      <c r="F283" s="166"/>
      <c r="G283" s="166">
        <v>320</v>
      </c>
      <c r="H283" s="166">
        <f t="shared" si="20"/>
        <v>1300</v>
      </c>
    </row>
    <row r="284" spans="1:8" s="16" customFormat="1" ht="19.5" customHeight="1">
      <c r="A284" s="92"/>
      <c r="B284" s="92"/>
      <c r="C284" s="92"/>
      <c r="D284" s="180" t="s">
        <v>152</v>
      </c>
      <c r="E284" s="195"/>
      <c r="F284" s="195"/>
      <c r="G284" s="195">
        <f>G285</f>
        <v>10000</v>
      </c>
      <c r="H284" s="195">
        <f>E284+G284-F284</f>
        <v>10000</v>
      </c>
    </row>
    <row r="285" spans="1:8" s="16" customFormat="1" ht="19.5" customHeight="1">
      <c r="A285" s="92"/>
      <c r="B285" s="92"/>
      <c r="C285" s="111">
        <v>6060</v>
      </c>
      <c r="D285" s="10" t="s">
        <v>338</v>
      </c>
      <c r="E285" s="112"/>
      <c r="F285" s="112"/>
      <c r="G285" s="112">
        <v>10000</v>
      </c>
      <c r="H285" s="112">
        <f>E285+G285-F285</f>
        <v>10000</v>
      </c>
    </row>
    <row r="286" spans="1:8" s="16" customFormat="1" ht="27.75" customHeight="1">
      <c r="A286" s="92"/>
      <c r="B286" s="92"/>
      <c r="C286" s="108"/>
      <c r="D286" s="528" t="s">
        <v>109</v>
      </c>
      <c r="E286" s="732"/>
      <c r="F286" s="732"/>
      <c r="G286" s="732">
        <f>G287+G289+G294+G297</f>
        <v>229000</v>
      </c>
      <c r="H286" s="732">
        <f aca="true" t="shared" si="22" ref="H286:H296">E286+G286-F286</f>
        <v>229000</v>
      </c>
    </row>
    <row r="287" spans="1:8" s="16" customFormat="1" ht="19.5" customHeight="1">
      <c r="A287" s="92"/>
      <c r="B287" s="92"/>
      <c r="C287" s="92"/>
      <c r="D287" s="418" t="s">
        <v>430</v>
      </c>
      <c r="E287" s="232"/>
      <c r="F287" s="232"/>
      <c r="G287" s="232">
        <f>G288</f>
        <v>3050</v>
      </c>
      <c r="H287" s="232">
        <f t="shared" si="22"/>
        <v>3050</v>
      </c>
    </row>
    <row r="288" spans="1:8" s="16" customFormat="1" ht="19.5" customHeight="1">
      <c r="A288" s="92"/>
      <c r="B288" s="92"/>
      <c r="C288" s="111">
        <v>4010</v>
      </c>
      <c r="D288" s="10" t="s">
        <v>576</v>
      </c>
      <c r="E288" s="112"/>
      <c r="F288" s="112"/>
      <c r="G288" s="112">
        <v>3050</v>
      </c>
      <c r="H288" s="112">
        <f t="shared" si="22"/>
        <v>3050</v>
      </c>
    </row>
    <row r="289" spans="1:8" s="16" customFormat="1" ht="19.5" customHeight="1">
      <c r="A289" s="92"/>
      <c r="B289" s="92"/>
      <c r="C289" s="108"/>
      <c r="D289" s="405" t="s">
        <v>570</v>
      </c>
      <c r="E289" s="195"/>
      <c r="F289" s="195"/>
      <c r="G289" s="195">
        <f>SUM(G290:G293)</f>
        <v>66335</v>
      </c>
      <c r="H289" s="195">
        <f t="shared" si="22"/>
        <v>66335</v>
      </c>
    </row>
    <row r="290" spans="1:8" s="16" customFormat="1" ht="19.5" customHeight="1">
      <c r="A290" s="92"/>
      <c r="B290" s="92"/>
      <c r="C290" s="111">
        <v>4210</v>
      </c>
      <c r="D290" s="10" t="s">
        <v>525</v>
      </c>
      <c r="E290" s="112"/>
      <c r="F290" s="112"/>
      <c r="G290" s="112">
        <v>35200</v>
      </c>
      <c r="H290" s="112">
        <f t="shared" si="22"/>
        <v>35200</v>
      </c>
    </row>
    <row r="291" spans="1:8" s="16" customFormat="1" ht="19.5" customHeight="1">
      <c r="A291" s="105"/>
      <c r="B291" s="105"/>
      <c r="C291" s="111">
        <v>4260</v>
      </c>
      <c r="D291" s="116" t="s">
        <v>528</v>
      </c>
      <c r="E291" s="112"/>
      <c r="F291" s="112"/>
      <c r="G291" s="112">
        <v>1935</v>
      </c>
      <c r="H291" s="112">
        <f t="shared" si="22"/>
        <v>1935</v>
      </c>
    </row>
    <row r="292" spans="1:8" s="16" customFormat="1" ht="19.5" customHeight="1">
      <c r="A292" s="92"/>
      <c r="B292" s="92"/>
      <c r="C292" s="111">
        <v>4270</v>
      </c>
      <c r="D292" s="116" t="s">
        <v>182</v>
      </c>
      <c r="E292" s="112"/>
      <c r="F292" s="112"/>
      <c r="G292" s="112">
        <v>26800</v>
      </c>
      <c r="H292" s="112">
        <f t="shared" si="22"/>
        <v>26800</v>
      </c>
    </row>
    <row r="293" spans="1:8" s="16" customFormat="1" ht="19.5" customHeight="1">
      <c r="A293" s="92"/>
      <c r="B293" s="92"/>
      <c r="C293" s="111">
        <v>4300</v>
      </c>
      <c r="D293" s="10" t="s">
        <v>524</v>
      </c>
      <c r="E293" s="112"/>
      <c r="F293" s="112"/>
      <c r="G293" s="112">
        <v>2400</v>
      </c>
      <c r="H293" s="112">
        <f t="shared" si="22"/>
        <v>2400</v>
      </c>
    </row>
    <row r="294" spans="1:8" s="16" customFormat="1" ht="19.5" customHeight="1">
      <c r="A294" s="92"/>
      <c r="B294" s="92"/>
      <c r="C294" s="92"/>
      <c r="D294" s="180" t="s">
        <v>58</v>
      </c>
      <c r="E294" s="195"/>
      <c r="F294" s="195"/>
      <c r="G294" s="195">
        <f>SUM(G295:G296)</f>
        <v>615</v>
      </c>
      <c r="H294" s="195">
        <f t="shared" si="22"/>
        <v>615</v>
      </c>
    </row>
    <row r="295" spans="1:8" s="16" customFormat="1" ht="19.5" customHeight="1">
      <c r="A295" s="92"/>
      <c r="B295" s="92"/>
      <c r="C295" s="111">
        <v>4110</v>
      </c>
      <c r="D295" s="10" t="s">
        <v>529</v>
      </c>
      <c r="E295" s="112"/>
      <c r="F295" s="112"/>
      <c r="G295" s="112">
        <v>540</v>
      </c>
      <c r="H295" s="112">
        <f t="shared" si="22"/>
        <v>540</v>
      </c>
    </row>
    <row r="296" spans="1:8" s="16" customFormat="1" ht="19.5" customHeight="1">
      <c r="A296" s="92"/>
      <c r="B296" s="92"/>
      <c r="C296" s="162">
        <v>4120</v>
      </c>
      <c r="D296" s="421" t="s">
        <v>530</v>
      </c>
      <c r="E296" s="166"/>
      <c r="F296" s="166"/>
      <c r="G296" s="166">
        <v>75</v>
      </c>
      <c r="H296" s="166">
        <f t="shared" si="22"/>
        <v>75</v>
      </c>
    </row>
    <row r="297" spans="1:8" s="16" customFormat="1" ht="19.5" customHeight="1">
      <c r="A297" s="92"/>
      <c r="B297" s="92"/>
      <c r="C297" s="92"/>
      <c r="D297" s="180" t="s">
        <v>608</v>
      </c>
      <c r="E297" s="195"/>
      <c r="F297" s="195"/>
      <c r="G297" s="195">
        <f>G298+G300</f>
        <v>159000</v>
      </c>
      <c r="H297" s="195">
        <f aca="true" t="shared" si="23" ref="H297:H305">E297+G297-F297</f>
        <v>159000</v>
      </c>
    </row>
    <row r="298" spans="1:8" s="170" customFormat="1" ht="19.5" customHeight="1">
      <c r="A298" s="109"/>
      <c r="B298" s="109"/>
      <c r="C298" s="109"/>
      <c r="D298" s="330" t="s">
        <v>153</v>
      </c>
      <c r="E298" s="247"/>
      <c r="F298" s="247"/>
      <c r="G298" s="247">
        <f>G299</f>
        <v>150000</v>
      </c>
      <c r="H298" s="247">
        <f t="shared" si="23"/>
        <v>150000</v>
      </c>
    </row>
    <row r="299" spans="1:8" s="16" customFormat="1" ht="19.5" customHeight="1">
      <c r="A299" s="92"/>
      <c r="B299" s="92"/>
      <c r="C299" s="111">
        <v>6050</v>
      </c>
      <c r="D299" s="397" t="s">
        <v>606</v>
      </c>
      <c r="E299" s="112"/>
      <c r="F299" s="112"/>
      <c r="G299" s="112">
        <v>150000</v>
      </c>
      <c r="H299" s="112">
        <f t="shared" si="23"/>
        <v>150000</v>
      </c>
    </row>
    <row r="300" spans="1:8" s="16" customFormat="1" ht="19.5" customHeight="1">
      <c r="A300" s="92"/>
      <c r="B300" s="92"/>
      <c r="C300" s="165"/>
      <c r="D300" s="1131" t="s">
        <v>339</v>
      </c>
      <c r="E300" s="1132"/>
      <c r="F300" s="1132"/>
      <c r="G300" s="1132">
        <f>G301</f>
        <v>9000</v>
      </c>
      <c r="H300" s="1132">
        <f t="shared" si="23"/>
        <v>9000</v>
      </c>
    </row>
    <row r="301" spans="1:8" s="16" customFormat="1" ht="19.5" customHeight="1">
      <c r="A301" s="105"/>
      <c r="B301" s="105"/>
      <c r="C301" s="111">
        <v>6060</v>
      </c>
      <c r="D301" s="10" t="s">
        <v>188</v>
      </c>
      <c r="E301" s="112"/>
      <c r="F301" s="112"/>
      <c r="G301" s="112">
        <v>9000</v>
      </c>
      <c r="H301" s="112">
        <f t="shared" si="23"/>
        <v>9000</v>
      </c>
    </row>
    <row r="302" spans="1:8" s="16" customFormat="1" ht="20.25" customHeight="1">
      <c r="A302" s="196">
        <v>853</v>
      </c>
      <c r="B302" s="104"/>
      <c r="C302" s="104"/>
      <c r="D302" s="461" t="s">
        <v>560</v>
      </c>
      <c r="E302" s="133">
        <v>505585</v>
      </c>
      <c r="F302" s="133"/>
      <c r="G302" s="133">
        <f>G303</f>
        <v>22587</v>
      </c>
      <c r="H302" s="133">
        <f t="shared" si="23"/>
        <v>528172</v>
      </c>
    </row>
    <row r="303" spans="1:8" s="16" customFormat="1" ht="18.75" customHeight="1">
      <c r="A303" s="108"/>
      <c r="B303" s="706">
        <v>85334</v>
      </c>
      <c r="C303" s="706"/>
      <c r="D303" s="442" t="s">
        <v>440</v>
      </c>
      <c r="E303" s="198">
        <v>9585</v>
      </c>
      <c r="F303" s="198"/>
      <c r="G303" s="198">
        <f>G304</f>
        <v>22587</v>
      </c>
      <c r="H303" s="198">
        <f t="shared" si="23"/>
        <v>32172</v>
      </c>
    </row>
    <row r="304" spans="1:8" s="16" customFormat="1" ht="19.5" customHeight="1">
      <c r="A304" s="92"/>
      <c r="B304" s="443"/>
      <c r="C304" s="443"/>
      <c r="D304" s="405" t="s">
        <v>443</v>
      </c>
      <c r="E304" s="195">
        <v>9585</v>
      </c>
      <c r="F304" s="195"/>
      <c r="G304" s="195">
        <f>SUM(G305:G311)</f>
        <v>22587</v>
      </c>
      <c r="H304" s="195">
        <f t="shared" si="23"/>
        <v>32172</v>
      </c>
    </row>
    <row r="305" spans="1:8" s="714" customFormat="1" ht="19.5" customHeight="1">
      <c r="A305" s="717"/>
      <c r="B305" s="757"/>
      <c r="C305" s="707">
        <v>3110</v>
      </c>
      <c r="D305" s="708" t="s">
        <v>436</v>
      </c>
      <c r="E305" s="713">
        <v>5805</v>
      </c>
      <c r="F305" s="713"/>
      <c r="G305" s="713">
        <f>16383+6204</f>
        <v>22587</v>
      </c>
      <c r="H305" s="713">
        <f t="shared" si="23"/>
        <v>28392</v>
      </c>
    </row>
    <row r="311" ht="12.75">
      <c r="E311" s="17" t="s">
        <v>24</v>
      </c>
    </row>
    <row r="312" ht="12.75">
      <c r="E312" s="17" t="s">
        <v>23</v>
      </c>
    </row>
    <row r="313" ht="12.75">
      <c r="E313" s="17" t="s">
        <v>22</v>
      </c>
    </row>
  </sheetData>
  <printOptions horizontalCentered="1"/>
  <pageMargins left="0.3937007874015748" right="0.3937007874015748" top="0.61" bottom="0.47" header="0.5118110236220472" footer="0.31496062992125984"/>
  <pageSetup firstPageNumber="24" useFirstPageNumber="1" horizontalDpi="300" verticalDpi="3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aswiatek</cp:lastModifiedBy>
  <cp:lastPrinted>2005-07-14T13:05:04Z</cp:lastPrinted>
  <dcterms:created xsi:type="dcterms:W3CDTF">2004-03-08T07:54:07Z</dcterms:created>
  <dcterms:modified xsi:type="dcterms:W3CDTF">2004-03-26T17:35:44Z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