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wydatki" sheetId="2" r:id="rId2"/>
    <sheet name="jednostki" sheetId="3" r:id="rId3"/>
    <sheet name="GFOSiGW" sheetId="4" r:id="rId4"/>
    <sheet name="fgzg" sheetId="5" r:id="rId5"/>
    <sheet name="harm doch" sheetId="6" r:id="rId6"/>
    <sheet name="harm wyd" sheetId="7" r:id="rId7"/>
    <sheet name="har GFOSiGW" sheetId="8" r:id="rId8"/>
    <sheet name="Har FGZGiK" sheetId="9" r:id="rId9"/>
  </sheets>
  <definedNames>
    <definedName name="_xlnm.Print_Area" localSheetId="5">'harm doch'!$A$1:$I$34</definedName>
    <definedName name="_xlnm.Print_Titles" localSheetId="0">'dochody'!$8:$8</definedName>
    <definedName name="_xlnm.Print_Titles" localSheetId="3">'GFOSiGW'!$9:$9</definedName>
    <definedName name="_xlnm.Print_Titles" localSheetId="5">'harm doch'!$9:$9</definedName>
    <definedName name="_xlnm.Print_Titles" localSheetId="6">'harm wyd'!$8:$8</definedName>
    <definedName name="_xlnm.Print_Titles" localSheetId="2">'jednostki'!$9:$9</definedName>
    <definedName name="_xlnm.Print_Titles" localSheetId="1">'wydatki'!$8:$8</definedName>
  </definedNames>
  <calcPr fullCalcOnLoad="1"/>
</workbook>
</file>

<file path=xl/sharedStrings.xml><?xml version="1.0" encoding="utf-8"?>
<sst xmlns="http://schemas.openxmlformats.org/spreadsheetml/2006/main" count="680" uniqueCount="296">
  <si>
    <t>Dział</t>
  </si>
  <si>
    <t>Dochody budżetu miasta ogółem</t>
  </si>
  <si>
    <t>z tego:</t>
  </si>
  <si>
    <t xml:space="preserve">Dochody własne </t>
  </si>
  <si>
    <t>Pozostała działalność</t>
  </si>
  <si>
    <t>Załącznik nr 1</t>
  </si>
  <si>
    <t>w złotych</t>
  </si>
  <si>
    <t>Dochody budżetu miasta na 2005 rok</t>
  </si>
  <si>
    <r>
      <t xml:space="preserve">Dochody gminy ogółem, </t>
    </r>
    <r>
      <rPr>
        <i/>
        <sz val="10"/>
        <rFont val="Arial CE"/>
        <family val="2"/>
      </rPr>
      <t>z tego:</t>
    </r>
  </si>
  <si>
    <t>Rozdz.</t>
  </si>
  <si>
    <t>Oświata i wychowanie</t>
  </si>
  <si>
    <t>Przedszkola</t>
  </si>
  <si>
    <t>Pomoc społeczna</t>
  </si>
  <si>
    <t>Edukacyjna opieka wychowawcza</t>
  </si>
  <si>
    <t>Zmiany</t>
  </si>
  <si>
    <t>Treść</t>
  </si>
  <si>
    <t xml:space="preserve">Rozdz. 
§     </t>
  </si>
  <si>
    <t>(nazwa działu, rozdziału, źródła przychodów, zadania, paragrafu)</t>
  </si>
  <si>
    <t>Stan środków obrotowych na początek roku</t>
  </si>
  <si>
    <t>w tym: stan środków pieniężnych</t>
  </si>
  <si>
    <t>Przychody</t>
  </si>
  <si>
    <t>Gospodarka komunalna i ochrona środowiska</t>
  </si>
  <si>
    <t>Fundusz Ochrony Środowiska i Gospodarki Wodnej</t>
  </si>
  <si>
    <t>Suma bilansowa</t>
  </si>
  <si>
    <t>Wydatki ogółem</t>
  </si>
  <si>
    <t>Stan środków obrotowych na koniec roku</t>
  </si>
  <si>
    <t xml:space="preserve">Plan przychodów i wydatków </t>
  </si>
  <si>
    <t xml:space="preserve">Gminnego Funduszu Ochrony Środowiska i Gospodarki Wodnej </t>
  </si>
  <si>
    <t>Plan po zmianach</t>
  </si>
  <si>
    <t xml:space="preserve">Subwencje </t>
  </si>
  <si>
    <t>Dotacje celowe i inne środki na zadania własne</t>
  </si>
  <si>
    <t>Administracja publiczna</t>
  </si>
  <si>
    <t>Urzędy miast i miast na prawach powiatu</t>
  </si>
  <si>
    <t>Dochody powiatu ogółem, z tego:</t>
  </si>
  <si>
    <t>Dochody własne</t>
  </si>
  <si>
    <t>Dotacje celowe na zadania realizowane na podstawie porozumień i umów</t>
  </si>
  <si>
    <t>Dotacje celowe z budżetu państwa na zadania zlecone z zakresu administracji rządowej</t>
  </si>
  <si>
    <t>Załącznik nr 2</t>
  </si>
  <si>
    <t>Zmniejszenia</t>
  </si>
  <si>
    <t>Zwiększenia</t>
  </si>
  <si>
    <t>Plan
 po zmianach</t>
  </si>
  <si>
    <t>Wydatki na zadania własne</t>
  </si>
  <si>
    <t xml:space="preserve">Wydatki na zadania realizowane na podstawie porozumień 
i umów </t>
  </si>
  <si>
    <t>Wydatki na zadania zlecone</t>
  </si>
  <si>
    <t>Plan według uchwały
nr 583/XXV/2004
Rady Miasta Lublin
z 30.12.2004 r.
z późn. zm.</t>
  </si>
  <si>
    <t>Wydatki</t>
  </si>
  <si>
    <t>na 2005 rok</t>
  </si>
  <si>
    <t>Załącznik nr 3</t>
  </si>
  <si>
    <t>Plan według uchwały 
nr 583/XXV/2004 
Rady Miasta Lublin 
z 30.12.2004 r.
z późn. zm.</t>
  </si>
  <si>
    <t>Wydatki budżetu miasta na 2005 rok</t>
  </si>
  <si>
    <t>Przelewy redystrybucyjne</t>
  </si>
  <si>
    <t>edukacja ekologiczna</t>
  </si>
  <si>
    <t>Zakup usług pozostałych</t>
  </si>
  <si>
    <t>Wynagrodzenia bezosobowe</t>
  </si>
  <si>
    <t>monitoring środowiska i tworzenie baz danych w Miejskim Banku Zanieczyszczeń Środowiska</t>
  </si>
  <si>
    <t>Dotacje przekazane z funduszy celowych na realizację zadań bieżących dla jednostek niezaliczanych do sektora finansów publicznych</t>
  </si>
  <si>
    <t>inwestycje</t>
  </si>
  <si>
    <t>Gospodarka mieszkaniowa</t>
  </si>
  <si>
    <t>Gospodarka gruntami i nieruchomościami</t>
  </si>
  <si>
    <t>Ochrona zdrowia</t>
  </si>
  <si>
    <t>przedszkola, w tym:</t>
  </si>
  <si>
    <t>dotacje dla publicznych i niepublicznych przedszkoli</t>
  </si>
  <si>
    <t>Plan przychodów i wydatków</t>
  </si>
  <si>
    <t>Funduszu Gospodarki Zasobem Geodezyjnym i Kartograficznym</t>
  </si>
  <si>
    <t>%  9:7</t>
  </si>
  <si>
    <t>% 
5:4</t>
  </si>
  <si>
    <t>Działalność usługowa</t>
  </si>
  <si>
    <t>Fundusz Gospodarki Zasobem Geodezyjnym i Kartograficznym</t>
  </si>
  <si>
    <t>sprzedaż map i wyrysów</t>
  </si>
  <si>
    <t>zakup materiałów i usług</t>
  </si>
  <si>
    <t>zakup sprzętu specjalistycznego</t>
  </si>
  <si>
    <t>Plan na 2005 rok</t>
  </si>
  <si>
    <t>Przewidywane  wykonanie 
2004 roku</t>
  </si>
  <si>
    <t xml:space="preserve">Rozdz.                                § </t>
  </si>
  <si>
    <t>0830</t>
  </si>
  <si>
    <t>0920</t>
  </si>
  <si>
    <t>Zakup materiałów i wyposażenia</t>
  </si>
  <si>
    <t>Zakup usług remontowych</t>
  </si>
  <si>
    <t>usługi i roboty geodezyjne</t>
  </si>
  <si>
    <t>szkolenia specjalistyczne</t>
  </si>
  <si>
    <t>Wydatki na zakupy inwestycyjne funduszy celowych</t>
  </si>
  <si>
    <t>koszty pobytu dzieci w przedszkolach na terenie innych gmin</t>
  </si>
  <si>
    <t>Zakłady gospodarki mieszkaniowej</t>
  </si>
  <si>
    <t>dotacja dla Zarządu Nieruchomości Komunalnych, w tym:</t>
  </si>
  <si>
    <t>Różne rozliczenia</t>
  </si>
  <si>
    <t>Rezerwy ogólne i celowe</t>
  </si>
  <si>
    <t>rezerwa budżetowa</t>
  </si>
  <si>
    <t>wpłata do budżetu ze środka specjalnego "Egzekucja administracyjna"</t>
  </si>
  <si>
    <t>Placówki opiekuńczo-wychowawcze</t>
  </si>
  <si>
    <t>dotacja celowa na utworzenie Gminnego Centrum Informacji</t>
  </si>
  <si>
    <t>realizacja projektu na utworzenie Gminnego Centrum Informacji</t>
  </si>
  <si>
    <t>wydatki rzeczowe</t>
  </si>
  <si>
    <t>Szkoły podstawowe</t>
  </si>
  <si>
    <t>Załącznik nr 7</t>
  </si>
  <si>
    <t>środki z Prowincji Gelderland na wymianę doświadczeń z zakresu rewitalizacji</t>
  </si>
  <si>
    <t xml:space="preserve">ratowanie lubelskich kosztanowców przed inwazją szrotówka kasztanowcowiaczka </t>
  </si>
  <si>
    <t>Subwencje i dotacja rekompensująca</t>
  </si>
  <si>
    <t xml:space="preserve">inwestycje </t>
  </si>
  <si>
    <t>Zakup pomocy naukowych, dydaktycznych i książek</t>
  </si>
  <si>
    <t>Pozostałe odsetki</t>
  </si>
  <si>
    <t>odsetki od nieterminowych wpłat</t>
  </si>
  <si>
    <t>Wpływy z usług</t>
  </si>
  <si>
    <t xml:space="preserve"> Wydatki </t>
  </si>
  <si>
    <t xml:space="preserve">wpłaty na rzecz Centralnego i Wojewódzkiego Funduszu Zasobem Geodezyjnym 
i Kartograficznym </t>
  </si>
  <si>
    <t>Prezydenta Miasta Lublin</t>
  </si>
  <si>
    <t>0870</t>
  </si>
  <si>
    <t>Wpływy ze sprzedaży składników majątkowych</t>
  </si>
  <si>
    <t>Wpływy do budżetu ze środków specjalnych</t>
  </si>
  <si>
    <t>Środki na dofinansowanie własnych zadań bieżących gmin, powiatów, samorządów województw, pozyskane z innych źródeł</t>
  </si>
  <si>
    <t xml:space="preserve">Rozdz.    </t>
  </si>
  <si>
    <t>§</t>
  </si>
  <si>
    <t>Treść                                                                                                                              
 (nazwa działu, rozdziału, zadania, paragrafu)</t>
  </si>
  <si>
    <t>Dotacje celowe z budżetu na finansowanie lub dofinansowanie kosztów realizacji inwestycji i zakupów inwestycyjnych zakładów budżetowych</t>
  </si>
  <si>
    <t>Rezerwy</t>
  </si>
  <si>
    <t>Dotacja podmiotowa z budżetu dla niepublicznej jednostki systemu oświaty</t>
  </si>
  <si>
    <t>Zakup usług remontowych - remonty szkół</t>
  </si>
  <si>
    <t>Odpisy na zakładowy fundusz świadczeń socjalnych</t>
  </si>
  <si>
    <t>zakładowy fundusz świadczeń socjalnych dla nauczycieli emerytów 
i rencistów</t>
  </si>
  <si>
    <t>Wydatki inwestycyjne jednostek budżetowych</t>
  </si>
  <si>
    <t>Schroniska dla zwierząt</t>
  </si>
  <si>
    <t xml:space="preserve">Podział planowanych dochodów i wydatków budżetu miasta </t>
  </si>
  <si>
    <t>na 2005 rok według jednostek organizacyjnych realizujących budżet</t>
  </si>
  <si>
    <t>Dz.</t>
  </si>
  <si>
    <t xml:space="preserve">Treść                                                                                                </t>
  </si>
  <si>
    <t>Dochody</t>
  </si>
  <si>
    <t>OGÓŁEM</t>
  </si>
  <si>
    <t>1. Urząd Miasta</t>
  </si>
  <si>
    <t>1.1 Wydział Finansowy</t>
  </si>
  <si>
    <t xml:space="preserve"> Dochody gminy, w tym:</t>
  </si>
  <si>
    <t>Środki na dofinansowanie własnych inwestycji gmin, powiatów, samorządów województw, pozyskane z innych źródeł</t>
  </si>
  <si>
    <t>1.3 Wydział Organizacyjny</t>
  </si>
  <si>
    <t xml:space="preserve">Wydatki na zadania własne </t>
  </si>
  <si>
    <t xml:space="preserve">dotacja dla Zarządu Nieruchomości Komunalnych, z tego: </t>
  </si>
  <si>
    <t>inwestycje - modernizacje budynków</t>
  </si>
  <si>
    <t>Kultura i ochrona dziedzictwa narodowego</t>
  </si>
  <si>
    <t>Dotacja celowa z budżetu na finansowanie lub dofinansowanie zadań zleconych do realizacji stowarzyszeniom</t>
  </si>
  <si>
    <t>Harmonogram realizacji dochodów budżetu miasta w 2005 roku</t>
  </si>
  <si>
    <t xml:space="preserve">Treść      
(nazwa działu, rozdziału)                                                                                       </t>
  </si>
  <si>
    <t>Plan na 
2005 rok
z późn. zm.</t>
  </si>
  <si>
    <t>I kwartał</t>
  </si>
  <si>
    <t>II kwartał</t>
  </si>
  <si>
    <t>III kwartał</t>
  </si>
  <si>
    <t>IV kwartał</t>
  </si>
  <si>
    <t>Dochody ogółem</t>
  </si>
  <si>
    <t>Dochody gminy, w tym:</t>
  </si>
  <si>
    <t>Dochody od osób prawnych, od osób fizycznych i od innych jednostek 
nieposiadających osobowości prawnej oraz wydatki związane z ich poborem</t>
  </si>
  <si>
    <t>Dochody własne gminy</t>
  </si>
  <si>
    <t>Harmonogram realizacji wydatków budżetu miasta w 2005 roku</t>
  </si>
  <si>
    <t>w tym:</t>
  </si>
  <si>
    <t>1.2. Wydział Geodezji i Gospodarki Nieruchomościami</t>
  </si>
  <si>
    <t>Gospodarka komunalna i ochrona środkowiska</t>
  </si>
  <si>
    <t xml:space="preserve">Rozdz. </t>
  </si>
  <si>
    <t>Treść                                                                                                                   (nazwa działu, rozdziału)</t>
  </si>
  <si>
    <t>1.1 Wydział Ochrony Środowiska</t>
  </si>
  <si>
    <t>partycypacja w kosztach rozbudowy schroniska dla zwierząt</t>
  </si>
  <si>
    <t>Podróże służbowe zagraniczne</t>
  </si>
  <si>
    <t>Gimnazja</t>
  </si>
  <si>
    <t>Lecznictwo ambulatoryjne</t>
  </si>
  <si>
    <t>wydatki związane z likwidacją Zespołu Opieki Zdrowotnej w Lublinie SP ZOZ</t>
  </si>
  <si>
    <t>Pokrycie ujemnego wyniku  finansowego i przejętych zobowiązań po likwidowanych i przekształcanych jednostkach zaliczanych do sektora finansów publicznych</t>
  </si>
  <si>
    <t>realizacja zadań wynikających ze strategii działań na rzecz osób niepełnosprawnych, w tym:</t>
  </si>
  <si>
    <t>rehabilitacja osób niepełnosprawnych zwiększająca ich samodzielność fizyczną i psychiczną</t>
  </si>
  <si>
    <t>Domy i ośrodki kultury, świetlice i kluby</t>
  </si>
  <si>
    <t>Dotacja podmiotowa z budżetu dla samorządowej instytucji kultury</t>
  </si>
  <si>
    <t>1.2 Wydział Geodezji i Gospodarki Nieruchomościami</t>
  </si>
  <si>
    <t>Katolicka Szkoła Podstawowa im. św Jadwigi Królowej; Parafia Rzymsko-Katolicka św. Jadwigi Królowej, ul. Koncertowa 15, 20-866 Lublin</t>
  </si>
  <si>
    <t>1.4 Wydział Oświaty i Wychowania</t>
  </si>
  <si>
    <t>1.5 Wydział Spraw Społecznych</t>
  </si>
  <si>
    <t>1.6 Wydział Strategii i Rozwoju</t>
  </si>
  <si>
    <t>1.7 Kancelaria Prezydenta Miasta</t>
  </si>
  <si>
    <t>2. Zespół Placówek Opiekuńczo-Wychowawczych "Pogodny Dom"</t>
  </si>
  <si>
    <t>1.3. Wydział Strategii i Rozwoju</t>
  </si>
  <si>
    <t>2. Zespół Placówek Opiekuńczo-Wychowawczych
 "Pogodny Dom"</t>
  </si>
  <si>
    <t>Treść
(nazwa działu, rozdziału)</t>
  </si>
  <si>
    <t>Przychody ogółem</t>
  </si>
  <si>
    <t xml:space="preserve">Funduszu Gospodarki Zasobem Geodezyjnym i Kartograficznym </t>
  </si>
  <si>
    <t>Urząd Miasta - Wydział Geodezji 
i Gospodarki Nieruchomościami</t>
  </si>
  <si>
    <t>Fundusz Gospodarki Zasobem Geodezyjnym 
i Kartograficznym</t>
  </si>
  <si>
    <t>Harmonogram realizacji przychodów i wydatków</t>
  </si>
  <si>
    <t>Gminnego Funduszu Ochrony Środowiska i Gospodarki Wodnej</t>
  </si>
  <si>
    <t xml:space="preserve">Harmonogram realizacji przychodów i wydatków </t>
  </si>
  <si>
    <t>sprzedaż działek</t>
  </si>
  <si>
    <t>Załącznik nr 4</t>
  </si>
  <si>
    <t xml:space="preserve">   Załącznik nr 5</t>
  </si>
  <si>
    <t>Załącznik nr 6</t>
  </si>
  <si>
    <t>Załącznik nr 8</t>
  </si>
  <si>
    <t>Załącznik nr 9</t>
  </si>
  <si>
    <t>2. V Liceum Ogólnokształcące</t>
  </si>
  <si>
    <t>1. Urząd Miasta - Wydział Ochrony Środowiska</t>
  </si>
  <si>
    <t>dotacja dla Zespołu Pieśni i Tańca "Lublin" im. W. Kaniorowej</t>
  </si>
  <si>
    <t>modernizacje budynków</t>
  </si>
  <si>
    <t>wykup gruntów</t>
  </si>
  <si>
    <t>modernizacje szkół</t>
  </si>
  <si>
    <t>modernizacje przychodni</t>
  </si>
  <si>
    <t>schronisko dla zwierząt</t>
  </si>
  <si>
    <t>modernizacje obiektów</t>
  </si>
  <si>
    <t xml:space="preserve">   Prezydenta Miasta Lublin</t>
  </si>
  <si>
    <t>Treść 
(nazwa działu, rozdziału, źródła dochodów, paragrafu)</t>
  </si>
  <si>
    <t>dotacje z Wojewódzkiego Funduszu Ochrony Środowiska i Gospodarki Wodnej 
na realizację zadań z zakresu ochrony środowiska</t>
  </si>
  <si>
    <t>odbudowa sterówki jazu, remont przepustu i elewacji</t>
  </si>
  <si>
    <t>remont wylotu kanału burzowego w ciągu ulicy Muzycznej</t>
  </si>
  <si>
    <t>Plan według uchwały 
nr 583/XXV/2004 
Rady Miasta Lublin 
z 30.12.2004 r. 
z późn. zm.</t>
  </si>
  <si>
    <t>Urząd Miasta Lublin - Wydział Ochrony Środowiska</t>
  </si>
  <si>
    <t>1. Urząd Miasta Lublin</t>
  </si>
  <si>
    <t>Przeciwdziałanie alkoholizmowi</t>
  </si>
  <si>
    <t>zadania realizowane w ramach Gminnego Programu Profilaktyki 
i Rozwiązywania Problemów Alkoholowych, w tym:</t>
  </si>
  <si>
    <t>udzielalnie rodzinom, w których występują problemy alkoholowe pomocy psychospołecznej i prawnej, a w szczególności ochrony przed przemocą 
w rodzinie</t>
  </si>
  <si>
    <t>3. Szkoły i placówki oświatowe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</si>
  <si>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</si>
  <si>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</si>
  <si>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</si>
  <si>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</si>
  <si>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</si>
  <si>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</si>
  <si>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</si>
  <si>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</si>
  <si>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</si>
  <si>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</si>
  <si>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</si>
  <si>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</si>
  <si>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</si>
  <si>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</si>
  <si>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</si>
  <si>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</si>
  <si>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</si>
  <si>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</si>
  <si>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</si>
  <si>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</si>
  <si>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</si>
  <si>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</si>
  <si>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</si>
  <si>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</si>
  <si>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</si>
  <si>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</si>
  <si>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</si>
  <si>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</si>
  <si>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</si>
  <si>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</si>
  <si>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</si>
  <si>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</si>
  <si>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</si>
  <si>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</si>
  <si>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</si>
  <si>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</si>
  <si>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</si>
  <si>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</si>
  <si>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</si>
  <si>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</si>
  <si>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</si>
  <si>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</si>
  <si>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</si>
  <si>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</si>
  <si>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</si>
  <si>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</si>
  <si>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</si>
  <si>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</si>
  <si>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</si>
  <si>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</si>
  <si>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</si>
  <si>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</si>
  <si>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</si>
  <si>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</si>
  <si>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</si>
  <si>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</si>
  <si>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</si>
  <si>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</si>
  <si>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</si>
  <si>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</si>
  <si>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z dnia 20 maja 2005 roku</t>
  </si>
  <si>
    <t>Dotacja celowa z budżetu na finansowanie lub dofinansowanie  zadań zleconych do realizacji pozostałym jednostkom niezaliczanym do sektora finansów publicznych</t>
  </si>
  <si>
    <t>Kolonie i obozy oraz inne formy wypoczynku dzieci i młodzieży szkolnej, a także szkolenia młodzieży</t>
  </si>
  <si>
    <t>organizacja obozów szkoleniowych w okresie wakacji letnich</t>
  </si>
  <si>
    <t>organizacja obozów szkoleniowych i imprez sportowo-rekreacyjnych 
w okresie ferii zimowych i wakacji letnich, w tym:</t>
  </si>
  <si>
    <r>
      <t>z dnia</t>
    </r>
    <r>
      <rPr>
        <sz val="10"/>
        <color indexed="8"/>
        <rFont val="Arial CE"/>
        <family val="2"/>
      </rPr>
      <t xml:space="preserve"> 20 maja 2005 roku</t>
    </r>
  </si>
  <si>
    <t>"Nadzieja" Charytatywne Stowarzyszenie Niesienia Pomocy 
Chorym Uzależnionym od Alkoholu, ul. Abramowicka 2F, 20-442 Lublin</t>
  </si>
  <si>
    <t>Lubelskie Centrum Trzeźwości; ul. Szewska 1, 20-086 Lublin</t>
  </si>
  <si>
    <t>Stowarzyszenie "Trzeźwe Życie"; ul. Młodej Polski 18/44, 20-863 Lublin</t>
  </si>
  <si>
    <t>Stowarzyszenie "Kontakt"; ul. Nałęczowska 25, 20-701 Lublin</t>
  </si>
  <si>
    <t>Lubelski Ośrodek Samopomocy; ul. Narutowicza 54, 20-016 Lublin</t>
  </si>
  <si>
    <t>środki w dyspozycji wydziału</t>
  </si>
  <si>
    <t>rehabilitacja osób niepełnosprawnych zwiększająca ich samodzielność fizyczną 
i psychiczną</t>
  </si>
  <si>
    <t>Kolonie i obozy oraz inne formy wypoczynku dzieci i młodzieży szkolnej, 
a także szkolenia młodzieży</t>
  </si>
  <si>
    <r>
      <t xml:space="preserve">Treść 
</t>
    </r>
    <r>
      <rPr>
        <sz val="10"/>
        <rFont val="Arial CE"/>
        <family val="2"/>
      </rPr>
      <t>(nazwa działu, rozdziału, źródła przychodów, zadania</t>
    </r>
    <r>
      <rPr>
        <b/>
        <sz val="10"/>
        <rFont val="Arial CE"/>
        <family val="2"/>
      </rPr>
      <t>,</t>
    </r>
    <r>
      <rPr>
        <sz val="10"/>
        <rFont val="Arial CE"/>
        <family val="2"/>
      </rPr>
      <t xml:space="preserve"> paragrafu)</t>
    </r>
  </si>
  <si>
    <t>Urząd Miasta Lublin - Wydział Geodezji i Gospodarki Nieruchomościami</t>
  </si>
  <si>
    <t xml:space="preserve">   z dnia 20 maja 2005 roku</t>
  </si>
  <si>
    <t xml:space="preserve">Dotacje celowe z budżetu państwa na zadania z zakresu administracji rządowej </t>
  </si>
  <si>
    <t>Stowarzyszenie Klub Abstynenta "Radość"; 
ul. Krzywa 1, 20-124 Lublin</t>
  </si>
  <si>
    <t>do zarządzenia nr 149/2005</t>
  </si>
  <si>
    <t>do zarządznia nr 149/2005</t>
  </si>
  <si>
    <t xml:space="preserve">   do zarządzenia nr 149/2005</t>
  </si>
  <si>
    <t>Z-ca Dyrektora Wydziału Finansowego</t>
  </si>
  <si>
    <t xml:space="preserve">  Z up. Skarbnika Miasta Lublin</t>
  </si>
  <si>
    <t xml:space="preserve">       mgr Mirosława Puton</t>
  </si>
  <si>
    <t>Andrzej Pruszkowski</t>
  </si>
  <si>
    <t xml:space="preserve">     Miasta Lublin</t>
  </si>
  <si>
    <t xml:space="preserve"> P R E Z Y D E N 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</si>
</sst>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u val="single"/>
      <sz val="10"/>
      <name val="Arial CE"/>
      <family val="2"/>
    </font>
    <font>
      <i/>
      <sz val="10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1"/>
      <name val="Arial CE"/>
      <family val="2"/>
    </font>
    <font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hair"/>
      <bottom style="dashed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3" borderId="7" xfId="0" applyNumberFormat="1" applyFont="1" applyFill="1" applyBorder="1" applyAlignment="1">
      <alignment wrapText="1"/>
    </xf>
    <xf numFmtId="3" fontId="1" fillId="3" borderId="9" xfId="0" applyNumberFormat="1" applyFont="1" applyFill="1" applyBorder="1" applyAlignment="1">
      <alignment wrapText="1"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3" fontId="10" fillId="0" borderId="1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3" fontId="10" fillId="0" borderId="7" xfId="0" applyNumberFormat="1" applyFont="1" applyBorder="1" applyAlignment="1">
      <alignment horizontal="right"/>
    </xf>
    <xf numFmtId="0" fontId="9" fillId="1" borderId="7" xfId="0" applyFont="1" applyFill="1" applyBorder="1" applyAlignment="1">
      <alignment vertical="center"/>
    </xf>
    <xf numFmtId="3" fontId="9" fillId="1" borderId="7" xfId="0" applyNumberFormat="1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wrapText="1"/>
    </xf>
    <xf numFmtId="0" fontId="7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wrapText="1"/>
    </xf>
    <xf numFmtId="0" fontId="10" fillId="0" borderId="5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 wrapText="1"/>
    </xf>
    <xf numFmtId="0" fontId="9" fillId="1" borderId="9" xfId="0" applyFont="1" applyFill="1" applyBorder="1" applyAlignment="1">
      <alignment vertical="center"/>
    </xf>
    <xf numFmtId="3" fontId="9" fillId="1" borderId="9" xfId="0" applyNumberFormat="1" applyFont="1" applyFill="1" applyBorder="1" applyAlignment="1">
      <alignment/>
    </xf>
    <xf numFmtId="3" fontId="9" fillId="3" borderId="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10" fillId="0" borderId="18" xfId="0" applyFont="1" applyBorder="1" applyAlignment="1">
      <alignment wrapText="1"/>
    </xf>
    <xf numFmtId="3" fontId="10" fillId="0" borderId="18" xfId="0" applyNumberFormat="1" applyFont="1" applyBorder="1" applyAlignment="1">
      <alignment horizontal="right" wrapText="1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wrapText="1"/>
    </xf>
    <xf numFmtId="3" fontId="9" fillId="0" borderId="7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2" borderId="10" xfId="0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2" borderId="8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3" borderId="7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6" fillId="2" borderId="5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2" borderId="5" xfId="0" applyFont="1" applyFill="1" applyBorder="1" applyAlignment="1">
      <alignment/>
    </xf>
    <xf numFmtId="3" fontId="0" fillId="0" borderId="5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 wrapText="1"/>
    </xf>
    <xf numFmtId="3" fontId="7" fillId="0" borderId="16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1" fillId="0" borderId="9" xfId="0" applyNumberFormat="1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/>
    </xf>
    <xf numFmtId="10" fontId="1" fillId="3" borderId="9" xfId="0" applyNumberFormat="1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16" xfId="0" applyNumberFormat="1" applyFont="1" applyBorder="1" applyAlignment="1">
      <alignment horizontal="left" wrapText="1"/>
    </xf>
    <xf numFmtId="3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" fontId="1" fillId="3" borderId="9" xfId="0" applyNumberFormat="1" applyFont="1" applyFill="1" applyBorder="1" applyAlignment="1">
      <alignment vertical="center"/>
    </xf>
    <xf numFmtId="10" fontId="1" fillId="3" borderId="7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0" fillId="2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1" xfId="0" applyNumberFormat="1" applyFont="1" applyBorder="1" applyAlignment="1">
      <alignment horizontal="left" wrapText="1"/>
    </xf>
    <xf numFmtId="10" fontId="0" fillId="0" borderId="21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 horizontal="left" wrapText="1"/>
    </xf>
    <xf numFmtId="10" fontId="6" fillId="0" borderId="7" xfId="0" applyNumberFormat="1" applyFont="1" applyBorder="1" applyAlignment="1">
      <alignment/>
    </xf>
    <xf numFmtId="3" fontId="6" fillId="0" borderId="18" xfId="0" applyNumberFormat="1" applyFont="1" applyBorder="1" applyAlignment="1">
      <alignment horizontal="left" wrapText="1"/>
    </xf>
    <xf numFmtId="10" fontId="0" fillId="2" borderId="21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10" fontId="6" fillId="2" borderId="18" xfId="0" applyNumberFormat="1" applyFont="1" applyFill="1" applyBorder="1" applyAlignment="1">
      <alignment/>
    </xf>
    <xf numFmtId="10" fontId="6" fillId="0" borderId="18" xfId="0" applyNumberFormat="1" applyFont="1" applyBorder="1" applyAlignment="1">
      <alignment/>
    </xf>
    <xf numFmtId="10" fontId="6" fillId="2" borderId="7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 horizontal="left" wrapText="1"/>
    </xf>
    <xf numFmtId="10" fontId="6" fillId="2" borderId="9" xfId="0" applyNumberFormat="1" applyFont="1" applyFill="1" applyBorder="1" applyAlignment="1">
      <alignment/>
    </xf>
    <xf numFmtId="10" fontId="6" fillId="0" borderId="9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49" fontId="6" fillId="0" borderId="7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/>
    </xf>
    <xf numFmtId="10" fontId="0" fillId="2" borderId="5" xfId="0" applyNumberFormat="1" applyFont="1" applyFill="1" applyBorder="1" applyAlignment="1">
      <alignment/>
    </xf>
    <xf numFmtId="0" fontId="6" fillId="0" borderId="5" xfId="0" applyNumberFormat="1" applyFont="1" applyBorder="1" applyAlignment="1">
      <alignment/>
    </xf>
    <xf numFmtId="3" fontId="6" fillId="0" borderId="25" xfId="0" applyNumberFormat="1" applyFont="1" applyBorder="1" applyAlignment="1">
      <alignment horizontal="left" wrapText="1"/>
    </xf>
    <xf numFmtId="3" fontId="6" fillId="0" borderId="25" xfId="0" applyNumberFormat="1" applyFont="1" applyBorder="1" applyAlignment="1">
      <alignment/>
    </xf>
    <xf numFmtId="10" fontId="6" fillId="2" borderId="25" xfId="0" applyNumberFormat="1" applyFont="1" applyFill="1" applyBorder="1" applyAlignment="1">
      <alignment/>
    </xf>
    <xf numFmtId="10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 horizontal="left" wrapText="1"/>
    </xf>
    <xf numFmtId="3" fontId="6" fillId="0" borderId="26" xfId="0" applyNumberFormat="1" applyFont="1" applyBorder="1" applyAlignment="1">
      <alignment/>
    </xf>
    <xf numFmtId="10" fontId="6" fillId="2" borderId="26" xfId="0" applyNumberFormat="1" applyFont="1" applyFill="1" applyBorder="1" applyAlignment="1">
      <alignment/>
    </xf>
    <xf numFmtId="10" fontId="6" fillId="0" borderId="26" xfId="0" applyNumberFormat="1" applyFont="1" applyBorder="1" applyAlignment="1">
      <alignment/>
    </xf>
    <xf numFmtId="0" fontId="1" fillId="2" borderId="27" xfId="0" applyFont="1" applyFill="1" applyBorder="1" applyAlignment="1">
      <alignment horizontal="left"/>
    </xf>
    <xf numFmtId="3" fontId="1" fillId="0" borderId="27" xfId="0" applyNumberFormat="1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28" xfId="0" applyFont="1" applyFill="1" applyBorder="1" applyAlignment="1">
      <alignment wrapText="1"/>
    </xf>
    <xf numFmtId="3" fontId="1" fillId="0" borderId="28" xfId="0" applyNumberFormat="1" applyFont="1" applyBorder="1" applyAlignment="1">
      <alignment/>
    </xf>
    <xf numFmtId="3" fontId="1" fillId="2" borderId="28" xfId="0" applyNumberFormat="1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1" fillId="3" borderId="9" xfId="0" applyFont="1" applyFill="1" applyBorder="1" applyAlignment="1">
      <alignment wrapText="1"/>
    </xf>
    <xf numFmtId="3" fontId="1" fillId="3" borderId="9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3" fontId="1" fillId="3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3" fontId="10" fillId="0" borderId="5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3" fontId="10" fillId="0" borderId="16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3" fontId="1" fillId="1" borderId="9" xfId="0" applyNumberFormat="1" applyFont="1" applyFill="1" applyBorder="1" applyAlignment="1">
      <alignment/>
    </xf>
    <xf numFmtId="10" fontId="1" fillId="1" borderId="7" xfId="0" applyNumberFormat="1" applyFont="1" applyFill="1" applyBorder="1" applyAlignment="1">
      <alignment/>
    </xf>
    <xf numFmtId="3" fontId="1" fillId="1" borderId="7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2" borderId="7" xfId="0" applyFont="1" applyFill="1" applyBorder="1" applyAlignment="1" quotePrefix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wrapText="1"/>
    </xf>
    <xf numFmtId="3" fontId="1" fillId="2" borderId="16" xfId="0" applyNumberFormat="1" applyFont="1" applyFill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 wrapText="1"/>
    </xf>
    <xf numFmtId="3" fontId="6" fillId="2" borderId="7" xfId="0" applyNumberFormat="1" applyFont="1" applyFill="1" applyBorder="1" applyAlignment="1">
      <alignment horizontal="right"/>
    </xf>
    <xf numFmtId="0" fontId="0" fillId="2" borderId="30" xfId="0" applyFont="1" applyFill="1" applyBorder="1" applyAlignment="1">
      <alignment wrapText="1"/>
    </xf>
    <xf numFmtId="0" fontId="6" fillId="2" borderId="30" xfId="0" applyFont="1" applyFill="1" applyBorder="1" applyAlignment="1">
      <alignment wrapText="1"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4" fillId="2" borderId="7" xfId="0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 quotePrefix="1">
      <alignment horizontal="right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31" xfId="0" applyFont="1" applyBorder="1" applyAlignment="1">
      <alignment wrapText="1"/>
    </xf>
    <xf numFmtId="3" fontId="6" fillId="0" borderId="31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/>
    </xf>
    <xf numFmtId="0" fontId="0" fillId="2" borderId="10" xfId="0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0" fontId="6" fillId="2" borderId="5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3" fontId="9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4" fillId="2" borderId="30" xfId="0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3" xfId="0" applyFont="1" applyFill="1" applyBorder="1" applyAlignment="1">
      <alignment horizontal="left"/>
    </xf>
    <xf numFmtId="0" fontId="1" fillId="3" borderId="30" xfId="0" applyFont="1" applyFill="1" applyBorder="1" applyAlignment="1">
      <alignment/>
    </xf>
    <xf numFmtId="0" fontId="1" fillId="3" borderId="30" xfId="0" applyFont="1" applyFill="1" applyBorder="1" applyAlignment="1">
      <alignment horizontal="left" wrapText="1"/>
    </xf>
    <xf numFmtId="3" fontId="1" fillId="3" borderId="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0" xfId="0" applyFont="1" applyFill="1" applyBorder="1" applyAlignment="1">
      <alignment wrapText="1"/>
    </xf>
    <xf numFmtId="0" fontId="0" fillId="2" borderId="5" xfId="0" applyFont="1" applyFill="1" applyBorder="1" applyAlignment="1" quotePrefix="1">
      <alignment horizontal="right"/>
    </xf>
    <xf numFmtId="0" fontId="0" fillId="2" borderId="24" xfId="0" applyFont="1" applyFill="1" applyBorder="1" applyAlignment="1" quotePrefix="1">
      <alignment horizontal="right"/>
    </xf>
    <xf numFmtId="0" fontId="6" fillId="2" borderId="5" xfId="0" applyFont="1" applyFill="1" applyBorder="1" applyAlignment="1" quotePrefix="1">
      <alignment horizontal="right"/>
    </xf>
    <xf numFmtId="0" fontId="6" fillId="2" borderId="30" xfId="0" applyFont="1" applyFill="1" applyBorder="1" applyAlignment="1" quotePrefix="1">
      <alignment horizontal="right"/>
    </xf>
    <xf numFmtId="3" fontId="6" fillId="2" borderId="7" xfId="0" applyNumberFormat="1" applyFont="1" applyFill="1" applyBorder="1" applyAlignment="1">
      <alignment horizontal="right" wrapText="1"/>
    </xf>
    <xf numFmtId="0" fontId="1" fillId="2" borderId="34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3" fontId="1" fillId="3" borderId="3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horizontal="right"/>
    </xf>
    <xf numFmtId="0" fontId="1" fillId="2" borderId="35" xfId="0" applyFont="1" applyFill="1" applyBorder="1" applyAlignment="1">
      <alignment/>
    </xf>
    <xf numFmtId="0" fontId="1" fillId="2" borderId="35" xfId="0" applyFont="1" applyFill="1" applyBorder="1" applyAlignment="1">
      <alignment wrapText="1"/>
    </xf>
    <xf numFmtId="3" fontId="1" fillId="2" borderId="9" xfId="0" applyNumberFormat="1" applyFont="1" applyFill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3" fontId="6" fillId="2" borderId="7" xfId="0" applyNumberFormat="1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3" fontId="4" fillId="2" borderId="33" xfId="0" applyNumberFormat="1" applyFont="1" applyFill="1" applyBorder="1" applyAlignment="1">
      <alignment wrapText="1"/>
    </xf>
    <xf numFmtId="0" fontId="1" fillId="3" borderId="7" xfId="0" applyFont="1" applyFill="1" applyBorder="1" applyAlignment="1">
      <alignment horizontal="right" wrapText="1"/>
    </xf>
    <xf numFmtId="3" fontId="1" fillId="3" borderId="30" xfId="0" applyNumberFormat="1" applyFont="1" applyFill="1" applyBorder="1" applyAlignment="1">
      <alignment horizontal="right" wrapText="1"/>
    </xf>
    <xf numFmtId="3" fontId="1" fillId="3" borderId="30" xfId="0" applyNumberFormat="1" applyFont="1" applyFill="1" applyBorder="1" applyAlignment="1">
      <alignment horizontal="left" wrapText="1"/>
    </xf>
    <xf numFmtId="3" fontId="1" fillId="3" borderId="15" xfId="0" applyNumberFormat="1" applyFont="1" applyFill="1" applyBorder="1" applyAlignment="1">
      <alignment horizontal="left" wrapText="1"/>
    </xf>
    <xf numFmtId="3" fontId="0" fillId="2" borderId="36" xfId="0" applyNumberFormat="1" applyFont="1" applyFill="1" applyBorder="1" applyAlignment="1">
      <alignment horizontal="right" wrapText="1"/>
    </xf>
    <xf numFmtId="3" fontId="0" fillId="2" borderId="36" xfId="0" applyNumberFormat="1" applyFont="1" applyFill="1" applyBorder="1" applyAlignment="1">
      <alignment horizontal="left" wrapText="1"/>
    </xf>
    <xf numFmtId="3" fontId="0" fillId="2" borderId="16" xfId="0" applyNumberFormat="1" applyFont="1" applyFill="1" applyBorder="1" applyAlignment="1">
      <alignment horizontal="left" wrapText="1"/>
    </xf>
    <xf numFmtId="3" fontId="6" fillId="2" borderId="30" xfId="0" applyNumberFormat="1" applyFont="1" applyFill="1" applyBorder="1" applyAlignment="1">
      <alignment horizontal="right" wrapText="1"/>
    </xf>
    <xf numFmtId="3" fontId="6" fillId="2" borderId="30" xfId="0" applyNumberFormat="1" applyFont="1" applyFill="1" applyBorder="1" applyAlignment="1">
      <alignment horizontal="left" wrapText="1"/>
    </xf>
    <xf numFmtId="3" fontId="6" fillId="2" borderId="7" xfId="0" applyNumberFormat="1" applyFont="1" applyFill="1" applyBorder="1" applyAlignment="1">
      <alignment horizontal="left" wrapText="1"/>
    </xf>
    <xf numFmtId="0" fontId="15" fillId="0" borderId="5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" fillId="3" borderId="9" xfId="0" applyFont="1" applyFill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0" fillId="0" borderId="37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0" fillId="0" borderId="37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9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 horizontal="center"/>
    </xf>
    <xf numFmtId="0" fontId="17" fillId="0" borderId="5" xfId="0" applyFont="1" applyBorder="1" applyAlignment="1">
      <alignment/>
    </xf>
    <xf numFmtId="3" fontId="17" fillId="0" borderId="5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2" borderId="39" xfId="0" applyFont="1" applyFill="1" applyBorder="1" applyAlignment="1">
      <alignment/>
    </xf>
    <xf numFmtId="3" fontId="4" fillId="2" borderId="8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>
      <alignment wrapText="1"/>
    </xf>
    <xf numFmtId="3" fontId="0" fillId="2" borderId="10" xfId="0" applyNumberFormat="1" applyFont="1" applyFill="1" applyBorder="1" applyAlignment="1">
      <alignment horizontal="right" wrapText="1"/>
    </xf>
    <xf numFmtId="3" fontId="0" fillId="2" borderId="7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3" fontId="0" fillId="2" borderId="5" xfId="0" applyNumberFormat="1" applyFont="1" applyFill="1" applyBorder="1" applyAlignment="1">
      <alignment horizontal="right" wrapText="1"/>
    </xf>
    <xf numFmtId="0" fontId="15" fillId="2" borderId="5" xfId="0" applyFont="1" applyFill="1" applyBorder="1" applyAlignment="1">
      <alignment horizontal="center" wrapText="1"/>
    </xf>
    <xf numFmtId="3" fontId="15" fillId="2" borderId="5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/>
    </xf>
    <xf numFmtId="0" fontId="0" fillId="0" borderId="40" xfId="0" applyFont="1" applyBorder="1" applyAlignment="1">
      <alignment horizontal="left"/>
    </xf>
    <xf numFmtId="3" fontId="9" fillId="0" borderId="40" xfId="0" applyNumberFormat="1" applyFont="1" applyBorder="1" applyAlignment="1">
      <alignment/>
    </xf>
    <xf numFmtId="3" fontId="9" fillId="0" borderId="40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3" fontId="6" fillId="0" borderId="9" xfId="0" applyNumberFormat="1" applyFont="1" applyBorder="1" applyAlignment="1">
      <alignment/>
    </xf>
    <xf numFmtId="0" fontId="0" fillId="2" borderId="2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16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3" fontId="1" fillId="0" borderId="12" xfId="0" applyNumberFormat="1" applyFont="1" applyBorder="1" applyAlignment="1">
      <alignment horizontal="centerContinuous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0" fillId="4" borderId="10" xfId="0" applyFont="1" applyFill="1" applyBorder="1" applyAlignment="1">
      <alignment/>
    </xf>
    <xf numFmtId="0" fontId="6" fillId="0" borderId="24" xfId="0" applyFont="1" applyBorder="1" applyAlignment="1">
      <alignment wrapText="1"/>
    </xf>
    <xf numFmtId="0" fontId="6" fillId="2" borderId="3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41" xfId="0" applyFont="1" applyBorder="1" applyAlignment="1">
      <alignment wrapText="1"/>
    </xf>
    <xf numFmtId="3" fontId="0" fillId="0" borderId="41" xfId="0" applyNumberFormat="1" applyFont="1" applyBorder="1" applyAlignment="1">
      <alignment/>
    </xf>
    <xf numFmtId="0" fontId="4" fillId="2" borderId="34" xfId="0" applyFont="1" applyFill="1" applyBorder="1" applyAlignment="1">
      <alignment wrapText="1"/>
    </xf>
    <xf numFmtId="3" fontId="4" fillId="2" borderId="11" xfId="0" applyNumberFormat="1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3" fontId="6" fillId="2" borderId="30" xfId="0" applyNumberFormat="1" applyFont="1" applyFill="1" applyBorder="1" applyAlignment="1">
      <alignment wrapText="1"/>
    </xf>
    <xf numFmtId="3" fontId="1" fillId="2" borderId="35" xfId="0" applyNumberFormat="1" applyFont="1" applyFill="1" applyBorder="1" applyAlignment="1">
      <alignment wrapText="1"/>
    </xf>
    <xf numFmtId="3" fontId="4" fillId="2" borderId="34" xfId="0" applyNumberFormat="1" applyFont="1" applyFill="1" applyBorder="1" applyAlignment="1">
      <alignment wrapText="1"/>
    </xf>
    <xf numFmtId="3" fontId="6" fillId="0" borderId="21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7" xfId="19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19" fillId="0" borderId="0" xfId="0" applyFont="1" applyAlignment="1">
      <alignment horizontal="centerContinuous"/>
    </xf>
    <xf numFmtId="0" fontId="6" fillId="0" borderId="9" xfId="0" applyFont="1" applyBorder="1" applyAlignment="1">
      <alignment/>
    </xf>
    <xf numFmtId="0" fontId="0" fillId="5" borderId="10" xfId="0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6" fillId="0" borderId="30" xfId="0" applyFont="1" applyBorder="1" applyAlignment="1">
      <alignment/>
    </xf>
    <xf numFmtId="0" fontId="0" fillId="7" borderId="5" xfId="0" applyFont="1" applyFill="1" applyBorder="1" applyAlignment="1">
      <alignment horizontal="right"/>
    </xf>
    <xf numFmtId="3" fontId="0" fillId="7" borderId="10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wrapText="1"/>
    </xf>
    <xf numFmtId="0" fontId="19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3" borderId="9" xfId="0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0" fontId="0" fillId="0" borderId="5" xfId="0" applyFont="1" applyBorder="1" applyAlignment="1">
      <alignment vertical="center"/>
    </xf>
    <xf numFmtId="0" fontId="1" fillId="8" borderId="5" xfId="0" applyFont="1" applyFill="1" applyBorder="1" applyAlignment="1">
      <alignment/>
    </xf>
    <xf numFmtId="3" fontId="1" fillId="8" borderId="5" xfId="0" applyNumberFormat="1" applyFont="1" applyFill="1" applyBorder="1" applyAlignment="1">
      <alignment/>
    </xf>
    <xf numFmtId="0" fontId="15" fillId="8" borderId="3" xfId="0" applyFont="1" applyFill="1" applyBorder="1" applyAlignment="1">
      <alignment horizontal="center"/>
    </xf>
    <xf numFmtId="3" fontId="15" fillId="8" borderId="3" xfId="0" applyNumberFormat="1" applyFont="1" applyFill="1" applyBorder="1" applyAlignment="1">
      <alignment horizontal="center"/>
    </xf>
    <xf numFmtId="0" fontId="0" fillId="0" borderId="7" xfId="0" applyFont="1" applyBorder="1" applyAlignment="1">
      <alignment vertical="center"/>
    </xf>
    <xf numFmtId="0" fontId="1" fillId="8" borderId="7" xfId="0" applyFont="1" applyFill="1" applyBorder="1" applyAlignment="1">
      <alignment horizontal="center"/>
    </xf>
    <xf numFmtId="3" fontId="1" fillId="8" borderId="7" xfId="0" applyNumberFormat="1" applyFont="1" applyFill="1" applyBorder="1" applyAlignment="1">
      <alignment horizontal="center"/>
    </xf>
    <xf numFmtId="3" fontId="0" fillId="0" borderId="42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4" borderId="9" xfId="0" applyFont="1" applyFill="1" applyBorder="1" applyAlignment="1">
      <alignment/>
    </xf>
    <xf numFmtId="3" fontId="0" fillId="0" borderId="9" xfId="0" applyNumberFormat="1" applyFont="1" applyBorder="1" applyAlignment="1">
      <alignment wrapText="1"/>
    </xf>
    <xf numFmtId="3" fontId="0" fillId="4" borderId="9" xfId="0" applyNumberFormat="1" applyFont="1" applyFill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6" fillId="0" borderId="43" xfId="0" applyFont="1" applyBorder="1" applyAlignment="1">
      <alignment/>
    </xf>
    <xf numFmtId="0" fontId="16" fillId="0" borderId="43" xfId="0" applyFont="1" applyBorder="1" applyAlignment="1">
      <alignment/>
    </xf>
    <xf numFmtId="3" fontId="16" fillId="0" borderId="4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0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4" fillId="2" borderId="8" xfId="0" applyNumberFormat="1" applyFont="1" applyFill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44" xfId="0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2" borderId="44" xfId="0" applyNumberFormat="1" applyFont="1" applyFill="1" applyBorder="1" applyAlignment="1">
      <alignment wrapText="1"/>
    </xf>
    <xf numFmtId="3" fontId="6" fillId="2" borderId="45" xfId="0" applyNumberFormat="1" applyFont="1" applyFill="1" applyBorder="1" applyAlignment="1">
      <alignment wrapText="1"/>
    </xf>
    <xf numFmtId="0" fontId="6" fillId="0" borderId="31" xfId="0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44" xfId="0" applyFont="1" applyBorder="1" applyAlignment="1">
      <alignment wrapText="1"/>
    </xf>
    <xf numFmtId="3" fontId="6" fillId="0" borderId="44" xfId="0" applyNumberFormat="1" applyFont="1" applyBorder="1" applyAlignment="1">
      <alignment horizontal="right" wrapText="1"/>
    </xf>
    <xf numFmtId="0" fontId="0" fillId="0" borderId="9" xfId="0" applyFont="1" applyBorder="1" applyAlignment="1">
      <alignment/>
    </xf>
    <xf numFmtId="0" fontId="6" fillId="2" borderId="44" xfId="0" applyFont="1" applyFill="1" applyBorder="1" applyAlignment="1">
      <alignment wrapText="1"/>
    </xf>
    <xf numFmtId="3" fontId="6" fillId="2" borderId="44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0" borderId="5" xfId="0" applyFont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0" xfId="0" applyFont="1" applyAlignment="1">
      <alignment horizontal="right"/>
    </xf>
    <xf numFmtId="3" fontId="7" fillId="0" borderId="21" xfId="0" applyNumberFormat="1" applyFont="1" applyBorder="1" applyAlignment="1">
      <alignment/>
    </xf>
    <xf numFmtId="0" fontId="7" fillId="4" borderId="7" xfId="0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7" fillId="0" borderId="5" xfId="0" applyFont="1" applyFill="1" applyBorder="1" applyAlignment="1">
      <alignment/>
    </xf>
    <xf numFmtId="0" fontId="9" fillId="4" borderId="7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/>
    </xf>
    <xf numFmtId="0" fontId="7" fillId="2" borderId="3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7" fillId="0" borderId="24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wrapText="1"/>
    </xf>
    <xf numFmtId="3" fontId="6" fillId="0" borderId="18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6" fillId="2" borderId="9" xfId="0" applyFont="1" applyFill="1" applyBorder="1" applyAlignment="1">
      <alignment/>
    </xf>
    <xf numFmtId="0" fontId="1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0" fillId="2" borderId="10" xfId="0" applyNumberFormat="1" applyFont="1" applyFill="1" applyBorder="1" applyAlignment="1">
      <alignment horizontal="right"/>
    </xf>
    <xf numFmtId="0" fontId="0" fillId="0" borderId="46" xfId="0" applyFont="1" applyBorder="1" applyAlignment="1">
      <alignment wrapText="1"/>
    </xf>
    <xf numFmtId="3" fontId="6" fillId="0" borderId="46" xfId="0" applyNumberFormat="1" applyFont="1" applyBorder="1" applyAlignment="1">
      <alignment horizontal="right" wrapText="1"/>
    </xf>
    <xf numFmtId="0" fontId="6" fillId="0" borderId="26" xfId="0" applyFont="1" applyBorder="1" applyAlignment="1">
      <alignment wrapText="1"/>
    </xf>
    <xf numFmtId="3" fontId="6" fillId="0" borderId="26" xfId="0" applyNumberFormat="1" applyFont="1" applyBorder="1" applyAlignment="1">
      <alignment horizontal="right" wrapText="1"/>
    </xf>
    <xf numFmtId="0" fontId="6" fillId="0" borderId="25" xfId="0" applyFont="1" applyBorder="1" applyAlignment="1">
      <alignment wrapText="1"/>
    </xf>
    <xf numFmtId="3" fontId="6" fillId="0" borderId="25" xfId="0" applyNumberFormat="1" applyFont="1" applyBorder="1" applyAlignment="1">
      <alignment horizontal="right" wrapText="1"/>
    </xf>
    <xf numFmtId="3" fontId="6" fillId="0" borderId="47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3" fontId="0" fillId="2" borderId="25" xfId="0" applyNumberFormat="1" applyFont="1" applyFill="1" applyBorder="1" applyAlignment="1">
      <alignment horizontal="right"/>
    </xf>
    <xf numFmtId="0" fontId="0" fillId="0" borderId="48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6" fillId="0" borderId="38" xfId="0" applyFont="1" applyBorder="1" applyAlignment="1">
      <alignment wrapText="1"/>
    </xf>
    <xf numFmtId="3" fontId="6" fillId="0" borderId="38" xfId="0" applyNumberFormat="1" applyFont="1" applyBorder="1" applyAlignment="1">
      <alignment horizontal="right" wrapText="1"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wrapText="1"/>
    </xf>
    <xf numFmtId="0" fontId="0" fillId="0" borderId="21" xfId="0" applyFont="1" applyBorder="1" applyAlignment="1">
      <alignment/>
    </xf>
    <xf numFmtId="3" fontId="0" fillId="2" borderId="21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3" fontId="0" fillId="9" borderId="7" xfId="0" applyNumberFormat="1" applyFont="1" applyFill="1" applyBorder="1" applyAlignment="1">
      <alignment/>
    </xf>
    <xf numFmtId="3" fontId="1" fillId="8" borderId="7" xfId="0" applyNumberFormat="1" applyFont="1" applyFill="1" applyBorder="1" applyAlignment="1">
      <alignment/>
    </xf>
    <xf numFmtId="10" fontId="1" fillId="8" borderId="7" xfId="0" applyNumberFormat="1" applyFont="1" applyFill="1" applyBorder="1" applyAlignment="1">
      <alignment/>
    </xf>
    <xf numFmtId="3" fontId="0" fillId="9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vertical="center"/>
    </xf>
    <xf numFmtId="0" fontId="1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2" borderId="21" xfId="0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0" fontId="10" fillId="0" borderId="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3" fontId="10" fillId="0" borderId="43" xfId="0" applyNumberFormat="1" applyFont="1" applyBorder="1" applyAlignment="1">
      <alignment/>
    </xf>
    <xf numFmtId="3" fontId="0" fillId="0" borderId="10" xfId="19" applyNumberFormat="1" applyFont="1" applyBorder="1" applyAlignment="1">
      <alignment/>
    </xf>
    <xf numFmtId="3" fontId="6" fillId="0" borderId="5" xfId="0" applyNumberFormat="1" applyFont="1" applyBorder="1" applyAlignment="1">
      <alignment wrapText="1"/>
    </xf>
    <xf numFmtId="3" fontId="6" fillId="0" borderId="43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3" width="8.125" style="0" customWidth="1"/>
    <col min="4" max="4" width="71.125" style="0" customWidth="1"/>
    <col min="5" max="5" width="23.25390625" style="0" customWidth="1"/>
    <col min="6" max="7" width="18.25390625" style="0" customWidth="1"/>
    <col min="8" max="8" width="7.625" style="0" customWidth="1"/>
    <col min="9" max="9" width="3.875" style="0" customWidth="1"/>
  </cols>
  <sheetData>
    <row r="1" ht="12.75">
      <c r="F1" t="s">
        <v>5</v>
      </c>
    </row>
    <row r="2" ht="12.75">
      <c r="F2" t="s">
        <v>287</v>
      </c>
    </row>
    <row r="3" spans="1:6" ht="15.75">
      <c r="A3" s="21" t="s">
        <v>7</v>
      </c>
      <c r="F3" t="s">
        <v>104</v>
      </c>
    </row>
    <row r="4" ht="12.75">
      <c r="F4" t="s">
        <v>268</v>
      </c>
    </row>
    <row r="5" ht="10.5" customHeight="1"/>
    <row r="6" ht="13.5" thickBot="1">
      <c r="G6" s="250" t="s">
        <v>6</v>
      </c>
    </row>
    <row r="7" spans="1:12" s="2" customFormat="1" ht="72" customHeight="1" thickBot="1" thickTop="1">
      <c r="A7" s="131" t="s">
        <v>0</v>
      </c>
      <c r="B7" s="132" t="s">
        <v>109</v>
      </c>
      <c r="C7" s="133" t="s">
        <v>110</v>
      </c>
      <c r="D7" s="133" t="s">
        <v>197</v>
      </c>
      <c r="E7" s="22" t="s">
        <v>48</v>
      </c>
      <c r="F7" s="22" t="s">
        <v>39</v>
      </c>
      <c r="G7" s="22" t="s">
        <v>28</v>
      </c>
      <c r="H7" s="1"/>
      <c r="I7" s="1"/>
      <c r="J7" s="1"/>
      <c r="K7" s="1"/>
      <c r="L7" s="1"/>
    </row>
    <row r="8" spans="1:12" s="7" customFormat="1" ht="13.5" customHeight="1" thickBot="1" thickTop="1">
      <c r="A8" s="3">
        <v>1</v>
      </c>
      <c r="B8" s="3">
        <v>2</v>
      </c>
      <c r="C8" s="4">
        <v>3</v>
      </c>
      <c r="D8" s="4">
        <v>4</v>
      </c>
      <c r="E8" s="5">
        <v>5</v>
      </c>
      <c r="F8" s="5">
        <v>6</v>
      </c>
      <c r="G8" s="5">
        <v>7</v>
      </c>
      <c r="H8" s="6"/>
      <c r="I8" s="6"/>
      <c r="J8" s="6"/>
      <c r="K8" s="6"/>
      <c r="L8" s="6"/>
    </row>
    <row r="9" spans="1:12" s="2" customFormat="1" ht="23.25" customHeight="1" thickBot="1" thickTop="1">
      <c r="A9" s="8"/>
      <c r="B9" s="9"/>
      <c r="C9" s="9"/>
      <c r="D9" s="96" t="s">
        <v>1</v>
      </c>
      <c r="E9" s="10">
        <v>766024450</v>
      </c>
      <c r="F9" s="10">
        <f>F11+F36</f>
        <v>2743207</v>
      </c>
      <c r="G9" s="10">
        <f>F9+E9</f>
        <v>768767657</v>
      </c>
      <c r="H9" s="124"/>
      <c r="I9" s="124"/>
      <c r="J9" s="1"/>
      <c r="K9" s="1"/>
      <c r="L9" s="1"/>
    </row>
    <row r="10" spans="1:12" s="2" customFormat="1" ht="11.25" customHeight="1">
      <c r="A10" s="11"/>
      <c r="B10" s="12"/>
      <c r="C10" s="12"/>
      <c r="D10" s="12" t="s">
        <v>2</v>
      </c>
      <c r="E10" s="13"/>
      <c r="F10" s="13"/>
      <c r="G10" s="13"/>
      <c r="H10" s="1"/>
      <c r="I10" s="1"/>
      <c r="J10" s="1"/>
      <c r="K10" s="1"/>
      <c r="L10" s="1"/>
    </row>
    <row r="11" spans="1:12" s="2" customFormat="1" ht="16.5" customHeight="1" thickBot="1">
      <c r="A11" s="14"/>
      <c r="B11" s="15"/>
      <c r="C11" s="15"/>
      <c r="D11" s="97" t="s">
        <v>8</v>
      </c>
      <c r="E11" s="16">
        <v>543724361</v>
      </c>
      <c r="F11" s="16">
        <f>F12+F25+F26+F34+F35</f>
        <v>2743207</v>
      </c>
      <c r="G11" s="16">
        <f aca="true" t="shared" si="0" ref="G11:G41">F11+E11</f>
        <v>546467568</v>
      </c>
      <c r="H11" s="124"/>
      <c r="I11" s="1"/>
      <c r="J11" s="1"/>
      <c r="K11" s="1"/>
      <c r="L11" s="1"/>
    </row>
    <row r="12" spans="1:12" s="2" customFormat="1" ht="18.75" customHeight="1" thickBot="1">
      <c r="A12" s="17"/>
      <c r="B12" s="18"/>
      <c r="C12" s="18"/>
      <c r="D12" s="98" t="s">
        <v>3</v>
      </c>
      <c r="E12" s="19">
        <v>372842504</v>
      </c>
      <c r="F12" s="19">
        <f>F13+F17+F21</f>
        <v>2704570</v>
      </c>
      <c r="G12" s="19">
        <f t="shared" si="0"/>
        <v>375547074</v>
      </c>
      <c r="H12" s="1"/>
      <c r="I12" s="1"/>
      <c r="J12" s="1"/>
      <c r="K12" s="1"/>
      <c r="L12" s="1"/>
    </row>
    <row r="13" spans="1:12" s="2" customFormat="1" ht="18" customHeight="1" thickTop="1">
      <c r="A13" s="89">
        <v>700</v>
      </c>
      <c r="B13" s="20"/>
      <c r="C13" s="20"/>
      <c r="D13" s="20" t="s">
        <v>57</v>
      </c>
      <c r="E13" s="118">
        <v>39832700</v>
      </c>
      <c r="F13" s="118">
        <f>F14</f>
        <v>2210000</v>
      </c>
      <c r="G13" s="118">
        <f t="shared" si="0"/>
        <v>42042700</v>
      </c>
      <c r="H13" s="1"/>
      <c r="I13" s="1"/>
      <c r="J13" s="1"/>
      <c r="K13" s="1"/>
      <c r="L13" s="1"/>
    </row>
    <row r="14" spans="1:12" s="2" customFormat="1" ht="18" customHeight="1">
      <c r="A14" s="93"/>
      <c r="B14" s="90">
        <v>70005</v>
      </c>
      <c r="C14" s="90"/>
      <c r="D14" s="90" t="s">
        <v>58</v>
      </c>
      <c r="E14" s="119">
        <v>39831200</v>
      </c>
      <c r="F14" s="119">
        <f>F15</f>
        <v>2210000</v>
      </c>
      <c r="G14" s="119">
        <f t="shared" si="0"/>
        <v>42041200</v>
      </c>
      <c r="H14" s="1"/>
      <c r="I14" s="1"/>
      <c r="J14" s="1"/>
      <c r="K14" s="1"/>
      <c r="L14" s="1"/>
    </row>
    <row r="15" spans="1:12" s="2" customFormat="1" ht="18" customHeight="1">
      <c r="A15" s="11"/>
      <c r="B15" s="12"/>
      <c r="C15" s="12"/>
      <c r="D15" s="260" t="s">
        <v>181</v>
      </c>
      <c r="E15" s="262">
        <v>4000000</v>
      </c>
      <c r="F15" s="262">
        <f>F16</f>
        <v>2210000</v>
      </c>
      <c r="G15" s="262">
        <f t="shared" si="0"/>
        <v>6210000</v>
      </c>
      <c r="H15" s="1"/>
      <c r="I15" s="1"/>
      <c r="J15" s="1"/>
      <c r="K15" s="1"/>
      <c r="L15" s="1"/>
    </row>
    <row r="16" spans="1:12" s="254" customFormat="1" ht="18" customHeight="1">
      <c r="A16" s="251"/>
      <c r="B16" s="255"/>
      <c r="C16" s="255" t="s">
        <v>105</v>
      </c>
      <c r="D16" s="263" t="s">
        <v>106</v>
      </c>
      <c r="E16" s="264">
        <v>4000000</v>
      </c>
      <c r="F16" s="264">
        <f>1810000+400000</f>
        <v>2210000</v>
      </c>
      <c r="G16" s="264">
        <f t="shared" si="0"/>
        <v>6210000</v>
      </c>
      <c r="H16" s="253"/>
      <c r="I16" s="253"/>
      <c r="J16" s="253"/>
      <c r="K16" s="253"/>
      <c r="L16" s="253"/>
    </row>
    <row r="17" spans="1:12" s="2" customFormat="1" ht="18.75" customHeight="1">
      <c r="A17" s="89">
        <v>750</v>
      </c>
      <c r="B17" s="20"/>
      <c r="C17" s="20"/>
      <c r="D17" s="226" t="s">
        <v>31</v>
      </c>
      <c r="E17" s="227">
        <v>196000</v>
      </c>
      <c r="F17" s="227">
        <f>F18</f>
        <v>314570</v>
      </c>
      <c r="G17" s="227">
        <f t="shared" si="0"/>
        <v>510570</v>
      </c>
      <c r="H17" s="1"/>
      <c r="I17" s="1"/>
      <c r="J17" s="1"/>
      <c r="K17" s="1"/>
      <c r="L17" s="1"/>
    </row>
    <row r="18" spans="1:12" s="2" customFormat="1" ht="18.75" customHeight="1">
      <c r="A18" s="11"/>
      <c r="B18" s="90">
        <v>75023</v>
      </c>
      <c r="C18" s="90"/>
      <c r="D18" s="229" t="s">
        <v>32</v>
      </c>
      <c r="E18" s="119">
        <v>132000</v>
      </c>
      <c r="F18" s="119">
        <f>F19</f>
        <v>314570</v>
      </c>
      <c r="G18" s="119">
        <f t="shared" si="0"/>
        <v>446570</v>
      </c>
      <c r="H18" s="1"/>
      <c r="I18" s="1"/>
      <c r="J18" s="1"/>
      <c r="K18" s="1"/>
      <c r="L18" s="1"/>
    </row>
    <row r="19" spans="1:12" s="2" customFormat="1" ht="18.75" customHeight="1">
      <c r="A19" s="11"/>
      <c r="B19" s="12"/>
      <c r="C19" s="12"/>
      <c r="D19" s="260" t="s">
        <v>87</v>
      </c>
      <c r="E19" s="261"/>
      <c r="F19" s="262">
        <f>F20</f>
        <v>314570</v>
      </c>
      <c r="G19" s="262">
        <f t="shared" si="0"/>
        <v>314570</v>
      </c>
      <c r="H19" s="1"/>
      <c r="I19" s="1"/>
      <c r="J19" s="1"/>
      <c r="K19" s="1"/>
      <c r="L19" s="1"/>
    </row>
    <row r="20" spans="1:12" s="254" customFormat="1" ht="18.75" customHeight="1">
      <c r="A20" s="251"/>
      <c r="B20" s="252"/>
      <c r="C20" s="252">
        <v>2390</v>
      </c>
      <c r="D20" s="257" t="s">
        <v>107</v>
      </c>
      <c r="E20" s="258"/>
      <c r="F20" s="259">
        <v>314570</v>
      </c>
      <c r="G20" s="259">
        <f t="shared" si="0"/>
        <v>314570</v>
      </c>
      <c r="H20" s="253"/>
      <c r="I20" s="253"/>
      <c r="J20" s="253"/>
      <c r="K20" s="253"/>
      <c r="L20" s="253"/>
    </row>
    <row r="21" spans="1:12" s="2" customFormat="1" ht="18.75" customHeight="1">
      <c r="A21" s="89">
        <v>900</v>
      </c>
      <c r="B21" s="20"/>
      <c r="C21" s="20"/>
      <c r="D21" s="226" t="s">
        <v>21</v>
      </c>
      <c r="E21" s="227">
        <v>9054000</v>
      </c>
      <c r="F21" s="227">
        <f>F22</f>
        <v>180000</v>
      </c>
      <c r="G21" s="227">
        <f t="shared" si="0"/>
        <v>9234000</v>
      </c>
      <c r="H21" s="1"/>
      <c r="I21" s="1"/>
      <c r="J21" s="1"/>
      <c r="K21" s="1"/>
      <c r="L21" s="1"/>
    </row>
    <row r="22" spans="1:12" s="2" customFormat="1" ht="18.75" customHeight="1">
      <c r="A22" s="11"/>
      <c r="B22" s="90">
        <v>90013</v>
      </c>
      <c r="C22" s="90"/>
      <c r="D22" s="229" t="s">
        <v>119</v>
      </c>
      <c r="E22" s="119">
        <v>12000</v>
      </c>
      <c r="F22" s="119">
        <f>F23</f>
        <v>180000</v>
      </c>
      <c r="G22" s="119">
        <f t="shared" si="0"/>
        <v>192000</v>
      </c>
      <c r="H22" s="1"/>
      <c r="I22" s="1"/>
      <c r="J22" s="1"/>
      <c r="K22" s="1"/>
      <c r="L22" s="1"/>
    </row>
    <row r="23" spans="1:12" s="2" customFormat="1" ht="18.75" customHeight="1">
      <c r="A23" s="11"/>
      <c r="B23" s="12"/>
      <c r="C23" s="12"/>
      <c r="D23" s="260" t="s">
        <v>154</v>
      </c>
      <c r="E23" s="261"/>
      <c r="F23" s="262">
        <f>F24</f>
        <v>180000</v>
      </c>
      <c r="G23" s="262">
        <f t="shared" si="0"/>
        <v>180000</v>
      </c>
      <c r="H23" s="1"/>
      <c r="I23" s="1"/>
      <c r="J23" s="1"/>
      <c r="K23" s="1"/>
      <c r="L23" s="1"/>
    </row>
    <row r="24" spans="1:12" s="254" customFormat="1" ht="25.5" customHeight="1">
      <c r="A24" s="256"/>
      <c r="B24" s="129"/>
      <c r="C24" s="252">
        <v>6290</v>
      </c>
      <c r="D24" s="257" t="s">
        <v>129</v>
      </c>
      <c r="E24" s="258"/>
      <c r="F24" s="259">
        <v>180000</v>
      </c>
      <c r="G24" s="259">
        <f t="shared" si="0"/>
        <v>180000</v>
      </c>
      <c r="H24" s="253"/>
      <c r="I24" s="253"/>
      <c r="J24" s="253"/>
      <c r="K24" s="253"/>
      <c r="L24" s="253"/>
    </row>
    <row r="25" spans="1:7" ht="18.75" customHeight="1" thickBot="1">
      <c r="A25" s="91"/>
      <c r="B25" s="136"/>
      <c r="C25" s="136"/>
      <c r="D25" s="212" t="s">
        <v>96</v>
      </c>
      <c r="E25" s="44">
        <v>101029188</v>
      </c>
      <c r="F25" s="44"/>
      <c r="G25" s="44">
        <f t="shared" si="0"/>
        <v>101029188</v>
      </c>
    </row>
    <row r="26" spans="1:7" ht="19.5" customHeight="1" thickBot="1" thickTop="1">
      <c r="A26" s="17"/>
      <c r="B26" s="18"/>
      <c r="C26" s="18"/>
      <c r="D26" s="213" t="s">
        <v>30</v>
      </c>
      <c r="E26" s="214">
        <v>10585702</v>
      </c>
      <c r="F26" s="214">
        <f>F27</f>
        <v>38637</v>
      </c>
      <c r="G26" s="214">
        <f t="shared" si="0"/>
        <v>10624339</v>
      </c>
    </row>
    <row r="27" spans="1:7" ht="18.75" customHeight="1" thickTop="1">
      <c r="A27" s="89">
        <v>750</v>
      </c>
      <c r="B27" s="20"/>
      <c r="C27" s="20"/>
      <c r="D27" s="226" t="s">
        <v>31</v>
      </c>
      <c r="E27" s="227">
        <v>111300</v>
      </c>
      <c r="F27" s="227">
        <f>F28+F31</f>
        <v>38637</v>
      </c>
      <c r="G27" s="231">
        <f>F27+E27</f>
        <v>149937</v>
      </c>
    </row>
    <row r="28" spans="1:7" ht="18.75" customHeight="1">
      <c r="A28" s="11"/>
      <c r="B28" s="90">
        <v>75023</v>
      </c>
      <c r="C28" s="90"/>
      <c r="D28" s="229" t="s">
        <v>32</v>
      </c>
      <c r="E28" s="31">
        <v>69300</v>
      </c>
      <c r="F28" s="31">
        <f>F29</f>
        <v>38338</v>
      </c>
      <c r="G28" s="31">
        <f>F28+E28</f>
        <v>107638</v>
      </c>
    </row>
    <row r="29" spans="1:7" ht="18.75" customHeight="1">
      <c r="A29" s="11"/>
      <c r="B29" s="12"/>
      <c r="C29" s="12"/>
      <c r="D29" s="260" t="s">
        <v>94</v>
      </c>
      <c r="E29" s="168"/>
      <c r="F29" s="168">
        <f>F30</f>
        <v>38338</v>
      </c>
      <c r="G29" s="168">
        <f>F29+E29</f>
        <v>38338</v>
      </c>
    </row>
    <row r="30" spans="1:7" s="114" customFormat="1" ht="25.5" customHeight="1">
      <c r="A30" s="251"/>
      <c r="B30" s="252"/>
      <c r="C30" s="400">
        <v>2705</v>
      </c>
      <c r="D30" s="266" t="s">
        <v>108</v>
      </c>
      <c r="E30" s="182"/>
      <c r="F30" s="182">
        <v>38338</v>
      </c>
      <c r="G30" s="182">
        <f>E30+F30</f>
        <v>38338</v>
      </c>
    </row>
    <row r="31" spans="1:7" ht="19.5" customHeight="1">
      <c r="A31" s="99"/>
      <c r="B31" s="37">
        <v>75095</v>
      </c>
      <c r="C31" s="273"/>
      <c r="D31" s="274" t="s">
        <v>4</v>
      </c>
      <c r="E31" s="40">
        <v>42000</v>
      </c>
      <c r="F31" s="40">
        <f>F32</f>
        <v>299</v>
      </c>
      <c r="G31" s="40">
        <f>F31+E31</f>
        <v>42299</v>
      </c>
    </row>
    <row r="32" spans="1:7" ht="19.5" customHeight="1">
      <c r="A32" s="99"/>
      <c r="B32" s="99"/>
      <c r="C32" s="267"/>
      <c r="D32" s="278" t="s">
        <v>89</v>
      </c>
      <c r="E32" s="168">
        <v>42000</v>
      </c>
      <c r="F32" s="168">
        <f>F33</f>
        <v>299</v>
      </c>
      <c r="G32" s="168">
        <f>F32+E32</f>
        <v>42299</v>
      </c>
    </row>
    <row r="33" spans="1:7" s="114" customFormat="1" ht="19.5" customHeight="1">
      <c r="A33" s="270"/>
      <c r="B33" s="270"/>
      <c r="C33" s="272" t="s">
        <v>75</v>
      </c>
      <c r="D33" s="399" t="s">
        <v>99</v>
      </c>
      <c r="E33" s="199"/>
      <c r="F33" s="199">
        <v>299</v>
      </c>
      <c r="G33" s="199">
        <f>E33+F33</f>
        <v>299</v>
      </c>
    </row>
    <row r="34" spans="1:7" ht="22.5" customHeight="1" thickBot="1">
      <c r="A34" s="99"/>
      <c r="B34" s="99"/>
      <c r="C34" s="99"/>
      <c r="D34" s="246" t="s">
        <v>35</v>
      </c>
      <c r="E34" s="44">
        <v>260000</v>
      </c>
      <c r="F34" s="44"/>
      <c r="G34" s="44">
        <f t="shared" si="0"/>
        <v>260000</v>
      </c>
    </row>
    <row r="35" spans="1:7" ht="29.25" customHeight="1" thickBot="1" thickTop="1">
      <c r="A35" s="99"/>
      <c r="B35" s="99"/>
      <c r="C35" s="99"/>
      <c r="D35" s="230" t="s">
        <v>36</v>
      </c>
      <c r="E35" s="43">
        <v>59006967</v>
      </c>
      <c r="F35" s="43"/>
      <c r="G35" s="43">
        <f t="shared" si="0"/>
        <v>59006967</v>
      </c>
    </row>
    <row r="36" spans="1:7" ht="24.75" customHeight="1" thickBot="1" thickTop="1">
      <c r="A36" s="11"/>
      <c r="B36" s="12"/>
      <c r="C36" s="12"/>
      <c r="D36" s="97" t="s">
        <v>33</v>
      </c>
      <c r="E36" s="134">
        <v>222300089</v>
      </c>
      <c r="F36" s="134"/>
      <c r="G36" s="134">
        <f t="shared" si="0"/>
        <v>222300089</v>
      </c>
    </row>
    <row r="37" spans="1:7" ht="19.5" customHeight="1" thickBot="1">
      <c r="A37" s="11"/>
      <c r="B37" s="12"/>
      <c r="C37" s="12"/>
      <c r="D37" s="210" t="s">
        <v>34</v>
      </c>
      <c r="E37" s="211">
        <v>63095330</v>
      </c>
      <c r="F37" s="211"/>
      <c r="G37" s="211">
        <f t="shared" si="0"/>
        <v>63095330</v>
      </c>
    </row>
    <row r="38" spans="1:7" ht="19.5" customHeight="1" thickBot="1" thickTop="1">
      <c r="A38" s="11"/>
      <c r="B38" s="12"/>
      <c r="C38" s="12"/>
      <c r="D38" s="213" t="s">
        <v>29</v>
      </c>
      <c r="E38" s="214">
        <v>128335640</v>
      </c>
      <c r="F38" s="214"/>
      <c r="G38" s="214">
        <f t="shared" si="0"/>
        <v>128335640</v>
      </c>
    </row>
    <row r="39" spans="1:7" ht="19.5" customHeight="1" thickBot="1" thickTop="1">
      <c r="A39" s="94"/>
      <c r="B39" s="95"/>
      <c r="C39" s="95"/>
      <c r="D39" s="215" t="s">
        <v>30</v>
      </c>
      <c r="E39" s="214">
        <v>8134070</v>
      </c>
      <c r="F39" s="214"/>
      <c r="G39" s="214">
        <f t="shared" si="0"/>
        <v>8134070</v>
      </c>
    </row>
    <row r="40" spans="1:7" ht="19.5" customHeight="1" thickBot="1" thickTop="1">
      <c r="A40" s="99"/>
      <c r="B40" s="99"/>
      <c r="C40" s="99"/>
      <c r="D40" s="216" t="s">
        <v>35</v>
      </c>
      <c r="E40" s="214">
        <v>2378000</v>
      </c>
      <c r="F40" s="214"/>
      <c r="G40" s="214">
        <f t="shared" si="0"/>
        <v>2378000</v>
      </c>
    </row>
    <row r="41" spans="1:7" ht="20.25" customHeight="1" thickBot="1" thickTop="1">
      <c r="A41" s="242"/>
      <c r="B41" s="242"/>
      <c r="C41" s="242"/>
      <c r="D41" s="216" t="s">
        <v>285</v>
      </c>
      <c r="E41" s="214">
        <v>20357049</v>
      </c>
      <c r="F41" s="214"/>
      <c r="G41" s="214">
        <f t="shared" si="0"/>
        <v>20357049</v>
      </c>
    </row>
    <row r="42" spans="5:7" ht="13.5" thickTop="1">
      <c r="E42" s="92"/>
      <c r="F42" s="92"/>
      <c r="G42" s="92"/>
    </row>
    <row r="43" spans="5:7" ht="12.75">
      <c r="E43" s="92"/>
      <c r="F43" s="92"/>
      <c r="G43" s="92"/>
    </row>
    <row r="44" spans="3:7" ht="12.75">
      <c r="C44" t="s">
        <v>291</v>
      </c>
      <c r="E44" s="92"/>
      <c r="F44" s="92" t="s">
        <v>295</v>
      </c>
      <c r="G44" s="92"/>
    </row>
    <row r="45" spans="3:7" ht="12.75">
      <c r="C45" t="s">
        <v>292</v>
      </c>
      <c r="E45" s="92"/>
      <c r="F45" s="92" t="s">
        <v>294</v>
      </c>
      <c r="G45" s="92"/>
    </row>
    <row r="46" spans="3:7" ht="12.75">
      <c r="C46" s="105" t="s">
        <v>290</v>
      </c>
      <c r="E46" s="92"/>
      <c r="F46" s="92" t="s">
        <v>293</v>
      </c>
      <c r="G46" s="92"/>
    </row>
    <row r="47" spans="5:7" ht="12.75">
      <c r="E47" s="92"/>
      <c r="F47" s="92"/>
      <c r="G47" s="92"/>
    </row>
    <row r="48" spans="5:7" ht="12.75">
      <c r="E48" s="92"/>
      <c r="F48" s="92"/>
      <c r="G48" s="92"/>
    </row>
    <row r="49" spans="5:7" ht="12.75">
      <c r="E49" s="92"/>
      <c r="F49" s="92"/>
      <c r="G49" s="92"/>
    </row>
    <row r="50" spans="5:7" ht="12.75">
      <c r="E50" s="92"/>
      <c r="F50" s="92"/>
      <c r="G50" s="92"/>
    </row>
    <row r="51" spans="5:7" ht="12.75">
      <c r="E51" s="92"/>
      <c r="F51" s="92"/>
      <c r="G51" s="92"/>
    </row>
    <row r="52" spans="5:7" ht="12.75">
      <c r="E52" s="92"/>
      <c r="F52" s="92"/>
      <c r="G52" s="92"/>
    </row>
    <row r="53" spans="5:7" ht="12.75">
      <c r="E53" s="92"/>
      <c r="F53" s="92"/>
      <c r="G53" s="92"/>
    </row>
    <row r="54" spans="5:7" ht="12.75">
      <c r="E54" s="92"/>
      <c r="F54" s="92"/>
      <c r="G54" s="92"/>
    </row>
    <row r="55" spans="5:7" ht="12.75">
      <c r="E55" s="92"/>
      <c r="F55" s="92"/>
      <c r="G55" s="92"/>
    </row>
    <row r="56" spans="5:7" ht="12.75">
      <c r="E56" s="92"/>
      <c r="F56" s="92"/>
      <c r="G56" s="92"/>
    </row>
    <row r="57" spans="5:7" ht="12.75">
      <c r="E57" s="92"/>
      <c r="F57" s="92"/>
      <c r="G57" s="92"/>
    </row>
    <row r="58" spans="5:7" ht="12.75">
      <c r="E58" s="92"/>
      <c r="F58" s="92"/>
      <c r="G58" s="92"/>
    </row>
    <row r="59" spans="5:7" ht="12.75">
      <c r="E59" s="92"/>
      <c r="F59" s="92"/>
      <c r="G59" s="92"/>
    </row>
    <row r="60" spans="5:7" ht="12.75">
      <c r="E60" s="92"/>
      <c r="F60" s="92"/>
      <c r="G60" s="92"/>
    </row>
    <row r="61" spans="5:7" ht="12.75">
      <c r="E61" s="92"/>
      <c r="F61" s="92"/>
      <c r="G61" s="92"/>
    </row>
    <row r="62" ht="12.75">
      <c r="F62" s="92"/>
    </row>
    <row r="63" ht="12.75">
      <c r="F63" s="92"/>
    </row>
    <row r="64" ht="12.75">
      <c r="F64" s="92"/>
    </row>
    <row r="65" ht="12.75">
      <c r="F65" s="92"/>
    </row>
    <row r="66" ht="12.75">
      <c r="F66" s="92"/>
    </row>
    <row r="67" ht="12.75">
      <c r="F67" s="92"/>
    </row>
    <row r="68" ht="12.75">
      <c r="F68" s="92"/>
    </row>
    <row r="69" ht="12.75">
      <c r="F69" s="92"/>
    </row>
    <row r="70" ht="12.75">
      <c r="F70" s="92"/>
    </row>
    <row r="71" ht="12.75">
      <c r="F71" s="92"/>
    </row>
    <row r="72" ht="12.75">
      <c r="F72" s="92"/>
    </row>
    <row r="73" ht="12.75">
      <c r="F73" s="92"/>
    </row>
    <row r="74" ht="12.75">
      <c r="F74" s="92"/>
    </row>
    <row r="75" ht="12.75">
      <c r="F75" s="92"/>
    </row>
    <row r="76" ht="12.75">
      <c r="F76" s="92"/>
    </row>
    <row r="77" ht="12.75">
      <c r="F77" s="92"/>
    </row>
    <row r="78" ht="12.75">
      <c r="F78" s="92"/>
    </row>
    <row r="79" ht="12.75">
      <c r="F79" s="92"/>
    </row>
    <row r="80" ht="12.75">
      <c r="F80" s="92"/>
    </row>
    <row r="81" ht="12.75">
      <c r="F81" s="92"/>
    </row>
    <row r="82" ht="12.75">
      <c r="F82" s="92"/>
    </row>
    <row r="83" ht="12.75">
      <c r="F83" s="92"/>
    </row>
    <row r="84" ht="12.75">
      <c r="F84" s="92"/>
    </row>
    <row r="85" ht="12.75">
      <c r="F85" s="92"/>
    </row>
    <row r="86" ht="12.75">
      <c r="F86" s="92"/>
    </row>
    <row r="87" ht="12.75">
      <c r="F87" s="92"/>
    </row>
    <row r="88" ht="12.75">
      <c r="F88" s="92"/>
    </row>
    <row r="89" ht="12.75">
      <c r="F89" s="92"/>
    </row>
    <row r="90" ht="12.75">
      <c r="F90" s="92"/>
    </row>
    <row r="91" ht="12.75">
      <c r="F91" s="92"/>
    </row>
    <row r="92" ht="12.75">
      <c r="F92" s="92"/>
    </row>
    <row r="93" ht="12.75">
      <c r="F93" s="92"/>
    </row>
    <row r="94" ht="12.75">
      <c r="F94" s="92"/>
    </row>
    <row r="95" ht="12.75">
      <c r="F95" s="92"/>
    </row>
    <row r="96" ht="12.75">
      <c r="F96" s="92"/>
    </row>
    <row r="97" ht="12.75">
      <c r="F97" s="92"/>
    </row>
    <row r="98" ht="12.75">
      <c r="F98" s="92"/>
    </row>
    <row r="99" ht="12.75">
      <c r="F99" s="92"/>
    </row>
    <row r="100" ht="12.75">
      <c r="F100" s="92"/>
    </row>
    <row r="101" ht="12.75">
      <c r="F101" s="92"/>
    </row>
    <row r="102" ht="12.75">
      <c r="F102" s="92"/>
    </row>
    <row r="103" ht="12.75">
      <c r="F103" s="92"/>
    </row>
    <row r="104" ht="12.75">
      <c r="F104" s="92"/>
    </row>
    <row r="105" ht="12.75">
      <c r="F105" s="92"/>
    </row>
    <row r="106" ht="12.75">
      <c r="F106" s="92"/>
    </row>
    <row r="107" ht="12.75">
      <c r="F107" s="92"/>
    </row>
    <row r="108" ht="12.75">
      <c r="F108" s="92"/>
    </row>
    <row r="109" ht="12.75">
      <c r="F109" s="92"/>
    </row>
    <row r="110" ht="12.75">
      <c r="F110" s="92"/>
    </row>
    <row r="111" ht="12.75">
      <c r="F111" s="92"/>
    </row>
    <row r="112" ht="12.75">
      <c r="F112" s="92"/>
    </row>
    <row r="113" ht="12.75">
      <c r="F113" s="92"/>
    </row>
    <row r="114" ht="12.75">
      <c r="F114" s="92"/>
    </row>
    <row r="115" ht="12.75">
      <c r="F115" s="92"/>
    </row>
    <row r="116" ht="12.75">
      <c r="F116" s="92"/>
    </row>
    <row r="117" ht="12.75">
      <c r="F117" s="92"/>
    </row>
    <row r="118" ht="12.75">
      <c r="F118" s="92"/>
    </row>
    <row r="119" ht="12.75">
      <c r="F119" s="92"/>
    </row>
    <row r="120" ht="12.75">
      <c r="F120" s="92"/>
    </row>
    <row r="121" ht="12.75">
      <c r="F121" s="92"/>
    </row>
    <row r="122" ht="12.75">
      <c r="F122" s="92"/>
    </row>
    <row r="123" ht="12.75">
      <c r="F123" s="92"/>
    </row>
    <row r="124" ht="12.75">
      <c r="F124" s="92"/>
    </row>
    <row r="125" ht="12.75">
      <c r="F125" s="92"/>
    </row>
    <row r="126" ht="12.75">
      <c r="F126" s="92"/>
    </row>
    <row r="127" ht="12.75">
      <c r="F127" s="92"/>
    </row>
    <row r="128" ht="12.75">
      <c r="F128" s="92"/>
    </row>
    <row r="129" ht="12.75">
      <c r="F129" s="92"/>
    </row>
    <row r="130" ht="12.75">
      <c r="F130" s="92"/>
    </row>
    <row r="131" ht="12.75">
      <c r="F131" s="92"/>
    </row>
    <row r="132" ht="12.75">
      <c r="F132" s="92"/>
    </row>
    <row r="133" ht="12.75">
      <c r="F133" s="92"/>
    </row>
    <row r="134" ht="12.75">
      <c r="F134" s="92"/>
    </row>
    <row r="135" ht="12.75">
      <c r="F135" s="92"/>
    </row>
    <row r="136" ht="12.75">
      <c r="F136" s="92"/>
    </row>
    <row r="137" ht="12.75">
      <c r="F137" s="92"/>
    </row>
    <row r="138" ht="12.75">
      <c r="F138" s="92"/>
    </row>
    <row r="139" ht="12.75">
      <c r="F139" s="92"/>
    </row>
    <row r="140" ht="12.75">
      <c r="F140" s="92"/>
    </row>
    <row r="141" ht="12.75">
      <c r="F141" s="92"/>
    </row>
    <row r="142" ht="12.75">
      <c r="F142" s="92"/>
    </row>
    <row r="143" ht="12.75">
      <c r="F143" s="92"/>
    </row>
    <row r="144" ht="12.75">
      <c r="F144" s="92"/>
    </row>
    <row r="145" ht="12.75">
      <c r="F145" s="92"/>
    </row>
    <row r="146" ht="12.75">
      <c r="F146" s="92"/>
    </row>
    <row r="147" ht="12.75">
      <c r="F147" s="92"/>
    </row>
    <row r="148" ht="12.75">
      <c r="F148" s="92"/>
    </row>
    <row r="149" ht="12.75">
      <c r="F149" s="92"/>
    </row>
    <row r="150" ht="12.75">
      <c r="F150" s="92"/>
    </row>
    <row r="151" ht="12.75">
      <c r="F151" s="92"/>
    </row>
    <row r="152" ht="12.75">
      <c r="F152" s="92"/>
    </row>
    <row r="153" ht="12.75">
      <c r="F153" s="92"/>
    </row>
    <row r="154" ht="12.75">
      <c r="F154" s="92"/>
    </row>
    <row r="155" ht="12.75">
      <c r="F155" s="92"/>
    </row>
    <row r="156" ht="12.75">
      <c r="F156" s="92"/>
    </row>
    <row r="157" ht="12.75">
      <c r="F157" s="92"/>
    </row>
    <row r="158" ht="12.75">
      <c r="F158" s="92"/>
    </row>
    <row r="159" ht="12.75">
      <c r="F159" s="92"/>
    </row>
    <row r="160" ht="12.75">
      <c r="F160" s="92"/>
    </row>
    <row r="161" ht="12.75">
      <c r="F161" s="92"/>
    </row>
    <row r="162" ht="12.75">
      <c r="F162" s="92"/>
    </row>
    <row r="163" ht="12.75">
      <c r="F163" s="92"/>
    </row>
    <row r="164" ht="12.75">
      <c r="F164" s="92"/>
    </row>
    <row r="165" ht="12.75">
      <c r="F165" s="92"/>
    </row>
    <row r="166" ht="12.75">
      <c r="F166" s="92"/>
    </row>
    <row r="167" ht="12.75">
      <c r="F167" s="92"/>
    </row>
    <row r="168" ht="12.75">
      <c r="F168" s="92"/>
    </row>
    <row r="169" ht="12.75">
      <c r="F169" s="92"/>
    </row>
    <row r="170" ht="12.75">
      <c r="F170" s="92"/>
    </row>
    <row r="171" ht="12.75">
      <c r="F171" s="92"/>
    </row>
    <row r="172" ht="12.75">
      <c r="F172" s="92"/>
    </row>
    <row r="173" ht="12.75">
      <c r="F173" s="92"/>
    </row>
    <row r="174" ht="12.75">
      <c r="F174" s="92"/>
    </row>
    <row r="175" ht="12.75">
      <c r="F175" s="92"/>
    </row>
    <row r="176" ht="12.75">
      <c r="F176" s="92"/>
    </row>
    <row r="177" ht="12.75">
      <c r="F177" s="92"/>
    </row>
    <row r="178" ht="12.75">
      <c r="F178" s="92"/>
    </row>
    <row r="179" ht="12.75">
      <c r="F179" s="92"/>
    </row>
    <row r="180" ht="12.75">
      <c r="F180" s="92"/>
    </row>
    <row r="181" ht="12.75">
      <c r="F181" s="92"/>
    </row>
    <row r="182" ht="12.75">
      <c r="F182" s="92"/>
    </row>
    <row r="183" ht="12.75">
      <c r="F183" s="92"/>
    </row>
    <row r="184" ht="12.75">
      <c r="F184" s="92"/>
    </row>
    <row r="185" ht="12.75">
      <c r="F185" s="92"/>
    </row>
    <row r="186" ht="12.75">
      <c r="F186" s="92"/>
    </row>
    <row r="187" ht="12.75">
      <c r="F187" s="92"/>
    </row>
    <row r="188" ht="12.75">
      <c r="F188" s="92"/>
    </row>
    <row r="189" ht="12.75">
      <c r="F189" s="92"/>
    </row>
    <row r="190" ht="12.75">
      <c r="F190" s="92"/>
    </row>
    <row r="191" ht="12.75">
      <c r="F191" s="92"/>
    </row>
    <row r="192" ht="12.75">
      <c r="F192" s="92"/>
    </row>
    <row r="193" ht="12.75">
      <c r="F193" s="92"/>
    </row>
    <row r="194" ht="12.75">
      <c r="F194" s="92"/>
    </row>
    <row r="195" ht="12.75">
      <c r="F195" s="92"/>
    </row>
    <row r="196" ht="12.75">
      <c r="F196" s="92"/>
    </row>
    <row r="197" ht="12.75">
      <c r="F197" s="92"/>
    </row>
    <row r="198" ht="12.75">
      <c r="F198" s="92"/>
    </row>
    <row r="199" ht="12.75">
      <c r="F199" s="92"/>
    </row>
    <row r="200" ht="12.75">
      <c r="F200" s="92"/>
    </row>
    <row r="201" ht="12.75">
      <c r="F201" s="92"/>
    </row>
    <row r="202" ht="12.75">
      <c r="F202" s="92"/>
    </row>
    <row r="203" ht="12.75">
      <c r="F203" s="92"/>
    </row>
    <row r="204" ht="12.75">
      <c r="F204" s="92"/>
    </row>
    <row r="205" ht="12.75">
      <c r="F205" s="92"/>
    </row>
    <row r="206" ht="12.75">
      <c r="F206" s="92"/>
    </row>
    <row r="207" ht="12.75">
      <c r="F207" s="92"/>
    </row>
    <row r="208" ht="12.75">
      <c r="F208" s="92"/>
    </row>
    <row r="209" ht="12.75">
      <c r="F209" s="92"/>
    </row>
    <row r="210" ht="12.75">
      <c r="F210" s="92"/>
    </row>
    <row r="211" ht="12.75">
      <c r="F211" s="92"/>
    </row>
    <row r="212" ht="12.75">
      <c r="F212" s="92"/>
    </row>
    <row r="213" ht="12.75">
      <c r="F213" s="92"/>
    </row>
    <row r="214" ht="12.75">
      <c r="F214" s="92"/>
    </row>
    <row r="215" ht="12.75">
      <c r="F215" s="92"/>
    </row>
    <row r="216" ht="12.75">
      <c r="F216" s="92"/>
    </row>
    <row r="217" ht="12.75">
      <c r="F217" s="92"/>
    </row>
    <row r="218" ht="12.75">
      <c r="F218" s="92"/>
    </row>
    <row r="219" ht="12.75">
      <c r="F219" s="92"/>
    </row>
    <row r="220" ht="12.75">
      <c r="F220" s="92"/>
    </row>
    <row r="221" ht="12.75">
      <c r="F221" s="92"/>
    </row>
    <row r="222" ht="12.75">
      <c r="F222" s="92"/>
    </row>
    <row r="223" ht="12.75">
      <c r="F223" s="92"/>
    </row>
    <row r="224" ht="12.75">
      <c r="F224" s="92"/>
    </row>
    <row r="225" ht="12.75">
      <c r="F225" s="92"/>
    </row>
    <row r="226" ht="12.75">
      <c r="F226" s="92"/>
    </row>
    <row r="227" ht="12.75">
      <c r="F227" s="92"/>
    </row>
    <row r="228" ht="12.75">
      <c r="F228" s="92"/>
    </row>
    <row r="229" ht="12.75">
      <c r="F229" s="92"/>
    </row>
    <row r="230" ht="12.75">
      <c r="F230" s="92"/>
    </row>
    <row r="231" ht="12.75">
      <c r="F231" s="92"/>
    </row>
    <row r="232" ht="12.75">
      <c r="F232" s="92"/>
    </row>
    <row r="233" ht="12.75">
      <c r="F233" s="92"/>
    </row>
    <row r="234" ht="12.75">
      <c r="F234" s="92"/>
    </row>
    <row r="235" ht="12.75">
      <c r="F235" s="92"/>
    </row>
    <row r="236" ht="12.75">
      <c r="F236" s="92"/>
    </row>
    <row r="237" ht="12.75">
      <c r="F237" s="92"/>
    </row>
    <row r="238" ht="12.75">
      <c r="F238" s="92"/>
    </row>
    <row r="239" ht="12.75">
      <c r="F239" s="92"/>
    </row>
    <row r="240" ht="12.75">
      <c r="F240" s="92"/>
    </row>
    <row r="241" ht="12.75">
      <c r="F241" s="92"/>
    </row>
    <row r="242" ht="12.75">
      <c r="F242" s="92"/>
    </row>
    <row r="243" ht="12.75">
      <c r="F243" s="92"/>
    </row>
    <row r="244" ht="12.75">
      <c r="F244" s="92"/>
    </row>
    <row r="245" ht="12.75">
      <c r="F245" s="92"/>
    </row>
    <row r="246" ht="12.75">
      <c r="F246" s="92"/>
    </row>
    <row r="247" ht="12.75">
      <c r="F247" s="92"/>
    </row>
    <row r="248" ht="12.75">
      <c r="F248" s="92"/>
    </row>
    <row r="249" ht="12.75">
      <c r="F249" s="92"/>
    </row>
    <row r="250" ht="12.75">
      <c r="F250" s="92"/>
    </row>
    <row r="251" ht="12.75">
      <c r="F251" s="92"/>
    </row>
    <row r="252" ht="12.75">
      <c r="F252" s="92"/>
    </row>
    <row r="253" ht="12.75">
      <c r="F253" s="92"/>
    </row>
    <row r="254" ht="12.75">
      <c r="F254" s="92"/>
    </row>
    <row r="255" ht="12.75">
      <c r="F255" s="92"/>
    </row>
    <row r="256" ht="12.75">
      <c r="F256" s="92"/>
    </row>
    <row r="257" ht="12.75">
      <c r="F257" s="92"/>
    </row>
    <row r="258" ht="12.75">
      <c r="F258" s="92"/>
    </row>
    <row r="259" ht="12.75">
      <c r="F259" s="92"/>
    </row>
    <row r="260" ht="12.75">
      <c r="F260" s="92"/>
    </row>
    <row r="261" ht="12.75">
      <c r="F261" s="92"/>
    </row>
    <row r="262" ht="12.75">
      <c r="F262" s="92"/>
    </row>
    <row r="263" ht="12.75">
      <c r="F263" s="92"/>
    </row>
    <row r="264" ht="12.75">
      <c r="F264" s="92"/>
    </row>
    <row r="265" ht="12.75">
      <c r="F265" s="92"/>
    </row>
    <row r="266" ht="12.75">
      <c r="F266" s="92"/>
    </row>
    <row r="267" ht="12.75">
      <c r="F267" s="92"/>
    </row>
    <row r="268" ht="12.75">
      <c r="F268" s="92"/>
    </row>
    <row r="269" ht="12.75">
      <c r="F269" s="92"/>
    </row>
    <row r="270" ht="12.75">
      <c r="F270" s="92"/>
    </row>
    <row r="271" ht="12.75">
      <c r="F271" s="92"/>
    </row>
    <row r="272" ht="12.75">
      <c r="F272" s="92"/>
    </row>
    <row r="273" ht="12.75">
      <c r="F273" s="92"/>
    </row>
    <row r="274" ht="12.75">
      <c r="F274" s="92"/>
    </row>
    <row r="275" ht="12.75">
      <c r="F275" s="92"/>
    </row>
    <row r="276" ht="12.75">
      <c r="F276" s="92"/>
    </row>
    <row r="277" ht="12.75">
      <c r="F277" s="92"/>
    </row>
    <row r="278" ht="12.75">
      <c r="F278" s="92"/>
    </row>
    <row r="279" ht="12.75">
      <c r="F279" s="92"/>
    </row>
    <row r="280" ht="12.75">
      <c r="F280" s="92"/>
    </row>
    <row r="281" ht="12.75">
      <c r="F281" s="92"/>
    </row>
    <row r="282" ht="12.75">
      <c r="F282" s="92"/>
    </row>
    <row r="283" ht="12.75">
      <c r="F283" s="92"/>
    </row>
    <row r="284" ht="12.75">
      <c r="F284" s="92"/>
    </row>
    <row r="285" ht="12.75">
      <c r="F285" s="92"/>
    </row>
    <row r="286" ht="12.75">
      <c r="F286" s="92"/>
    </row>
    <row r="287" ht="12.75">
      <c r="F287" s="92"/>
    </row>
    <row r="288" ht="12.75">
      <c r="F288" s="92"/>
    </row>
    <row r="289" ht="12.75">
      <c r="F289" s="92"/>
    </row>
    <row r="290" ht="12.75">
      <c r="F290" s="92"/>
    </row>
    <row r="291" ht="12.75">
      <c r="F291" s="92"/>
    </row>
    <row r="292" ht="12.75">
      <c r="F292" s="92"/>
    </row>
    <row r="293" ht="12.75">
      <c r="F293" s="92"/>
    </row>
    <row r="294" ht="12.75">
      <c r="F294" s="92"/>
    </row>
    <row r="295" ht="12.75">
      <c r="F295" s="92"/>
    </row>
    <row r="296" ht="12.75">
      <c r="F296" s="92"/>
    </row>
    <row r="297" ht="12.75">
      <c r="F297" s="92"/>
    </row>
    <row r="298" ht="12.75">
      <c r="F298" s="92"/>
    </row>
    <row r="299" ht="12.75">
      <c r="F299" s="92"/>
    </row>
    <row r="300" ht="12.75">
      <c r="F300" s="92"/>
    </row>
    <row r="301" ht="12.75">
      <c r="F301" s="92"/>
    </row>
    <row r="302" ht="12.75">
      <c r="F302" s="92"/>
    </row>
    <row r="303" ht="12.75">
      <c r="F303" s="92"/>
    </row>
    <row r="304" ht="12.75">
      <c r="F304" s="92"/>
    </row>
    <row r="305" ht="12.75">
      <c r="F305" s="92"/>
    </row>
    <row r="306" ht="12.75">
      <c r="F306" s="92"/>
    </row>
    <row r="307" ht="12.75">
      <c r="F307" s="92"/>
    </row>
    <row r="308" ht="12.75">
      <c r="F308" s="92"/>
    </row>
    <row r="309" ht="12.75">
      <c r="F309" s="92"/>
    </row>
    <row r="310" ht="12.75">
      <c r="F310" s="92"/>
    </row>
    <row r="311" ht="12.75">
      <c r="F311" s="92"/>
    </row>
    <row r="312" ht="12.75">
      <c r="F312" s="92"/>
    </row>
    <row r="313" ht="12.75">
      <c r="F313" s="92"/>
    </row>
    <row r="314" ht="12.75">
      <c r="F314" s="92"/>
    </row>
    <row r="315" ht="12.75">
      <c r="F315" s="92"/>
    </row>
    <row r="316" ht="12.75">
      <c r="F316" s="92"/>
    </row>
    <row r="317" ht="12.75">
      <c r="F317" s="92"/>
    </row>
    <row r="318" ht="12.75">
      <c r="F318" s="92"/>
    </row>
    <row r="319" ht="12.75">
      <c r="F319" s="92"/>
    </row>
    <row r="320" ht="12.75">
      <c r="F320" s="92"/>
    </row>
    <row r="321" ht="12.75">
      <c r="F321" s="92"/>
    </row>
    <row r="322" ht="12.75">
      <c r="F322" s="92"/>
    </row>
    <row r="323" ht="12.75">
      <c r="F323" s="92"/>
    </row>
    <row r="324" ht="12.75">
      <c r="F324" s="92"/>
    </row>
    <row r="325" ht="12.75">
      <c r="F325" s="92"/>
    </row>
    <row r="326" ht="12.75">
      <c r="F326" s="92"/>
    </row>
    <row r="327" ht="12.75">
      <c r="F327" s="92"/>
    </row>
    <row r="328" ht="12.75">
      <c r="F328" s="92"/>
    </row>
    <row r="329" ht="12.75">
      <c r="F329" s="92"/>
    </row>
    <row r="330" ht="12.75">
      <c r="F330" s="92"/>
    </row>
    <row r="331" ht="12.75">
      <c r="F331" s="92"/>
    </row>
    <row r="332" ht="12.75">
      <c r="F332" s="92"/>
    </row>
    <row r="333" ht="12.75">
      <c r="F333" s="92"/>
    </row>
    <row r="334" ht="12.75">
      <c r="F334" s="92"/>
    </row>
    <row r="335" ht="12.75">
      <c r="F335" s="92"/>
    </row>
    <row r="336" ht="12.75">
      <c r="F336" s="92"/>
    </row>
    <row r="337" ht="12.75">
      <c r="F337" s="92"/>
    </row>
    <row r="338" ht="12.75">
      <c r="F338" s="92"/>
    </row>
    <row r="339" ht="12.75">
      <c r="F339" s="92"/>
    </row>
    <row r="340" ht="12.75">
      <c r="F340" s="92"/>
    </row>
    <row r="341" ht="12.75">
      <c r="F341" s="92"/>
    </row>
    <row r="342" ht="12.75">
      <c r="F342" s="92"/>
    </row>
    <row r="343" ht="12.75">
      <c r="F343" s="92"/>
    </row>
    <row r="344" ht="12.75">
      <c r="F344" s="92"/>
    </row>
    <row r="345" ht="12.75">
      <c r="F345" s="92"/>
    </row>
    <row r="346" ht="12.75">
      <c r="F346" s="92"/>
    </row>
    <row r="347" ht="12.75">
      <c r="F347" s="92"/>
    </row>
    <row r="348" ht="12.75">
      <c r="F348" s="92"/>
    </row>
    <row r="349" ht="12.75">
      <c r="F349" s="92"/>
    </row>
    <row r="350" ht="12.75">
      <c r="F350" s="92"/>
    </row>
    <row r="351" ht="12.75">
      <c r="F351" s="92"/>
    </row>
    <row r="352" ht="12.75">
      <c r="F352" s="92"/>
    </row>
    <row r="353" ht="12.75">
      <c r="F353" s="92"/>
    </row>
    <row r="354" ht="12.75">
      <c r="F354" s="92"/>
    </row>
    <row r="355" ht="12.75">
      <c r="F355" s="92"/>
    </row>
    <row r="356" ht="12.75">
      <c r="F356" s="92"/>
    </row>
    <row r="357" ht="12.75">
      <c r="F357" s="92"/>
    </row>
    <row r="358" ht="12.75">
      <c r="F358" s="92"/>
    </row>
    <row r="359" ht="12.75">
      <c r="F359" s="92"/>
    </row>
    <row r="360" ht="12.75">
      <c r="F360" s="92"/>
    </row>
    <row r="361" ht="12.75">
      <c r="F361" s="92"/>
    </row>
    <row r="362" ht="12.75">
      <c r="F362" s="92"/>
    </row>
    <row r="363" ht="12.75">
      <c r="F363" s="92"/>
    </row>
    <row r="364" ht="12.75">
      <c r="F364" s="92"/>
    </row>
    <row r="365" ht="12.75">
      <c r="F365" s="92"/>
    </row>
    <row r="366" ht="12.75">
      <c r="F366" s="92"/>
    </row>
    <row r="367" ht="12.75">
      <c r="F367" s="92"/>
    </row>
    <row r="368" ht="12.75">
      <c r="F368" s="92"/>
    </row>
    <row r="369" ht="12.75">
      <c r="F369" s="92"/>
    </row>
    <row r="370" ht="12.75">
      <c r="F370" s="92"/>
    </row>
    <row r="371" ht="12.75">
      <c r="F371" s="92"/>
    </row>
    <row r="372" ht="12.75">
      <c r="F372" s="92"/>
    </row>
    <row r="373" ht="12.75">
      <c r="F373" s="92"/>
    </row>
    <row r="374" ht="12.75">
      <c r="F374" s="92"/>
    </row>
    <row r="375" ht="12.75">
      <c r="F375" s="92"/>
    </row>
    <row r="376" ht="12.75">
      <c r="F376" s="92"/>
    </row>
    <row r="377" ht="12.75">
      <c r="F377" s="92"/>
    </row>
    <row r="378" ht="12.75">
      <c r="F378" s="92"/>
    </row>
    <row r="379" ht="12.75">
      <c r="F379" s="92"/>
    </row>
    <row r="380" ht="12.75">
      <c r="F380" s="92"/>
    </row>
    <row r="381" ht="12.75">
      <c r="F381" s="92"/>
    </row>
    <row r="382" ht="12.75">
      <c r="F382" s="92"/>
    </row>
    <row r="383" ht="12.75">
      <c r="F383" s="92"/>
    </row>
    <row r="384" ht="12.75">
      <c r="F384" s="92"/>
    </row>
    <row r="385" ht="12.75">
      <c r="F385" s="92"/>
    </row>
    <row r="386" ht="12.75">
      <c r="F386" s="92"/>
    </row>
    <row r="387" ht="12.75">
      <c r="F387" s="92"/>
    </row>
    <row r="388" ht="12.75">
      <c r="F388" s="92"/>
    </row>
    <row r="389" ht="12.75">
      <c r="F389" s="92"/>
    </row>
    <row r="390" ht="12.75">
      <c r="F390" s="92"/>
    </row>
    <row r="391" ht="12.75">
      <c r="F391" s="92"/>
    </row>
    <row r="392" ht="12.75">
      <c r="F392" s="92"/>
    </row>
    <row r="393" ht="12.75">
      <c r="F393" s="92"/>
    </row>
    <row r="394" ht="12.75">
      <c r="F394" s="92"/>
    </row>
    <row r="395" ht="12.75">
      <c r="F395" s="92"/>
    </row>
    <row r="396" ht="12.75">
      <c r="F396" s="92"/>
    </row>
    <row r="397" ht="12.75">
      <c r="F397" s="92"/>
    </row>
    <row r="398" ht="12.75">
      <c r="F398" s="92"/>
    </row>
    <row r="399" ht="12.75">
      <c r="F399" s="92"/>
    </row>
    <row r="400" ht="12.75">
      <c r="F400" s="92"/>
    </row>
    <row r="401" ht="12.75">
      <c r="F401" s="92"/>
    </row>
    <row r="402" ht="12.75">
      <c r="F402" s="92"/>
    </row>
    <row r="403" ht="12.75">
      <c r="F403" s="92"/>
    </row>
    <row r="404" ht="12.75">
      <c r="F404" s="92"/>
    </row>
    <row r="405" ht="12.75">
      <c r="F405" s="92"/>
    </row>
    <row r="406" ht="12.75">
      <c r="F406" s="92"/>
    </row>
    <row r="407" ht="12.75">
      <c r="F407" s="92"/>
    </row>
    <row r="408" ht="12.75">
      <c r="F408" s="92"/>
    </row>
    <row r="409" ht="12.75">
      <c r="F409" s="92"/>
    </row>
    <row r="410" ht="12.75">
      <c r="F410" s="92"/>
    </row>
    <row r="411" ht="12.75">
      <c r="F411" s="92"/>
    </row>
    <row r="412" ht="12.75">
      <c r="F412" s="92"/>
    </row>
    <row r="413" ht="12.75">
      <c r="F413" s="92"/>
    </row>
    <row r="414" ht="12.75">
      <c r="F414" s="92"/>
    </row>
    <row r="415" ht="12.75">
      <c r="F415" s="92"/>
    </row>
    <row r="416" ht="12.75">
      <c r="F416" s="92"/>
    </row>
    <row r="417" ht="12.75">
      <c r="F417" s="92"/>
    </row>
    <row r="418" ht="12.75">
      <c r="F418" s="92"/>
    </row>
    <row r="419" ht="12.75">
      <c r="F419" s="92"/>
    </row>
    <row r="420" ht="12.75">
      <c r="F420" s="92"/>
    </row>
    <row r="421" ht="12.75">
      <c r="F421" s="92"/>
    </row>
    <row r="422" ht="12.75">
      <c r="F422" s="92"/>
    </row>
    <row r="423" ht="12.75">
      <c r="F423" s="92"/>
    </row>
    <row r="424" ht="12.75">
      <c r="F424" s="92"/>
    </row>
    <row r="425" ht="12.75">
      <c r="F425" s="92"/>
    </row>
    <row r="426" ht="12.75">
      <c r="F426" s="92"/>
    </row>
    <row r="427" ht="12.75">
      <c r="F427" s="92"/>
    </row>
    <row r="428" ht="12.75">
      <c r="F428" s="92"/>
    </row>
    <row r="429" ht="12.75">
      <c r="F429" s="92"/>
    </row>
    <row r="430" ht="12.75">
      <c r="F430" s="92"/>
    </row>
    <row r="431" ht="12.75">
      <c r="F431" s="92"/>
    </row>
    <row r="432" ht="12.75">
      <c r="F432" s="92"/>
    </row>
    <row r="433" ht="12.75">
      <c r="F433" s="92"/>
    </row>
    <row r="434" ht="12.75">
      <c r="F434" s="92"/>
    </row>
    <row r="435" ht="12.75">
      <c r="F435" s="92"/>
    </row>
    <row r="436" ht="12.75">
      <c r="F436" s="92"/>
    </row>
    <row r="437" ht="12.75">
      <c r="F437" s="92"/>
    </row>
    <row r="438" ht="12.75">
      <c r="F438" s="92"/>
    </row>
    <row r="439" ht="12.75">
      <c r="F439" s="92"/>
    </row>
    <row r="440" ht="12.75">
      <c r="F440" s="92"/>
    </row>
    <row r="441" ht="12.75">
      <c r="F441" s="92"/>
    </row>
    <row r="442" ht="12.75">
      <c r="F442" s="92"/>
    </row>
    <row r="443" ht="12.75">
      <c r="F443" s="92"/>
    </row>
    <row r="444" ht="12.75">
      <c r="F444" s="92"/>
    </row>
    <row r="445" ht="12.75">
      <c r="F445" s="92"/>
    </row>
    <row r="446" ht="12.75">
      <c r="F446" s="92"/>
    </row>
    <row r="447" ht="12.75">
      <c r="F447" s="92"/>
    </row>
    <row r="448" ht="12.75">
      <c r="F448" s="92"/>
    </row>
    <row r="449" ht="12.75">
      <c r="F449" s="92"/>
    </row>
    <row r="450" ht="12.75">
      <c r="F450" s="92"/>
    </row>
    <row r="451" ht="12.75">
      <c r="F451" s="92"/>
    </row>
    <row r="452" ht="12.75">
      <c r="F452" s="92"/>
    </row>
    <row r="453" ht="12.75">
      <c r="F453" s="92"/>
    </row>
    <row r="454" ht="12.75">
      <c r="F454" s="92"/>
    </row>
    <row r="455" ht="12.75">
      <c r="F455" s="92"/>
    </row>
    <row r="456" ht="12.75">
      <c r="F456" s="92"/>
    </row>
    <row r="457" ht="12.75">
      <c r="F457" s="92"/>
    </row>
    <row r="458" ht="12.75">
      <c r="F458" s="92"/>
    </row>
    <row r="459" ht="12.75">
      <c r="F459" s="92"/>
    </row>
    <row r="460" ht="12.75">
      <c r="F460" s="92"/>
    </row>
    <row r="461" ht="12.75">
      <c r="F461" s="92"/>
    </row>
    <row r="462" ht="12.75">
      <c r="F462" s="92"/>
    </row>
    <row r="463" ht="12.75">
      <c r="F463" s="92"/>
    </row>
    <row r="464" ht="12.75">
      <c r="F464" s="92"/>
    </row>
    <row r="465" ht="12.75">
      <c r="F465" s="92"/>
    </row>
    <row r="466" ht="12.75">
      <c r="F466" s="92"/>
    </row>
    <row r="467" ht="12.75">
      <c r="F467" s="92"/>
    </row>
    <row r="468" ht="12.75">
      <c r="F468" s="92"/>
    </row>
    <row r="469" ht="12.75">
      <c r="F469" s="92"/>
    </row>
    <row r="470" ht="12.75">
      <c r="F470" s="92"/>
    </row>
    <row r="471" ht="12.75">
      <c r="F471" s="92"/>
    </row>
    <row r="472" ht="12.75">
      <c r="F472" s="92"/>
    </row>
    <row r="473" ht="12.75">
      <c r="F473" s="92"/>
    </row>
    <row r="474" ht="12.75">
      <c r="F474" s="92"/>
    </row>
    <row r="475" ht="12.75">
      <c r="F475" s="92"/>
    </row>
    <row r="476" ht="12.75">
      <c r="F476" s="92"/>
    </row>
    <row r="477" ht="12.75">
      <c r="F477" s="92"/>
    </row>
    <row r="478" ht="12.75">
      <c r="F478" s="92"/>
    </row>
    <row r="479" ht="12.75">
      <c r="F479" s="92"/>
    </row>
    <row r="480" ht="12.75">
      <c r="F480" s="92"/>
    </row>
    <row r="481" ht="12.75">
      <c r="F481" s="92"/>
    </row>
    <row r="482" ht="12.75">
      <c r="F482" s="92"/>
    </row>
    <row r="483" ht="12.75">
      <c r="F483" s="92"/>
    </row>
    <row r="484" ht="12.75">
      <c r="F484" s="92"/>
    </row>
    <row r="485" ht="12.75">
      <c r="F485" s="92"/>
    </row>
    <row r="486" ht="12.75">
      <c r="F486" s="92"/>
    </row>
    <row r="487" ht="12.75">
      <c r="F487" s="92"/>
    </row>
    <row r="488" ht="12.75">
      <c r="F488" s="92"/>
    </row>
    <row r="489" ht="12.75">
      <c r="F489" s="92"/>
    </row>
    <row r="490" ht="12.75">
      <c r="F490" s="92"/>
    </row>
    <row r="491" ht="12.75">
      <c r="F491" s="92"/>
    </row>
    <row r="492" ht="12.75">
      <c r="F492" s="92"/>
    </row>
    <row r="493" ht="12.75">
      <c r="F493" s="92"/>
    </row>
    <row r="494" ht="12.75">
      <c r="F494" s="92"/>
    </row>
    <row r="495" ht="12.75">
      <c r="F495" s="92"/>
    </row>
    <row r="496" ht="12.75">
      <c r="F496" s="92"/>
    </row>
    <row r="497" ht="12.75">
      <c r="F497" s="92"/>
    </row>
    <row r="498" ht="12.75">
      <c r="F498" s="92"/>
    </row>
    <row r="499" ht="12.75">
      <c r="F499" s="92"/>
    </row>
    <row r="500" ht="12.75">
      <c r="F500" s="92"/>
    </row>
    <row r="501" ht="12.75">
      <c r="F501" s="92"/>
    </row>
    <row r="502" ht="12.75">
      <c r="F502" s="92"/>
    </row>
    <row r="503" ht="12.75">
      <c r="F503" s="92"/>
    </row>
    <row r="504" ht="12.75">
      <c r="F504" s="92"/>
    </row>
    <row r="505" ht="12.75">
      <c r="F505" s="92"/>
    </row>
    <row r="506" ht="12.75">
      <c r="F506" s="92"/>
    </row>
    <row r="507" ht="12.75">
      <c r="F507" s="92"/>
    </row>
    <row r="508" ht="12.75">
      <c r="F508" s="92"/>
    </row>
    <row r="509" ht="12.75">
      <c r="F509" s="92"/>
    </row>
    <row r="510" ht="12.75">
      <c r="F510" s="92"/>
    </row>
    <row r="511" ht="12.75">
      <c r="F511" s="92"/>
    </row>
    <row r="512" ht="12.75">
      <c r="F512" s="92"/>
    </row>
    <row r="513" ht="12.75">
      <c r="F513" s="92"/>
    </row>
    <row r="514" ht="12.75">
      <c r="F514" s="92"/>
    </row>
    <row r="515" ht="12.75">
      <c r="F515" s="92"/>
    </row>
    <row r="516" ht="12.75">
      <c r="F516" s="92"/>
    </row>
    <row r="517" ht="12.75">
      <c r="F517" s="92"/>
    </row>
  </sheetData>
  <printOptions horizontalCentered="1"/>
  <pageMargins left="0.4724409448818898" right="0.4724409448818898" top="0.6692913385826772" bottom="0.4724409448818898" header="0.5118110236220472" footer="0.31496062992125984"/>
  <pageSetup firstPageNumber="3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3" width="8.00390625" style="0" customWidth="1"/>
    <col min="4" max="4" width="62.75390625" style="0" customWidth="1"/>
    <col min="5" max="5" width="22.375" style="0" customWidth="1"/>
    <col min="6" max="6" width="16.625" style="0" customWidth="1"/>
    <col min="7" max="7" width="17.25390625" style="0" customWidth="1"/>
    <col min="8" max="8" width="19.875" style="0" customWidth="1"/>
    <col min="9" max="9" width="11.875" style="0" customWidth="1"/>
    <col min="10" max="10" width="12.375" style="0" customWidth="1"/>
    <col min="11" max="11" width="11.625" style="0" customWidth="1"/>
    <col min="12" max="12" width="11.00390625" style="0" customWidth="1"/>
  </cols>
  <sheetData>
    <row r="1" ht="16.5" customHeight="1">
      <c r="G1" s="100" t="s">
        <v>37</v>
      </c>
    </row>
    <row r="2" ht="15" customHeight="1">
      <c r="G2" s="101" t="s">
        <v>288</v>
      </c>
    </row>
    <row r="3" ht="16.5" customHeight="1">
      <c r="G3" s="102" t="s">
        <v>104</v>
      </c>
    </row>
    <row r="4" spans="4:7" ht="17.25" customHeight="1">
      <c r="D4" s="23" t="s">
        <v>49</v>
      </c>
      <c r="G4" s="102" t="s">
        <v>268</v>
      </c>
    </row>
    <row r="5" spans="4:7" ht="6.75" customHeight="1">
      <c r="D5" s="23"/>
      <c r="G5" s="102"/>
    </row>
    <row r="6" ht="15" customHeight="1" thickBot="1">
      <c r="H6" s="103" t="s">
        <v>6</v>
      </c>
    </row>
    <row r="7" spans="1:8" ht="67.5" customHeight="1" thickBot="1" thickTop="1">
      <c r="A7" s="25" t="s">
        <v>0</v>
      </c>
      <c r="B7" s="25" t="s">
        <v>9</v>
      </c>
      <c r="C7" s="25" t="s">
        <v>110</v>
      </c>
      <c r="D7" s="22" t="s">
        <v>111</v>
      </c>
      <c r="E7" s="22" t="s">
        <v>44</v>
      </c>
      <c r="F7" s="22" t="s">
        <v>38</v>
      </c>
      <c r="G7" s="22" t="s">
        <v>39</v>
      </c>
      <c r="H7" s="22" t="s">
        <v>40</v>
      </c>
    </row>
    <row r="8" spans="1:19" s="105" customFormat="1" ht="12.75" customHeight="1" thickBot="1" thickTop="1">
      <c r="A8" s="27">
        <v>1</v>
      </c>
      <c r="B8" s="27">
        <v>2</v>
      </c>
      <c r="C8" s="27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/>
      <c r="J8"/>
      <c r="K8"/>
      <c r="L8"/>
      <c r="M8"/>
      <c r="N8"/>
      <c r="O8"/>
      <c r="P8"/>
      <c r="Q8"/>
      <c r="R8"/>
      <c r="S8"/>
    </row>
    <row r="9" spans="1:11" ht="19.5" customHeight="1" thickBot="1" thickTop="1">
      <c r="A9" s="71"/>
      <c r="B9" s="106"/>
      <c r="C9" s="106"/>
      <c r="D9" s="107" t="s">
        <v>24</v>
      </c>
      <c r="E9" s="108">
        <v>784332402</v>
      </c>
      <c r="F9" s="108">
        <f>F11+F94+F95</f>
        <v>1377680</v>
      </c>
      <c r="G9" s="108">
        <f>G11+G94+G95</f>
        <v>4120887</v>
      </c>
      <c r="H9" s="108">
        <f>G9+E9-F9</f>
        <v>787075609</v>
      </c>
      <c r="I9" s="92"/>
      <c r="J9" s="92"/>
      <c r="K9" s="92"/>
    </row>
    <row r="10" spans="1:8" ht="12.75">
      <c r="A10" s="99"/>
      <c r="B10" s="99"/>
      <c r="C10" s="99"/>
      <c r="D10" s="99" t="s">
        <v>2</v>
      </c>
      <c r="E10" s="109"/>
      <c r="F10" s="109"/>
      <c r="G10" s="109"/>
      <c r="H10" s="109"/>
    </row>
    <row r="11" spans="1:10" ht="19.5" customHeight="1" thickBot="1">
      <c r="A11" s="66"/>
      <c r="B11" s="66"/>
      <c r="C11" s="66"/>
      <c r="D11" s="110" t="s">
        <v>41</v>
      </c>
      <c r="E11" s="111">
        <v>702330386</v>
      </c>
      <c r="F11" s="111">
        <f>F12+F17+F27+F31+F48+F66+F71+F80+F90</f>
        <v>1377680</v>
      </c>
      <c r="G11" s="111">
        <f>G12+G17+G27+G31+G48+G66+G71+G80+G90</f>
        <v>4120887</v>
      </c>
      <c r="H11" s="111">
        <f aca="true" t="shared" si="0" ref="H11:H95">G11+E11-F11</f>
        <v>705073593</v>
      </c>
      <c r="I11" s="92"/>
      <c r="J11" s="92"/>
    </row>
    <row r="12" spans="1:10" ht="18" customHeight="1" thickTop="1">
      <c r="A12" s="35">
        <v>700</v>
      </c>
      <c r="B12" s="35"/>
      <c r="C12" s="35"/>
      <c r="D12" s="35" t="s">
        <v>57</v>
      </c>
      <c r="E12" s="112">
        <v>9751000</v>
      </c>
      <c r="F12" s="112"/>
      <c r="G12" s="112">
        <f>G13</f>
        <v>700000</v>
      </c>
      <c r="H12" s="112">
        <f t="shared" si="0"/>
        <v>10451000</v>
      </c>
      <c r="I12" s="92"/>
      <c r="J12" s="92"/>
    </row>
    <row r="13" spans="1:10" ht="18" customHeight="1">
      <c r="A13" s="219"/>
      <c r="B13" s="30">
        <v>70001</v>
      </c>
      <c r="C13" s="30"/>
      <c r="D13" s="30" t="s">
        <v>82</v>
      </c>
      <c r="E13" s="120">
        <v>4300000</v>
      </c>
      <c r="F13" s="120"/>
      <c r="G13" s="120">
        <f>G14</f>
        <v>700000</v>
      </c>
      <c r="H13" s="120">
        <f t="shared" si="0"/>
        <v>5000000</v>
      </c>
      <c r="I13" s="92"/>
      <c r="J13" s="92"/>
    </row>
    <row r="14" spans="1:10" ht="18" customHeight="1">
      <c r="A14" s="65"/>
      <c r="B14" s="220"/>
      <c r="C14" s="220"/>
      <c r="D14" s="278" t="s">
        <v>83</v>
      </c>
      <c r="E14" s="279">
        <v>4300000</v>
      </c>
      <c r="F14" s="279"/>
      <c r="G14" s="279">
        <f>G15</f>
        <v>700000</v>
      </c>
      <c r="H14" s="279">
        <f t="shared" si="0"/>
        <v>5000000</v>
      </c>
      <c r="I14" s="92"/>
      <c r="J14" s="92"/>
    </row>
    <row r="15" spans="1:10" ht="18" customHeight="1">
      <c r="A15" s="71"/>
      <c r="B15" s="275"/>
      <c r="C15" s="275"/>
      <c r="D15" s="276" t="s">
        <v>133</v>
      </c>
      <c r="E15" s="277">
        <v>300000</v>
      </c>
      <c r="F15" s="277"/>
      <c r="G15" s="277">
        <v>700000</v>
      </c>
      <c r="H15" s="277">
        <f t="shared" si="0"/>
        <v>1000000</v>
      </c>
      <c r="I15" s="92"/>
      <c r="J15" s="92"/>
    </row>
    <row r="16" spans="1:10" s="26" customFormat="1" ht="25.5" customHeight="1">
      <c r="A16" s="33"/>
      <c r="B16" s="222"/>
      <c r="C16" s="221">
        <v>6210</v>
      </c>
      <c r="D16" s="263" t="s">
        <v>112</v>
      </c>
      <c r="E16" s="225">
        <v>300000</v>
      </c>
      <c r="F16" s="225"/>
      <c r="G16" s="225">
        <f>G15</f>
        <v>700000</v>
      </c>
      <c r="H16" s="225">
        <f t="shared" si="0"/>
        <v>1000000</v>
      </c>
      <c r="I16" s="123"/>
      <c r="J16" s="123"/>
    </row>
    <row r="17" spans="1:10" ht="18.75" customHeight="1">
      <c r="A17" s="35">
        <v>750</v>
      </c>
      <c r="B17" s="20"/>
      <c r="C17" s="20"/>
      <c r="D17" s="36" t="s">
        <v>31</v>
      </c>
      <c r="E17" s="112">
        <v>53526000</v>
      </c>
      <c r="F17" s="112"/>
      <c r="G17" s="112">
        <f>G18+G24</f>
        <v>138637</v>
      </c>
      <c r="H17" s="112">
        <f t="shared" si="0"/>
        <v>53664637</v>
      </c>
      <c r="I17" s="92"/>
      <c r="J17" s="92"/>
    </row>
    <row r="18" spans="1:10" s="234" customFormat="1" ht="18.75" customHeight="1">
      <c r="A18" s="232"/>
      <c r="B18" s="235">
        <v>75023</v>
      </c>
      <c r="C18" s="235"/>
      <c r="D18" s="236" t="s">
        <v>32</v>
      </c>
      <c r="E18" s="237">
        <v>49746750</v>
      </c>
      <c r="F18" s="237"/>
      <c r="G18" s="237">
        <f>G19+G21</f>
        <v>138338</v>
      </c>
      <c r="H18" s="237">
        <f aca="true" t="shared" si="1" ref="H18:H23">G18+E18-F18</f>
        <v>49885088</v>
      </c>
      <c r="I18" s="233"/>
      <c r="J18" s="233"/>
    </row>
    <row r="19" spans="1:10" s="234" customFormat="1" ht="18.75" customHeight="1">
      <c r="A19" s="232"/>
      <c r="B19" s="280"/>
      <c r="C19" s="280"/>
      <c r="D19" s="260" t="s">
        <v>91</v>
      </c>
      <c r="E19" s="281">
        <v>9519517</v>
      </c>
      <c r="F19" s="281"/>
      <c r="G19" s="281">
        <f>G20</f>
        <v>38338</v>
      </c>
      <c r="H19" s="281">
        <f t="shared" si="1"/>
        <v>9557855</v>
      </c>
      <c r="I19" s="233"/>
      <c r="J19" s="233"/>
    </row>
    <row r="20" spans="1:10" s="284" customFormat="1" ht="18.75" customHeight="1">
      <c r="A20" s="282"/>
      <c r="B20" s="129"/>
      <c r="C20" s="252">
        <v>4425</v>
      </c>
      <c r="D20" s="263" t="s">
        <v>155</v>
      </c>
      <c r="E20" s="241"/>
      <c r="F20" s="241"/>
      <c r="G20" s="241">
        <v>38338</v>
      </c>
      <c r="H20" s="241">
        <f t="shared" si="1"/>
        <v>38338</v>
      </c>
      <c r="I20" s="283"/>
      <c r="J20" s="283"/>
    </row>
    <row r="21" spans="1:10" s="234" customFormat="1" ht="18.75" customHeight="1">
      <c r="A21" s="232"/>
      <c r="B21" s="12"/>
      <c r="C21" s="280"/>
      <c r="D21" s="260" t="s">
        <v>97</v>
      </c>
      <c r="E21" s="281">
        <v>2750000</v>
      </c>
      <c r="F21" s="281"/>
      <c r="G21" s="281">
        <f>G23</f>
        <v>100000</v>
      </c>
      <c r="H21" s="281">
        <f t="shared" si="1"/>
        <v>2850000</v>
      </c>
      <c r="I21" s="233"/>
      <c r="J21" s="233"/>
    </row>
    <row r="22" spans="1:10" s="284" customFormat="1" ht="18.75" customHeight="1">
      <c r="A22" s="282"/>
      <c r="B22" s="129"/>
      <c r="C22" s="129"/>
      <c r="D22" s="487" t="s">
        <v>190</v>
      </c>
      <c r="E22" s="488">
        <v>1250000</v>
      </c>
      <c r="F22" s="488"/>
      <c r="G22" s="488">
        <f>G23</f>
        <v>100000</v>
      </c>
      <c r="H22" s="488">
        <f t="shared" si="1"/>
        <v>1350000</v>
      </c>
      <c r="I22" s="283"/>
      <c r="J22" s="283"/>
    </row>
    <row r="23" spans="1:10" s="284" customFormat="1" ht="18.75" customHeight="1">
      <c r="A23" s="282"/>
      <c r="B23" s="252"/>
      <c r="C23" s="252">
        <v>6050</v>
      </c>
      <c r="D23" s="221" t="s">
        <v>118</v>
      </c>
      <c r="E23" s="241">
        <v>1950000</v>
      </c>
      <c r="F23" s="241"/>
      <c r="G23" s="241">
        <v>100000</v>
      </c>
      <c r="H23" s="241">
        <f t="shared" si="1"/>
        <v>2050000</v>
      </c>
      <c r="I23" s="283"/>
      <c r="J23" s="283"/>
    </row>
    <row r="24" spans="1:10" ht="18.75" customHeight="1">
      <c r="A24" s="71"/>
      <c r="B24" s="142">
        <v>75095</v>
      </c>
      <c r="C24" s="142"/>
      <c r="D24" s="38" t="s">
        <v>4</v>
      </c>
      <c r="E24" s="113">
        <v>2254250</v>
      </c>
      <c r="F24" s="113"/>
      <c r="G24" s="113">
        <f>G25</f>
        <v>299</v>
      </c>
      <c r="H24" s="120">
        <f t="shared" si="0"/>
        <v>2254549</v>
      </c>
      <c r="I24" s="92"/>
      <c r="J24" s="92"/>
    </row>
    <row r="25" spans="1:10" ht="18.75" customHeight="1">
      <c r="A25" s="71"/>
      <c r="B25" s="275"/>
      <c r="C25" s="275"/>
      <c r="D25" s="278" t="s">
        <v>90</v>
      </c>
      <c r="E25" s="279">
        <v>109250</v>
      </c>
      <c r="F25" s="279"/>
      <c r="G25" s="279">
        <f>G26</f>
        <v>299</v>
      </c>
      <c r="H25" s="279">
        <f t="shared" si="0"/>
        <v>109549</v>
      </c>
      <c r="I25" s="92"/>
      <c r="J25" s="92"/>
    </row>
    <row r="26" spans="1:10" s="114" customFormat="1" ht="18.75" customHeight="1">
      <c r="A26" s="271"/>
      <c r="B26" s="222"/>
      <c r="C26" s="222">
        <v>4210</v>
      </c>
      <c r="D26" s="221" t="s">
        <v>76</v>
      </c>
      <c r="E26" s="225">
        <v>15000</v>
      </c>
      <c r="F26" s="225"/>
      <c r="G26" s="225">
        <v>299</v>
      </c>
      <c r="H26" s="225">
        <f t="shared" si="0"/>
        <v>15299</v>
      </c>
      <c r="I26" s="286"/>
      <c r="J26" s="286"/>
    </row>
    <row r="27" spans="1:10" ht="18.75" customHeight="1">
      <c r="A27" s="35">
        <v>758</v>
      </c>
      <c r="B27" s="35"/>
      <c r="C27" s="35"/>
      <c r="D27" s="35" t="s">
        <v>84</v>
      </c>
      <c r="E27" s="112">
        <v>13921560</v>
      </c>
      <c r="F27" s="112">
        <f>F28</f>
        <v>715430</v>
      </c>
      <c r="G27" s="112"/>
      <c r="H27" s="112">
        <f t="shared" si="0"/>
        <v>13206130</v>
      </c>
      <c r="I27" s="92"/>
      <c r="J27" s="92"/>
    </row>
    <row r="28" spans="1:10" ht="18.75" customHeight="1">
      <c r="A28" s="39"/>
      <c r="B28" s="142">
        <v>75818</v>
      </c>
      <c r="C28" s="142"/>
      <c r="D28" s="37" t="s">
        <v>85</v>
      </c>
      <c r="E28" s="113">
        <v>11260016</v>
      </c>
      <c r="F28" s="113">
        <f>F29</f>
        <v>715430</v>
      </c>
      <c r="G28" s="113"/>
      <c r="H28" s="113">
        <f t="shared" si="0"/>
        <v>10544586</v>
      </c>
      <c r="I28" s="92"/>
      <c r="J28" s="92"/>
    </row>
    <row r="29" spans="1:10" ht="18.75" customHeight="1">
      <c r="A29" s="29"/>
      <c r="B29" s="285"/>
      <c r="C29" s="285"/>
      <c r="D29" s="278" t="s">
        <v>86</v>
      </c>
      <c r="E29" s="279">
        <v>5810016</v>
      </c>
      <c r="F29" s="279">
        <f>F30</f>
        <v>715430</v>
      </c>
      <c r="G29" s="279"/>
      <c r="H29" s="279">
        <f t="shared" si="0"/>
        <v>5094586</v>
      </c>
      <c r="I29" s="92"/>
      <c r="J29" s="92"/>
    </row>
    <row r="30" spans="1:10" s="114" customFormat="1" ht="18.75" customHeight="1">
      <c r="A30" s="271"/>
      <c r="B30" s="222"/>
      <c r="C30" s="222">
        <v>4810</v>
      </c>
      <c r="D30" s="221" t="s">
        <v>113</v>
      </c>
      <c r="E30" s="225">
        <v>5810016</v>
      </c>
      <c r="F30" s="225">
        <v>715430</v>
      </c>
      <c r="G30" s="225"/>
      <c r="H30" s="225">
        <f t="shared" si="0"/>
        <v>5094586</v>
      </c>
      <c r="I30" s="286"/>
      <c r="J30" s="286"/>
    </row>
    <row r="31" spans="1:10" ht="18.75" customHeight="1">
      <c r="A31" s="340">
        <v>801</v>
      </c>
      <c r="B31" s="340"/>
      <c r="C31" s="340"/>
      <c r="D31" s="340" t="s">
        <v>10</v>
      </c>
      <c r="E31" s="435">
        <v>322571075</v>
      </c>
      <c r="F31" s="435">
        <f>F32+F35+F41+F45</f>
        <v>10000</v>
      </c>
      <c r="G31" s="435">
        <f>G32+G35+G41+G45</f>
        <v>172750</v>
      </c>
      <c r="H31" s="435">
        <f t="shared" si="0"/>
        <v>322733825</v>
      </c>
      <c r="I31" s="92"/>
      <c r="J31" s="92"/>
    </row>
    <row r="32" spans="1:10" s="234" customFormat="1" ht="18.75" customHeight="1">
      <c r="A32" s="489"/>
      <c r="B32" s="238">
        <v>80101</v>
      </c>
      <c r="C32" s="238"/>
      <c r="D32" s="238" t="s">
        <v>92</v>
      </c>
      <c r="E32" s="237">
        <v>89974075</v>
      </c>
      <c r="F32" s="237"/>
      <c r="G32" s="237">
        <f>G33</f>
        <v>80000</v>
      </c>
      <c r="H32" s="237">
        <f>G32+E32-F32</f>
        <v>90054075</v>
      </c>
      <c r="I32" s="233"/>
      <c r="J32" s="233"/>
    </row>
    <row r="33" spans="1:10" s="234" customFormat="1" ht="18.75" customHeight="1">
      <c r="A33" s="232"/>
      <c r="B33" s="232"/>
      <c r="C33" s="232"/>
      <c r="D33" s="545" t="s">
        <v>91</v>
      </c>
      <c r="E33" s="546">
        <v>11908176</v>
      </c>
      <c r="F33" s="546"/>
      <c r="G33" s="546">
        <f>G34</f>
        <v>80000</v>
      </c>
      <c r="H33" s="546">
        <f>G33+E33-F33</f>
        <v>11988176</v>
      </c>
      <c r="I33" s="233"/>
      <c r="J33" s="233"/>
    </row>
    <row r="34" spans="1:10" s="284" customFormat="1" ht="18" customHeight="1">
      <c r="A34" s="282"/>
      <c r="B34" s="240"/>
      <c r="C34" s="240">
        <v>4270</v>
      </c>
      <c r="D34" s="240" t="s">
        <v>115</v>
      </c>
      <c r="E34" s="241">
        <v>717000</v>
      </c>
      <c r="F34" s="241"/>
      <c r="G34" s="241">
        <v>80000</v>
      </c>
      <c r="H34" s="241">
        <f>G34+E34-F34</f>
        <v>797000</v>
      </c>
      <c r="I34" s="283"/>
      <c r="J34" s="283"/>
    </row>
    <row r="35" spans="1:10" ht="18" customHeight="1">
      <c r="A35" s="28"/>
      <c r="B35" s="37">
        <v>80104</v>
      </c>
      <c r="C35" s="37"/>
      <c r="D35" s="37" t="s">
        <v>11</v>
      </c>
      <c r="E35" s="113">
        <v>47684800</v>
      </c>
      <c r="F35" s="113">
        <f>F36</f>
        <v>10000</v>
      </c>
      <c r="G35" s="113">
        <f>G36</f>
        <v>10000</v>
      </c>
      <c r="H35" s="113">
        <f t="shared" si="0"/>
        <v>47684800</v>
      </c>
      <c r="I35" s="92"/>
      <c r="J35" s="92"/>
    </row>
    <row r="36" spans="1:10" ht="18.75" customHeight="1">
      <c r="A36" s="28"/>
      <c r="B36" s="135"/>
      <c r="C36" s="135"/>
      <c r="D36" s="126" t="s">
        <v>60</v>
      </c>
      <c r="E36" s="148">
        <v>46159800</v>
      </c>
      <c r="F36" s="148">
        <f>F37+F39</f>
        <v>10000</v>
      </c>
      <c r="G36" s="148">
        <f>G37+G39</f>
        <v>10000</v>
      </c>
      <c r="H36" s="148">
        <f t="shared" si="0"/>
        <v>46159800</v>
      </c>
      <c r="I36" s="92"/>
      <c r="J36" s="92"/>
    </row>
    <row r="37" spans="1:10" ht="18.75" customHeight="1">
      <c r="A37" s="28"/>
      <c r="B37" s="28"/>
      <c r="C37" s="28"/>
      <c r="D37" s="217" t="s">
        <v>61</v>
      </c>
      <c r="E37" s="218">
        <v>4300000</v>
      </c>
      <c r="F37" s="218">
        <f>F38</f>
        <v>10000</v>
      </c>
      <c r="G37" s="218"/>
      <c r="H37" s="218">
        <f t="shared" si="0"/>
        <v>4290000</v>
      </c>
      <c r="I37" s="92"/>
      <c r="J37" s="92"/>
    </row>
    <row r="38" spans="1:10" ht="18.75" customHeight="1">
      <c r="A38" s="28"/>
      <c r="B38" s="28"/>
      <c r="C38" s="271">
        <v>2540</v>
      </c>
      <c r="D38" s="221" t="s">
        <v>114</v>
      </c>
      <c r="E38" s="225">
        <v>2902169</v>
      </c>
      <c r="F38" s="225">
        <v>10000</v>
      </c>
      <c r="G38" s="225"/>
      <c r="H38" s="225">
        <f t="shared" si="0"/>
        <v>2892169</v>
      </c>
      <c r="I38" s="92"/>
      <c r="J38" s="92"/>
    </row>
    <row r="39" spans="1:10" ht="18.75" customHeight="1">
      <c r="A39" s="28"/>
      <c r="B39" s="28"/>
      <c r="C39" s="28"/>
      <c r="D39" s="278" t="s">
        <v>81</v>
      </c>
      <c r="E39" s="279"/>
      <c r="F39" s="279"/>
      <c r="G39" s="279">
        <f>G40</f>
        <v>10000</v>
      </c>
      <c r="H39" s="279">
        <f t="shared" si="0"/>
        <v>10000</v>
      </c>
      <c r="I39" s="92"/>
      <c r="J39" s="92"/>
    </row>
    <row r="40" spans="1:10" s="114" customFormat="1" ht="18.75" customHeight="1">
      <c r="A40" s="270"/>
      <c r="B40" s="271"/>
      <c r="C40" s="271">
        <v>4300</v>
      </c>
      <c r="D40" s="221" t="s">
        <v>52</v>
      </c>
      <c r="E40" s="225"/>
      <c r="F40" s="225"/>
      <c r="G40" s="225">
        <v>10000</v>
      </c>
      <c r="H40" s="225">
        <f t="shared" si="0"/>
        <v>10000</v>
      </c>
      <c r="I40" s="286"/>
      <c r="J40" s="286"/>
    </row>
    <row r="41" spans="1:10" s="32" customFormat="1" ht="18.75" customHeight="1">
      <c r="A41" s="29"/>
      <c r="B41" s="37">
        <v>80110</v>
      </c>
      <c r="C41" s="37"/>
      <c r="D41" s="38" t="s">
        <v>156</v>
      </c>
      <c r="E41" s="113">
        <v>51416020</v>
      </c>
      <c r="F41" s="113"/>
      <c r="G41" s="113">
        <f>G42</f>
        <v>75000</v>
      </c>
      <c r="H41" s="113">
        <f t="shared" si="0"/>
        <v>51491020</v>
      </c>
      <c r="I41" s="389"/>
      <c r="J41" s="389"/>
    </row>
    <row r="42" spans="1:10" s="26" customFormat="1" ht="18.75" customHeight="1">
      <c r="A42" s="28"/>
      <c r="B42" s="135"/>
      <c r="C42" s="135"/>
      <c r="D42" s="278" t="s">
        <v>56</v>
      </c>
      <c r="E42" s="279">
        <v>3234938</v>
      </c>
      <c r="F42" s="279"/>
      <c r="G42" s="279">
        <f>G44</f>
        <v>75000</v>
      </c>
      <c r="H42" s="279">
        <f t="shared" si="0"/>
        <v>3309938</v>
      </c>
      <c r="I42" s="123"/>
      <c r="J42" s="123"/>
    </row>
    <row r="43" spans="1:10" s="114" customFormat="1" ht="18.75" customHeight="1">
      <c r="A43" s="270"/>
      <c r="B43" s="270"/>
      <c r="C43" s="270"/>
      <c r="D43" s="276" t="s">
        <v>192</v>
      </c>
      <c r="E43" s="277">
        <v>481705</v>
      </c>
      <c r="F43" s="277"/>
      <c r="G43" s="277">
        <f>G44</f>
        <v>75000</v>
      </c>
      <c r="H43" s="277">
        <f t="shared" si="0"/>
        <v>556705</v>
      </c>
      <c r="I43" s="286"/>
      <c r="J43" s="286"/>
    </row>
    <row r="44" spans="1:10" s="114" customFormat="1" ht="18.75" customHeight="1">
      <c r="A44" s="270"/>
      <c r="B44" s="271"/>
      <c r="C44" s="252">
        <v>6050</v>
      </c>
      <c r="D44" s="221" t="s">
        <v>118</v>
      </c>
      <c r="E44" s="225">
        <v>3212000</v>
      </c>
      <c r="F44" s="225"/>
      <c r="G44" s="225">
        <v>75000</v>
      </c>
      <c r="H44" s="225">
        <f t="shared" si="0"/>
        <v>3287000</v>
      </c>
      <c r="I44" s="286"/>
      <c r="J44" s="286"/>
    </row>
    <row r="45" spans="1:10" ht="18.75" customHeight="1">
      <c r="A45" s="28"/>
      <c r="B45" s="37">
        <v>80195</v>
      </c>
      <c r="C45" s="37"/>
      <c r="D45" s="37" t="s">
        <v>4</v>
      </c>
      <c r="E45" s="113">
        <v>2326000</v>
      </c>
      <c r="F45" s="113"/>
      <c r="G45" s="113">
        <f>G46</f>
        <v>7750</v>
      </c>
      <c r="H45" s="113">
        <f t="shared" si="0"/>
        <v>2333750</v>
      </c>
      <c r="I45" s="92"/>
      <c r="J45" s="92"/>
    </row>
    <row r="46" spans="1:10" ht="25.5" customHeight="1">
      <c r="A46" s="28"/>
      <c r="B46" s="135"/>
      <c r="C46" s="135"/>
      <c r="D46" s="278" t="s">
        <v>117</v>
      </c>
      <c r="E46" s="279">
        <v>2300000</v>
      </c>
      <c r="F46" s="279"/>
      <c r="G46" s="279">
        <f>G47</f>
        <v>7750</v>
      </c>
      <c r="H46" s="279">
        <f t="shared" si="0"/>
        <v>2307750</v>
      </c>
      <c r="I46" s="92"/>
      <c r="J46" s="92"/>
    </row>
    <row r="47" spans="1:10" s="114" customFormat="1" ht="18.75" customHeight="1">
      <c r="A47" s="271"/>
      <c r="B47" s="271"/>
      <c r="C47" s="271">
        <v>4440</v>
      </c>
      <c r="D47" s="221" t="s">
        <v>116</v>
      </c>
      <c r="E47" s="225">
        <v>2292500</v>
      </c>
      <c r="F47" s="225"/>
      <c r="G47" s="225">
        <v>7750</v>
      </c>
      <c r="H47" s="225">
        <f t="shared" si="0"/>
        <v>2300250</v>
      </c>
      <c r="I47" s="286"/>
      <c r="J47" s="286"/>
    </row>
    <row r="48" spans="1:10" ht="18.75" customHeight="1">
      <c r="A48" s="35">
        <v>851</v>
      </c>
      <c r="B48" s="35"/>
      <c r="C48" s="35"/>
      <c r="D48" s="36" t="s">
        <v>59</v>
      </c>
      <c r="E48" s="112">
        <v>12830000</v>
      </c>
      <c r="F48" s="112">
        <f>F49+F55+F61</f>
        <v>620000</v>
      </c>
      <c r="G48" s="112">
        <f>G49+G55+G61</f>
        <v>445000</v>
      </c>
      <c r="H48" s="112">
        <f t="shared" si="0"/>
        <v>12655000</v>
      </c>
      <c r="I48" s="92"/>
      <c r="J48" s="92"/>
    </row>
    <row r="49" spans="1:10" ht="18.75" customHeight="1">
      <c r="A49" s="135"/>
      <c r="B49" s="37">
        <v>85121</v>
      </c>
      <c r="C49" s="37"/>
      <c r="D49" s="38" t="s">
        <v>157</v>
      </c>
      <c r="E49" s="113">
        <v>7000000</v>
      </c>
      <c r="F49" s="113">
        <f>F50+F52</f>
        <v>250000</v>
      </c>
      <c r="G49" s="113">
        <f>G50+G52</f>
        <v>250000</v>
      </c>
      <c r="H49" s="113">
        <f t="shared" si="0"/>
        <v>7000000</v>
      </c>
      <c r="I49" s="92"/>
      <c r="J49" s="92"/>
    </row>
    <row r="50" spans="1:10" ht="19.5" customHeight="1">
      <c r="A50" s="28"/>
      <c r="B50" s="28"/>
      <c r="C50" s="28"/>
      <c r="D50" s="278" t="s">
        <v>158</v>
      </c>
      <c r="E50" s="279">
        <v>5750000</v>
      </c>
      <c r="F50" s="279">
        <f>F51</f>
        <v>250000</v>
      </c>
      <c r="G50" s="279"/>
      <c r="H50" s="279">
        <f t="shared" si="0"/>
        <v>5500000</v>
      </c>
      <c r="I50" s="92"/>
      <c r="J50" s="92"/>
    </row>
    <row r="51" spans="1:10" s="114" customFormat="1" ht="39" customHeight="1">
      <c r="A51" s="270"/>
      <c r="B51" s="270"/>
      <c r="C51" s="271">
        <v>4160</v>
      </c>
      <c r="D51" s="221" t="s">
        <v>159</v>
      </c>
      <c r="E51" s="225">
        <v>5750000</v>
      </c>
      <c r="F51" s="225">
        <v>250000</v>
      </c>
      <c r="G51" s="225"/>
      <c r="H51" s="225">
        <f t="shared" si="0"/>
        <v>5500000</v>
      </c>
      <c r="I51" s="286"/>
      <c r="J51" s="286"/>
    </row>
    <row r="52" spans="1:10" s="26" customFormat="1" ht="18.75" customHeight="1">
      <c r="A52" s="28"/>
      <c r="B52" s="28"/>
      <c r="C52" s="135"/>
      <c r="D52" s="278" t="s">
        <v>56</v>
      </c>
      <c r="E52" s="279">
        <v>250000</v>
      </c>
      <c r="F52" s="279"/>
      <c r="G52" s="279">
        <f>G54</f>
        <v>250000</v>
      </c>
      <c r="H52" s="279">
        <f t="shared" si="0"/>
        <v>500000</v>
      </c>
      <c r="I52" s="123"/>
      <c r="J52" s="123"/>
    </row>
    <row r="53" spans="1:10" s="114" customFormat="1" ht="18.75" customHeight="1">
      <c r="A53" s="270"/>
      <c r="B53" s="270"/>
      <c r="C53" s="270"/>
      <c r="D53" s="484" t="s">
        <v>193</v>
      </c>
      <c r="E53" s="479"/>
      <c r="F53" s="479"/>
      <c r="G53" s="479">
        <f>G54</f>
        <v>250000</v>
      </c>
      <c r="H53" s="479">
        <f t="shared" si="0"/>
        <v>250000</v>
      </c>
      <c r="I53" s="286"/>
      <c r="J53" s="286"/>
    </row>
    <row r="54" spans="1:10" s="114" customFormat="1" ht="18.75" customHeight="1">
      <c r="A54" s="270"/>
      <c r="B54" s="271"/>
      <c r="C54" s="252">
        <v>6050</v>
      </c>
      <c r="D54" s="221" t="s">
        <v>118</v>
      </c>
      <c r="E54" s="225">
        <v>250000</v>
      </c>
      <c r="F54" s="225"/>
      <c r="G54" s="225">
        <v>250000</v>
      </c>
      <c r="H54" s="225">
        <f t="shared" si="0"/>
        <v>500000</v>
      </c>
      <c r="I54" s="286"/>
      <c r="J54" s="286"/>
    </row>
    <row r="55" spans="1:10" s="32" customFormat="1" ht="19.5" customHeight="1">
      <c r="A55" s="29"/>
      <c r="B55" s="37">
        <v>85154</v>
      </c>
      <c r="C55" s="37"/>
      <c r="D55" s="38" t="s">
        <v>204</v>
      </c>
      <c r="E55" s="113">
        <v>5000000</v>
      </c>
      <c r="F55" s="113">
        <f>F56</f>
        <v>195000</v>
      </c>
      <c r="G55" s="113">
        <f>G56</f>
        <v>195000</v>
      </c>
      <c r="H55" s="113">
        <f t="shared" si="0"/>
        <v>5000000</v>
      </c>
      <c r="I55" s="389"/>
      <c r="J55" s="389"/>
    </row>
    <row r="56" spans="1:10" s="26" customFormat="1" ht="25.5" customHeight="1">
      <c r="A56" s="28"/>
      <c r="B56" s="135"/>
      <c r="C56" s="135"/>
      <c r="D56" s="278" t="s">
        <v>205</v>
      </c>
      <c r="E56" s="279">
        <v>5000000</v>
      </c>
      <c r="F56" s="279">
        <f>F57</f>
        <v>195000</v>
      </c>
      <c r="G56" s="279">
        <f>G57</f>
        <v>195000</v>
      </c>
      <c r="H56" s="279">
        <f t="shared" si="0"/>
        <v>5000000</v>
      </c>
      <c r="I56" s="123"/>
      <c r="J56" s="123"/>
    </row>
    <row r="57" spans="1:10" s="26" customFormat="1" ht="39" customHeight="1">
      <c r="A57" s="28"/>
      <c r="B57" s="28"/>
      <c r="C57" s="28"/>
      <c r="D57" s="402" t="s">
        <v>206</v>
      </c>
      <c r="E57" s="403">
        <v>900000</v>
      </c>
      <c r="F57" s="403">
        <f>SUM(F58:F60)</f>
        <v>195000</v>
      </c>
      <c r="G57" s="403">
        <f>SUM(G58:G60)</f>
        <v>195000</v>
      </c>
      <c r="H57" s="403">
        <f t="shared" si="0"/>
        <v>900000</v>
      </c>
      <c r="I57" s="123"/>
      <c r="J57" s="123"/>
    </row>
    <row r="58" spans="1:10" s="114" customFormat="1" ht="25.5" customHeight="1">
      <c r="A58" s="270"/>
      <c r="B58" s="270"/>
      <c r="C58" s="129">
        <v>2820</v>
      </c>
      <c r="D58" s="221" t="s">
        <v>135</v>
      </c>
      <c r="E58" s="225">
        <v>135000</v>
      </c>
      <c r="F58" s="225"/>
      <c r="G58" s="225">
        <v>117500</v>
      </c>
      <c r="H58" s="225">
        <f t="shared" si="0"/>
        <v>252500</v>
      </c>
      <c r="I58" s="286"/>
      <c r="J58" s="286"/>
    </row>
    <row r="59" spans="1:10" s="114" customFormat="1" ht="39" customHeight="1">
      <c r="A59" s="270"/>
      <c r="B59" s="270"/>
      <c r="C59" s="514">
        <v>2830</v>
      </c>
      <c r="D59" s="221" t="s">
        <v>269</v>
      </c>
      <c r="E59" s="225">
        <v>39000</v>
      </c>
      <c r="F59" s="225"/>
      <c r="G59" s="225">
        <v>77500</v>
      </c>
      <c r="H59" s="225">
        <f t="shared" si="0"/>
        <v>116500</v>
      </c>
      <c r="I59" s="286"/>
      <c r="J59" s="286"/>
    </row>
    <row r="60" spans="1:10" s="114" customFormat="1" ht="19.5" customHeight="1">
      <c r="A60" s="271"/>
      <c r="B60" s="271"/>
      <c r="C60" s="252">
        <v>4300</v>
      </c>
      <c r="D60" s="221" t="s">
        <v>52</v>
      </c>
      <c r="E60" s="225">
        <v>275203</v>
      </c>
      <c r="F60" s="225">
        <v>195000</v>
      </c>
      <c r="G60" s="225"/>
      <c r="H60" s="225">
        <f t="shared" si="0"/>
        <v>80203</v>
      </c>
      <c r="I60" s="286"/>
      <c r="J60" s="286"/>
    </row>
    <row r="61" spans="1:10" s="32" customFormat="1" ht="19.5" customHeight="1">
      <c r="A61" s="29"/>
      <c r="B61" s="37">
        <v>85195</v>
      </c>
      <c r="C61" s="37"/>
      <c r="D61" s="38" t="s">
        <v>4</v>
      </c>
      <c r="E61" s="113">
        <v>620000</v>
      </c>
      <c r="F61" s="113">
        <f>F62</f>
        <v>175000</v>
      </c>
      <c r="G61" s="113"/>
      <c r="H61" s="113">
        <f t="shared" si="0"/>
        <v>445000</v>
      </c>
      <c r="I61" s="389"/>
      <c r="J61" s="389"/>
    </row>
    <row r="62" spans="1:10" s="26" customFormat="1" ht="25.5" customHeight="1">
      <c r="A62" s="28"/>
      <c r="B62" s="135"/>
      <c r="C62" s="135"/>
      <c r="D62" s="278" t="s">
        <v>160</v>
      </c>
      <c r="E62" s="279">
        <v>600000</v>
      </c>
      <c r="F62" s="279">
        <f>F63</f>
        <v>175000</v>
      </c>
      <c r="G62" s="279"/>
      <c r="H62" s="279">
        <f t="shared" si="0"/>
        <v>425000</v>
      </c>
      <c r="I62" s="123"/>
      <c r="J62" s="123"/>
    </row>
    <row r="63" spans="1:10" s="26" customFormat="1" ht="25.5" customHeight="1">
      <c r="A63" s="28"/>
      <c r="B63" s="28"/>
      <c r="C63" s="28"/>
      <c r="D63" s="402" t="s">
        <v>161</v>
      </c>
      <c r="E63" s="403">
        <v>325000</v>
      </c>
      <c r="F63" s="403">
        <f>SUM(F64:F65)</f>
        <v>175000</v>
      </c>
      <c r="G63" s="403"/>
      <c r="H63" s="403">
        <f t="shared" si="0"/>
        <v>150000</v>
      </c>
      <c r="I63" s="123"/>
      <c r="J63" s="123"/>
    </row>
    <row r="64" spans="1:10" s="114" customFormat="1" ht="25.5" customHeight="1">
      <c r="A64" s="270"/>
      <c r="B64" s="270"/>
      <c r="C64" s="271">
        <v>2820</v>
      </c>
      <c r="D64" s="221" t="s">
        <v>135</v>
      </c>
      <c r="E64" s="225">
        <v>226800</v>
      </c>
      <c r="F64" s="225">
        <v>131800</v>
      </c>
      <c r="G64" s="225"/>
      <c r="H64" s="225">
        <f t="shared" si="0"/>
        <v>95000</v>
      </c>
      <c r="I64" s="286"/>
      <c r="J64" s="286"/>
    </row>
    <row r="65" spans="1:10" s="114" customFormat="1" ht="19.5" customHeight="1">
      <c r="A65" s="271"/>
      <c r="B65" s="271"/>
      <c r="C65" s="353">
        <v>4300</v>
      </c>
      <c r="D65" s="221" t="s">
        <v>52</v>
      </c>
      <c r="E65" s="225">
        <v>81700</v>
      </c>
      <c r="F65" s="225">
        <v>43200</v>
      </c>
      <c r="G65" s="225"/>
      <c r="H65" s="225">
        <f t="shared" si="0"/>
        <v>38500</v>
      </c>
      <c r="I65" s="286"/>
      <c r="J65" s="286"/>
    </row>
    <row r="66" spans="1:10" ht="19.5" customHeight="1">
      <c r="A66" s="35">
        <v>852</v>
      </c>
      <c r="B66" s="35"/>
      <c r="C66" s="35"/>
      <c r="D66" s="36" t="s">
        <v>12</v>
      </c>
      <c r="E66" s="112">
        <v>84983690</v>
      </c>
      <c r="F66" s="112"/>
      <c r="G66" s="112">
        <f>G67</f>
        <v>200000</v>
      </c>
      <c r="H66" s="112">
        <f t="shared" si="0"/>
        <v>85183690</v>
      </c>
      <c r="I66" s="92"/>
      <c r="J66" s="92"/>
    </row>
    <row r="67" spans="1:10" ht="19.5" customHeight="1">
      <c r="A67" s="135"/>
      <c r="B67" s="37">
        <v>85201</v>
      </c>
      <c r="C67" s="37"/>
      <c r="D67" s="38" t="s">
        <v>88</v>
      </c>
      <c r="E67" s="113">
        <v>10301900</v>
      </c>
      <c r="F67" s="113"/>
      <c r="G67" s="113">
        <f>G68</f>
        <v>200000</v>
      </c>
      <c r="H67" s="113">
        <f t="shared" si="0"/>
        <v>10501900</v>
      </c>
      <c r="I67" s="92"/>
      <c r="J67" s="92"/>
    </row>
    <row r="68" spans="1:10" ht="19.5" customHeight="1">
      <c r="A68" s="28"/>
      <c r="B68" s="28"/>
      <c r="C68" s="28"/>
      <c r="D68" s="278" t="s">
        <v>56</v>
      </c>
      <c r="E68" s="279">
        <v>897210</v>
      </c>
      <c r="F68" s="279"/>
      <c r="G68" s="279">
        <f>G70</f>
        <v>200000</v>
      </c>
      <c r="H68" s="279">
        <f t="shared" si="0"/>
        <v>1097210</v>
      </c>
      <c r="I68" s="92"/>
      <c r="J68" s="92"/>
    </row>
    <row r="69" spans="1:10" s="114" customFormat="1" ht="19.5" customHeight="1">
      <c r="A69" s="270"/>
      <c r="B69" s="270"/>
      <c r="C69" s="270"/>
      <c r="D69" s="276" t="s">
        <v>195</v>
      </c>
      <c r="E69" s="277">
        <v>297210</v>
      </c>
      <c r="F69" s="277"/>
      <c r="G69" s="277">
        <f>G70</f>
        <v>200000</v>
      </c>
      <c r="H69" s="277">
        <f t="shared" si="0"/>
        <v>497210</v>
      </c>
      <c r="I69" s="286"/>
      <c r="J69" s="286"/>
    </row>
    <row r="70" spans="1:10" s="114" customFormat="1" ht="19.5" customHeight="1">
      <c r="A70" s="271"/>
      <c r="B70" s="271"/>
      <c r="C70" s="271">
        <v>6050</v>
      </c>
      <c r="D70" s="221" t="s">
        <v>118</v>
      </c>
      <c r="E70" s="225">
        <v>897210</v>
      </c>
      <c r="F70" s="225"/>
      <c r="G70" s="225">
        <v>200000</v>
      </c>
      <c r="H70" s="225">
        <f t="shared" si="0"/>
        <v>1097210</v>
      </c>
      <c r="I70" s="286"/>
      <c r="J70" s="286"/>
    </row>
    <row r="71" spans="1:8" ht="18.75" customHeight="1">
      <c r="A71" s="35">
        <v>854</v>
      </c>
      <c r="B71" s="35"/>
      <c r="C71" s="35"/>
      <c r="D71" s="35" t="s">
        <v>13</v>
      </c>
      <c r="E71" s="112">
        <v>38988812</v>
      </c>
      <c r="F71" s="112">
        <f>F72+F75</f>
        <v>32250</v>
      </c>
      <c r="G71" s="112">
        <f>G72+G75</f>
        <v>24500</v>
      </c>
      <c r="H71" s="112">
        <f t="shared" si="0"/>
        <v>38981062</v>
      </c>
    </row>
    <row r="72" spans="1:10" ht="19.5" customHeight="1">
      <c r="A72" s="39"/>
      <c r="B72" s="30">
        <v>85495</v>
      </c>
      <c r="C72" s="30"/>
      <c r="D72" s="30" t="s">
        <v>4</v>
      </c>
      <c r="E72" s="120">
        <v>6026000</v>
      </c>
      <c r="F72" s="120">
        <f>F73</f>
        <v>7750</v>
      </c>
      <c r="G72" s="120"/>
      <c r="H72" s="120">
        <f t="shared" si="0"/>
        <v>6018250</v>
      </c>
      <c r="I72" s="92"/>
      <c r="J72" s="92"/>
    </row>
    <row r="73" spans="1:10" ht="25.5" customHeight="1">
      <c r="A73" s="29"/>
      <c r="B73" s="28"/>
      <c r="C73" s="28"/>
      <c r="D73" s="278" t="s">
        <v>117</v>
      </c>
      <c r="E73" s="279">
        <v>200000</v>
      </c>
      <c r="F73" s="279">
        <f>F74</f>
        <v>7750</v>
      </c>
      <c r="G73" s="279"/>
      <c r="H73" s="279">
        <f t="shared" si="0"/>
        <v>192250</v>
      </c>
      <c r="I73" s="92"/>
      <c r="J73" s="92"/>
    </row>
    <row r="74" spans="1:10" ht="19.5" customHeight="1">
      <c r="A74" s="29"/>
      <c r="B74" s="33"/>
      <c r="C74" s="271">
        <v>4440</v>
      </c>
      <c r="D74" s="221" t="s">
        <v>116</v>
      </c>
      <c r="E74" s="225">
        <v>200000</v>
      </c>
      <c r="F74" s="225">
        <v>7750</v>
      </c>
      <c r="G74" s="225"/>
      <c r="H74" s="225">
        <f t="shared" si="0"/>
        <v>192250</v>
      </c>
      <c r="I74" s="92"/>
      <c r="J74" s="92"/>
    </row>
    <row r="75" spans="1:10" ht="25.5" customHeight="1">
      <c r="A75" s="29"/>
      <c r="B75" s="30">
        <v>85412</v>
      </c>
      <c r="C75" s="30"/>
      <c r="D75" s="515" t="s">
        <v>270</v>
      </c>
      <c r="E75" s="120">
        <v>150000</v>
      </c>
      <c r="F75" s="120">
        <f>F76</f>
        <v>24500</v>
      </c>
      <c r="G75" s="120">
        <f>G76</f>
        <v>24500</v>
      </c>
      <c r="H75" s="120">
        <f t="shared" si="0"/>
        <v>150000</v>
      </c>
      <c r="I75" s="92"/>
      <c r="J75" s="92"/>
    </row>
    <row r="76" spans="1:10" ht="25.5" customHeight="1">
      <c r="A76" s="29"/>
      <c r="B76" s="28"/>
      <c r="C76" s="28"/>
      <c r="D76" s="278" t="s">
        <v>272</v>
      </c>
      <c r="E76" s="279">
        <v>150000</v>
      </c>
      <c r="F76" s="279">
        <f>F77</f>
        <v>24500</v>
      </c>
      <c r="G76" s="279">
        <f>G77</f>
        <v>24500</v>
      </c>
      <c r="H76" s="279">
        <f t="shared" si="0"/>
        <v>150000</v>
      </c>
      <c r="I76" s="92"/>
      <c r="J76" s="92"/>
    </row>
    <row r="77" spans="1:10" ht="19.5" customHeight="1">
      <c r="A77" s="29"/>
      <c r="B77" s="28"/>
      <c r="C77" s="270"/>
      <c r="D77" s="484" t="s">
        <v>271</v>
      </c>
      <c r="E77" s="479">
        <v>94000</v>
      </c>
      <c r="F77" s="479">
        <f>SUM(F78:F79)</f>
        <v>24500</v>
      </c>
      <c r="G77" s="479">
        <f>SUM(G78:G79)</f>
        <v>24500</v>
      </c>
      <c r="H77" s="479">
        <f t="shared" si="0"/>
        <v>94000</v>
      </c>
      <c r="I77" s="92"/>
      <c r="J77" s="92"/>
    </row>
    <row r="78" spans="1:10" ht="25.5" customHeight="1">
      <c r="A78" s="29"/>
      <c r="B78" s="28"/>
      <c r="C78" s="271">
        <v>2820</v>
      </c>
      <c r="D78" s="221" t="s">
        <v>135</v>
      </c>
      <c r="E78" s="225">
        <v>94000</v>
      </c>
      <c r="F78" s="225">
        <v>24500</v>
      </c>
      <c r="G78" s="225"/>
      <c r="H78" s="225">
        <f t="shared" si="0"/>
        <v>69500</v>
      </c>
      <c r="I78" s="92"/>
      <c r="J78" s="92"/>
    </row>
    <row r="79" spans="1:10" ht="19.5" customHeight="1">
      <c r="A79" s="37"/>
      <c r="B79" s="33"/>
      <c r="C79" s="271">
        <v>4300</v>
      </c>
      <c r="D79" s="221" t="s">
        <v>52</v>
      </c>
      <c r="E79" s="225"/>
      <c r="F79" s="225"/>
      <c r="G79" s="225">
        <v>24500</v>
      </c>
      <c r="H79" s="225">
        <f t="shared" si="0"/>
        <v>24500</v>
      </c>
      <c r="I79" s="92"/>
      <c r="J79" s="92"/>
    </row>
    <row r="80" spans="1:10" ht="20.25" customHeight="1">
      <c r="A80" s="20">
        <v>900</v>
      </c>
      <c r="B80" s="35"/>
      <c r="C80" s="35"/>
      <c r="D80" s="36" t="s">
        <v>21</v>
      </c>
      <c r="E80" s="112">
        <v>45278000</v>
      </c>
      <c r="F80" s="112"/>
      <c r="G80" s="112">
        <f>G81+G85</f>
        <v>2390000</v>
      </c>
      <c r="H80" s="112">
        <f t="shared" si="0"/>
        <v>47668000</v>
      </c>
      <c r="I80" s="92"/>
      <c r="J80" s="92"/>
    </row>
    <row r="81" spans="1:10" s="26" customFormat="1" ht="19.5" customHeight="1">
      <c r="A81" s="39"/>
      <c r="B81" s="37">
        <v>90013</v>
      </c>
      <c r="C81" s="37"/>
      <c r="D81" s="30" t="s">
        <v>119</v>
      </c>
      <c r="E81" s="113">
        <v>410000</v>
      </c>
      <c r="F81" s="113"/>
      <c r="G81" s="113">
        <f>G82</f>
        <v>180000</v>
      </c>
      <c r="H81" s="113">
        <f t="shared" si="0"/>
        <v>590000</v>
      </c>
      <c r="I81" s="123"/>
      <c r="J81" s="123"/>
    </row>
    <row r="82" spans="1:10" s="26" customFormat="1" ht="19.5" customHeight="1">
      <c r="A82" s="29"/>
      <c r="B82" s="135"/>
      <c r="C82" s="135"/>
      <c r="D82" s="288" t="s">
        <v>56</v>
      </c>
      <c r="E82" s="279">
        <v>100000</v>
      </c>
      <c r="F82" s="279"/>
      <c r="G82" s="279">
        <f>G84</f>
        <v>180000</v>
      </c>
      <c r="H82" s="279">
        <f t="shared" si="0"/>
        <v>280000</v>
      </c>
      <c r="I82" s="123"/>
      <c r="J82" s="123"/>
    </row>
    <row r="83" spans="1:10" s="114" customFormat="1" ht="19.5" customHeight="1">
      <c r="A83" s="270"/>
      <c r="B83" s="270"/>
      <c r="C83" s="270"/>
      <c r="D83" s="478" t="s">
        <v>194</v>
      </c>
      <c r="E83" s="479">
        <v>100000</v>
      </c>
      <c r="F83" s="479"/>
      <c r="G83" s="479">
        <f>G84</f>
        <v>180000</v>
      </c>
      <c r="H83" s="479">
        <f t="shared" si="0"/>
        <v>280000</v>
      </c>
      <c r="I83" s="286"/>
      <c r="J83" s="286"/>
    </row>
    <row r="84" spans="1:10" s="26" customFormat="1" ht="19.5" customHeight="1">
      <c r="A84" s="29"/>
      <c r="B84" s="33"/>
      <c r="C84" s="271">
        <v>6050</v>
      </c>
      <c r="D84" s="221" t="s">
        <v>118</v>
      </c>
      <c r="E84" s="225">
        <v>100000</v>
      </c>
      <c r="F84" s="225"/>
      <c r="G84" s="225">
        <v>180000</v>
      </c>
      <c r="H84" s="225">
        <f t="shared" si="0"/>
        <v>280000</v>
      </c>
      <c r="I84" s="123"/>
      <c r="J84" s="123"/>
    </row>
    <row r="85" spans="1:10" ht="19.5" customHeight="1">
      <c r="A85" s="29"/>
      <c r="B85" s="37">
        <v>90095</v>
      </c>
      <c r="C85" s="37"/>
      <c r="D85" s="30" t="s">
        <v>4</v>
      </c>
      <c r="E85" s="113">
        <v>9483000</v>
      </c>
      <c r="F85" s="113"/>
      <c r="G85" s="113">
        <f>G86</f>
        <v>2210000</v>
      </c>
      <c r="H85" s="113">
        <f t="shared" si="0"/>
        <v>11693000</v>
      </c>
      <c r="I85" s="92"/>
      <c r="J85" s="92"/>
    </row>
    <row r="86" spans="1:10" ht="19.5" customHeight="1">
      <c r="A86" s="29"/>
      <c r="B86" s="135"/>
      <c r="C86" s="135"/>
      <c r="D86" s="288" t="s">
        <v>56</v>
      </c>
      <c r="E86" s="279">
        <v>9400000</v>
      </c>
      <c r="F86" s="279"/>
      <c r="G86" s="279">
        <f>G88</f>
        <v>2210000</v>
      </c>
      <c r="H86" s="279">
        <f t="shared" si="0"/>
        <v>11610000</v>
      </c>
      <c r="I86" s="92"/>
      <c r="J86" s="92"/>
    </row>
    <row r="87" spans="1:10" s="114" customFormat="1" ht="19.5" customHeight="1">
      <c r="A87" s="270"/>
      <c r="B87" s="270"/>
      <c r="C87" s="270"/>
      <c r="D87" s="482" t="s">
        <v>191</v>
      </c>
      <c r="E87" s="277">
        <v>1900000</v>
      </c>
      <c r="F87" s="277"/>
      <c r="G87" s="277">
        <f>G88</f>
        <v>2210000</v>
      </c>
      <c r="H87" s="277">
        <f t="shared" si="0"/>
        <v>4110000</v>
      </c>
      <c r="I87" s="286"/>
      <c r="J87" s="286"/>
    </row>
    <row r="88" spans="1:10" ht="19.5" customHeight="1">
      <c r="A88" s="37"/>
      <c r="B88" s="33"/>
      <c r="C88" s="271">
        <v>6050</v>
      </c>
      <c r="D88" s="221" t="s">
        <v>118</v>
      </c>
      <c r="E88" s="225">
        <v>9400000</v>
      </c>
      <c r="F88" s="225"/>
      <c r="G88" s="225">
        <f>1810000+400000</f>
        <v>2210000</v>
      </c>
      <c r="H88" s="225">
        <f t="shared" si="0"/>
        <v>11610000</v>
      </c>
      <c r="I88" s="92"/>
      <c r="J88" s="92"/>
    </row>
    <row r="89" spans="1:10" ht="19.5" customHeight="1">
      <c r="A89" s="543"/>
      <c r="B89" s="544"/>
      <c r="C89" s="531"/>
      <c r="D89" s="532"/>
      <c r="E89" s="472"/>
      <c r="F89" s="472"/>
      <c r="G89" s="472"/>
      <c r="H89" s="472"/>
      <c r="I89" s="92"/>
      <c r="J89" s="92"/>
    </row>
    <row r="90" spans="1:10" ht="20.25" customHeight="1">
      <c r="A90" s="20">
        <v>921</v>
      </c>
      <c r="B90" s="35"/>
      <c r="C90" s="35"/>
      <c r="D90" s="36" t="s">
        <v>134</v>
      </c>
      <c r="E90" s="112">
        <v>13699000</v>
      </c>
      <c r="F90" s="112"/>
      <c r="G90" s="112">
        <f>G91</f>
        <v>50000</v>
      </c>
      <c r="H90" s="112">
        <f t="shared" si="0"/>
        <v>13749000</v>
      </c>
      <c r="I90" s="92"/>
      <c r="J90" s="92"/>
    </row>
    <row r="91" spans="1:10" s="26" customFormat="1" ht="19.5" customHeight="1">
      <c r="A91" s="39"/>
      <c r="B91" s="37">
        <v>92109</v>
      </c>
      <c r="C91" s="37"/>
      <c r="D91" s="30" t="s">
        <v>162</v>
      </c>
      <c r="E91" s="113">
        <v>2347000</v>
      </c>
      <c r="F91" s="113"/>
      <c r="G91" s="113">
        <f>G92</f>
        <v>50000</v>
      </c>
      <c r="H91" s="113">
        <f t="shared" si="0"/>
        <v>2397000</v>
      </c>
      <c r="I91" s="123"/>
      <c r="J91" s="123"/>
    </row>
    <row r="92" spans="1:10" s="26" customFormat="1" ht="19.5" customHeight="1">
      <c r="A92" s="29"/>
      <c r="B92" s="135"/>
      <c r="C92" s="135"/>
      <c r="D92" s="288" t="s">
        <v>189</v>
      </c>
      <c r="E92" s="279">
        <v>940000</v>
      </c>
      <c r="F92" s="279"/>
      <c r="G92" s="279">
        <f>G93</f>
        <v>50000</v>
      </c>
      <c r="H92" s="279">
        <f t="shared" si="0"/>
        <v>990000</v>
      </c>
      <c r="I92" s="123"/>
      <c r="J92" s="123"/>
    </row>
    <row r="93" spans="1:10" s="26" customFormat="1" ht="19.5" customHeight="1">
      <c r="A93" s="29"/>
      <c r="B93" s="28"/>
      <c r="C93" s="271">
        <v>2480</v>
      </c>
      <c r="D93" s="221" t="s">
        <v>163</v>
      </c>
      <c r="E93" s="225">
        <v>940000</v>
      </c>
      <c r="F93" s="225"/>
      <c r="G93" s="225">
        <v>50000</v>
      </c>
      <c r="H93" s="225">
        <f t="shared" si="0"/>
        <v>990000</v>
      </c>
      <c r="I93" s="123"/>
      <c r="J93" s="123"/>
    </row>
    <row r="94" spans="1:19" s="117" customFormat="1" ht="28.5" customHeight="1" thickBot="1">
      <c r="A94" s="136"/>
      <c r="B94" s="129"/>
      <c r="C94" s="129"/>
      <c r="D94" s="115" t="s">
        <v>42</v>
      </c>
      <c r="E94" s="116">
        <v>2638000</v>
      </c>
      <c r="F94" s="116"/>
      <c r="G94" s="116"/>
      <c r="H94" s="116">
        <f t="shared" si="0"/>
        <v>2638000</v>
      </c>
      <c r="I94"/>
      <c r="J94"/>
      <c r="K94"/>
      <c r="L94"/>
      <c r="M94"/>
      <c r="N94"/>
      <c r="O94"/>
      <c r="P94"/>
      <c r="Q94"/>
      <c r="R94"/>
      <c r="S94"/>
    </row>
    <row r="95" spans="1:19" s="114" customFormat="1" ht="22.5" customHeight="1" thickBot="1" thickTop="1">
      <c r="A95" s="223"/>
      <c r="B95" s="224"/>
      <c r="C95" s="224"/>
      <c r="D95" s="115" t="s">
        <v>43</v>
      </c>
      <c r="E95" s="116">
        <v>79364016</v>
      </c>
      <c r="F95" s="116"/>
      <c r="G95" s="116"/>
      <c r="H95" s="116">
        <f t="shared" si="0"/>
        <v>79364016</v>
      </c>
      <c r="I95"/>
      <c r="J95"/>
      <c r="K95"/>
      <c r="L95"/>
      <c r="M95"/>
      <c r="N95"/>
      <c r="O95"/>
      <c r="P95"/>
      <c r="Q95"/>
      <c r="R95"/>
      <c r="S95"/>
    </row>
    <row r="96" ht="13.5" thickTop="1"/>
    <row r="98" spans="3:7" ht="12.75">
      <c r="C98" t="s">
        <v>291</v>
      </c>
      <c r="E98" s="92"/>
      <c r="F98" s="92" t="s">
        <v>295</v>
      </c>
      <c r="G98" s="92"/>
    </row>
    <row r="99" spans="3:7" ht="12.75">
      <c r="C99" t="s">
        <v>292</v>
      </c>
      <c r="E99" s="92"/>
      <c r="F99" s="92" t="s">
        <v>294</v>
      </c>
      <c r="G99" s="92"/>
    </row>
    <row r="100" spans="3:7" ht="12.75">
      <c r="C100" s="105" t="s">
        <v>290</v>
      </c>
      <c r="E100" s="92"/>
      <c r="F100" s="92" t="s">
        <v>293</v>
      </c>
      <c r="G100" s="92"/>
    </row>
    <row r="101" spans="5:22" ht="12.75"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</row>
    <row r="102" spans="5:22" ht="12.75"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</row>
    <row r="103" spans="5:22" ht="12.75"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</row>
    <row r="104" spans="5:22" ht="12.75"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</row>
    <row r="105" spans="5:22" ht="12.75"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</row>
    <row r="106" spans="5:22" ht="12.75"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5:22" ht="12.75"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5:22" ht="12.75"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09" spans="5:22" ht="12.75"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</row>
    <row r="110" spans="5:22" ht="12.75"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</row>
    <row r="111" spans="5:22" ht="12.75"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</row>
    <row r="112" spans="5:22" ht="12.75"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</row>
    <row r="113" spans="5:22" ht="12.75"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</row>
    <row r="114" spans="5:22" ht="12.75"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</row>
  </sheetData>
  <printOptions/>
  <pageMargins left="0.4724409448818898" right="0.4724409448818898" top="0.5511811023622047" bottom="0.5118110236220472" header="0.5118110236220472" footer="0.31496062992125984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25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26" customWidth="1"/>
    <col min="2" max="2" width="7.875" style="121" customWidth="1"/>
    <col min="3" max="3" width="6.75390625" style="121" customWidth="1"/>
    <col min="4" max="4" width="66.375" style="26" customWidth="1"/>
    <col min="5" max="7" width="15.75390625" style="26" customWidth="1"/>
    <col min="8" max="8" width="11.00390625" style="26" customWidth="1"/>
    <col min="9" max="11" width="10.375" style="26" customWidth="1"/>
    <col min="12" max="16384" width="9.125" style="26" customWidth="1"/>
  </cols>
  <sheetData>
    <row r="1" spans="5:7" ht="15" customHeight="1">
      <c r="E1" s="289"/>
      <c r="F1" s="289" t="s">
        <v>47</v>
      </c>
      <c r="G1" s="289"/>
    </row>
    <row r="2" spans="1:7" ht="15" customHeight="1">
      <c r="A2" s="23" t="s">
        <v>120</v>
      </c>
      <c r="B2" s="290"/>
      <c r="E2" s="289"/>
      <c r="F2" s="289" t="s">
        <v>287</v>
      </c>
      <c r="G2" s="289"/>
    </row>
    <row r="3" spans="1:7" ht="15" customHeight="1">
      <c r="A3" s="23" t="s">
        <v>121</v>
      </c>
      <c r="B3" s="290"/>
      <c r="E3" s="289"/>
      <c r="F3" s="289" t="s">
        <v>104</v>
      </c>
      <c r="G3" s="289"/>
    </row>
    <row r="4" spans="4:7" ht="15" customHeight="1">
      <c r="D4" s="32"/>
      <c r="E4" s="289"/>
      <c r="F4" s="2" t="s">
        <v>273</v>
      </c>
      <c r="G4" s="289"/>
    </row>
    <row r="5" spans="4:7" ht="11.25" customHeight="1">
      <c r="D5" s="32"/>
      <c r="E5" s="289"/>
      <c r="F5" s="2"/>
      <c r="G5" s="289"/>
    </row>
    <row r="6" spans="5:7" ht="15" customHeight="1" thickBot="1">
      <c r="E6" s="250"/>
      <c r="G6" s="250" t="s">
        <v>6</v>
      </c>
    </row>
    <row r="7" spans="1:7" ht="18.75" customHeight="1" thickTop="1">
      <c r="A7" s="558" t="s">
        <v>122</v>
      </c>
      <c r="B7" s="560" t="s">
        <v>9</v>
      </c>
      <c r="C7" s="558" t="s">
        <v>110</v>
      </c>
      <c r="D7" s="562" t="s">
        <v>123</v>
      </c>
      <c r="E7" s="291" t="s">
        <v>124</v>
      </c>
      <c r="F7" s="556" t="s">
        <v>45</v>
      </c>
      <c r="G7" s="557" t="s">
        <v>45</v>
      </c>
    </row>
    <row r="8" spans="1:7" ht="18.75" customHeight="1" thickBot="1">
      <c r="A8" s="559"/>
      <c r="B8" s="561"/>
      <c r="C8" s="559"/>
      <c r="D8" s="563"/>
      <c r="E8" s="138" t="s">
        <v>39</v>
      </c>
      <c r="F8" s="138" t="s">
        <v>38</v>
      </c>
      <c r="G8" s="138" t="s">
        <v>39</v>
      </c>
    </row>
    <row r="9" spans="1:8" s="292" customFormat="1" ht="15.75" customHeight="1" thickBot="1" thickTop="1">
      <c r="A9" s="27">
        <v>1</v>
      </c>
      <c r="B9" s="27">
        <v>2</v>
      </c>
      <c r="C9" s="27">
        <v>3</v>
      </c>
      <c r="D9" s="104">
        <v>4</v>
      </c>
      <c r="E9" s="104">
        <v>5</v>
      </c>
      <c r="F9" s="104">
        <v>6</v>
      </c>
      <c r="G9" s="104">
        <v>7</v>
      </c>
      <c r="H9" s="123"/>
    </row>
    <row r="10" spans="1:12" ht="19.5" customHeight="1" thickBot="1" thickTop="1">
      <c r="A10" s="293"/>
      <c r="B10" s="294"/>
      <c r="C10" s="294"/>
      <c r="D10" s="295" t="s">
        <v>125</v>
      </c>
      <c r="E10" s="296">
        <f>E11+E148+E155</f>
        <v>2743207</v>
      </c>
      <c r="F10" s="296">
        <f>F11+F148+F155</f>
        <v>1377680</v>
      </c>
      <c r="G10" s="296">
        <f>G11+G148+G155</f>
        <v>4120887</v>
      </c>
      <c r="H10" s="123"/>
      <c r="I10" s="123"/>
      <c r="J10" s="123"/>
      <c r="K10" s="123"/>
      <c r="L10" s="123"/>
    </row>
    <row r="11" spans="1:8" ht="18" customHeight="1">
      <c r="A11" s="29"/>
      <c r="B11" s="297"/>
      <c r="C11" s="297"/>
      <c r="D11" s="298" t="s">
        <v>126</v>
      </c>
      <c r="E11" s="299">
        <f>E12+E32+E44+E66+E80+E122+E142</f>
        <v>2743207</v>
      </c>
      <c r="F11" s="299">
        <f>F12+F32+F44+F66+F80+F122+F142</f>
        <v>1377680</v>
      </c>
      <c r="G11" s="299">
        <f>G12+G32+G44+G66+G80+G122+G142</f>
        <v>3913137</v>
      </c>
      <c r="H11" s="123"/>
    </row>
    <row r="12" spans="1:7" s="32" customFormat="1" ht="19.5" customHeight="1">
      <c r="A12" s="29"/>
      <c r="B12" s="297"/>
      <c r="C12" s="297"/>
      <c r="D12" s="298" t="s">
        <v>127</v>
      </c>
      <c r="E12" s="299">
        <f>E13</f>
        <v>353207</v>
      </c>
      <c r="F12" s="299">
        <f>F27</f>
        <v>715430</v>
      </c>
      <c r="G12" s="299"/>
    </row>
    <row r="13" spans="1:9" s="2" customFormat="1" ht="19.5" customHeight="1">
      <c r="A13" s="14"/>
      <c r="B13" s="14"/>
      <c r="C13" s="14"/>
      <c r="D13" s="300" t="s">
        <v>128</v>
      </c>
      <c r="E13" s="301">
        <f>E14+E19</f>
        <v>353207</v>
      </c>
      <c r="F13" s="301"/>
      <c r="G13" s="301"/>
      <c r="H13" s="1"/>
      <c r="I13" s="1"/>
    </row>
    <row r="14" spans="1:7" ht="19.5" customHeight="1" thickBot="1">
      <c r="A14" s="269"/>
      <c r="B14" s="302"/>
      <c r="C14" s="302"/>
      <c r="D14" s="303" t="s">
        <v>34</v>
      </c>
      <c r="E14" s="111">
        <f>E15</f>
        <v>314570</v>
      </c>
      <c r="F14" s="111"/>
      <c r="G14" s="111"/>
    </row>
    <row r="15" spans="1:14" s="2" customFormat="1" ht="18.75" customHeight="1" thickTop="1">
      <c r="A15" s="89">
        <v>750</v>
      </c>
      <c r="B15" s="20"/>
      <c r="C15" s="304"/>
      <c r="D15" s="226" t="s">
        <v>31</v>
      </c>
      <c r="E15" s="306">
        <f>E16</f>
        <v>314570</v>
      </c>
      <c r="F15" s="306"/>
      <c r="G15" s="306"/>
      <c r="H15" s="307"/>
      <c r="I15" s="307"/>
      <c r="J15" s="307"/>
      <c r="K15" s="26"/>
      <c r="L15" s="26"/>
      <c r="M15" s="26"/>
      <c r="N15" s="26"/>
    </row>
    <row r="16" spans="1:10" s="2" customFormat="1" ht="18.75" customHeight="1">
      <c r="A16" s="93"/>
      <c r="B16" s="235">
        <v>75023</v>
      </c>
      <c r="C16" s="308"/>
      <c r="D16" s="229" t="s">
        <v>32</v>
      </c>
      <c r="E16" s="228">
        <f>E17</f>
        <v>314570</v>
      </c>
      <c r="F16" s="228"/>
      <c r="G16" s="228"/>
      <c r="H16" s="1"/>
      <c r="I16" s="1"/>
      <c r="J16" s="1"/>
    </row>
    <row r="17" spans="1:10" s="2" customFormat="1" ht="18.75" customHeight="1">
      <c r="A17" s="11"/>
      <c r="B17" s="310"/>
      <c r="C17" s="311"/>
      <c r="D17" s="260" t="s">
        <v>87</v>
      </c>
      <c r="E17" s="262">
        <f>E18</f>
        <v>314570</v>
      </c>
      <c r="F17" s="262"/>
      <c r="G17" s="262"/>
      <c r="H17" s="1"/>
      <c r="I17" s="1"/>
      <c r="J17" s="1"/>
    </row>
    <row r="18" spans="1:7" s="253" customFormat="1" ht="18.75" customHeight="1">
      <c r="A18" s="256"/>
      <c r="B18" s="312"/>
      <c r="C18" s="313">
        <v>2390</v>
      </c>
      <c r="D18" s="406" t="s">
        <v>107</v>
      </c>
      <c r="E18" s="314">
        <v>314570</v>
      </c>
      <c r="F18" s="314"/>
      <c r="G18" s="314"/>
    </row>
    <row r="19" spans="1:7" s="253" customFormat="1" ht="19.5" customHeight="1" thickBot="1">
      <c r="A19" s="17"/>
      <c r="B19" s="18"/>
      <c r="C19" s="18"/>
      <c r="D19" s="326" t="s">
        <v>30</v>
      </c>
      <c r="E19" s="316">
        <f>E20</f>
        <v>38637</v>
      </c>
      <c r="F19" s="315"/>
      <c r="G19" s="317"/>
    </row>
    <row r="20" spans="1:7" s="253" customFormat="1" ht="18.75" customHeight="1" thickTop="1">
      <c r="A20" s="89">
        <v>750</v>
      </c>
      <c r="B20" s="20"/>
      <c r="C20" s="304"/>
      <c r="D20" s="226" t="s">
        <v>31</v>
      </c>
      <c r="E20" s="41">
        <f>E21+E24</f>
        <v>38637</v>
      </c>
      <c r="F20" s="318"/>
      <c r="G20" s="36"/>
    </row>
    <row r="21" spans="1:7" s="253" customFormat="1" ht="18.75" customHeight="1">
      <c r="A21" s="320"/>
      <c r="B21" s="90">
        <v>75023</v>
      </c>
      <c r="C21" s="321"/>
      <c r="D21" s="229" t="s">
        <v>32</v>
      </c>
      <c r="E21" s="323">
        <f>E22</f>
        <v>38338</v>
      </c>
      <c r="F21" s="322"/>
      <c r="G21" s="229"/>
    </row>
    <row r="22" spans="1:7" s="253" customFormat="1" ht="18.75" customHeight="1">
      <c r="A22" s="11"/>
      <c r="B22" s="12"/>
      <c r="C22" s="12"/>
      <c r="D22" s="260" t="s">
        <v>94</v>
      </c>
      <c r="E22" s="324">
        <f>E23</f>
        <v>38338</v>
      </c>
      <c r="F22" s="260"/>
      <c r="G22" s="260"/>
    </row>
    <row r="23" spans="1:7" s="253" customFormat="1" ht="25.5" customHeight="1">
      <c r="A23" s="256"/>
      <c r="B23" s="129"/>
      <c r="C23" s="252">
        <v>2705</v>
      </c>
      <c r="D23" s="266" t="s">
        <v>108</v>
      </c>
      <c r="E23" s="325">
        <v>38338</v>
      </c>
      <c r="F23" s="407"/>
      <c r="G23" s="263"/>
    </row>
    <row r="24" spans="1:7" s="253" customFormat="1" ht="19.5" customHeight="1">
      <c r="A24" s="11"/>
      <c r="B24" s="90">
        <v>75095</v>
      </c>
      <c r="C24" s="321"/>
      <c r="D24" s="274" t="s">
        <v>4</v>
      </c>
      <c r="E24" s="323">
        <f>E25</f>
        <v>299</v>
      </c>
      <c r="F24" s="408"/>
      <c r="G24" s="229"/>
    </row>
    <row r="25" spans="1:7" s="253" customFormat="1" ht="19.5" customHeight="1">
      <c r="A25" s="11"/>
      <c r="B25" s="12"/>
      <c r="C25" s="12"/>
      <c r="D25" s="278" t="s">
        <v>89</v>
      </c>
      <c r="E25" s="324">
        <f>E26</f>
        <v>299</v>
      </c>
      <c r="F25" s="324"/>
      <c r="G25" s="260"/>
    </row>
    <row r="26" spans="1:7" s="253" customFormat="1" ht="19.5" customHeight="1">
      <c r="A26" s="251"/>
      <c r="B26" s="255"/>
      <c r="C26" s="255" t="s">
        <v>75</v>
      </c>
      <c r="D26" s="477" t="s">
        <v>99</v>
      </c>
      <c r="E26" s="325">
        <v>299</v>
      </c>
      <c r="F26" s="407"/>
      <c r="G26" s="263"/>
    </row>
    <row r="27" spans="1:7" s="253" customFormat="1" ht="19.5" customHeight="1" thickBot="1">
      <c r="A27" s="251"/>
      <c r="B27" s="252"/>
      <c r="C27" s="252"/>
      <c r="D27" s="326" t="s">
        <v>41</v>
      </c>
      <c r="E27" s="476"/>
      <c r="F27" s="327">
        <f>F28</f>
        <v>715430</v>
      </c>
      <c r="G27" s="476"/>
    </row>
    <row r="28" spans="1:7" s="253" customFormat="1" ht="19.5" customHeight="1" thickTop="1">
      <c r="A28" s="89">
        <v>758</v>
      </c>
      <c r="B28" s="20"/>
      <c r="C28" s="304"/>
      <c r="D28" s="35" t="s">
        <v>84</v>
      </c>
      <c r="E28" s="319"/>
      <c r="F28" s="319">
        <f>F29</f>
        <v>715430</v>
      </c>
      <c r="G28" s="41"/>
    </row>
    <row r="29" spans="1:7" s="253" customFormat="1" ht="19.5" customHeight="1">
      <c r="A29" s="91"/>
      <c r="B29" s="235">
        <v>75818</v>
      </c>
      <c r="C29" s="308"/>
      <c r="D29" s="37" t="s">
        <v>85</v>
      </c>
      <c r="E29" s="323"/>
      <c r="F29" s="408">
        <f>F30</f>
        <v>715430</v>
      </c>
      <c r="G29" s="323"/>
    </row>
    <row r="30" spans="1:7" s="253" customFormat="1" ht="19.5" customHeight="1">
      <c r="A30" s="11"/>
      <c r="B30" s="280"/>
      <c r="C30" s="280"/>
      <c r="D30" s="278" t="s">
        <v>86</v>
      </c>
      <c r="E30" s="324"/>
      <c r="F30" s="324">
        <f>F31</f>
        <v>715430</v>
      </c>
      <c r="G30" s="324"/>
    </row>
    <row r="31" spans="1:7" s="253" customFormat="1" ht="19.5" customHeight="1">
      <c r="A31" s="256"/>
      <c r="B31" s="129"/>
      <c r="C31" s="251">
        <v>4810</v>
      </c>
      <c r="D31" s="221" t="s">
        <v>113</v>
      </c>
      <c r="E31" s="325"/>
      <c r="F31" s="407">
        <v>715430</v>
      </c>
      <c r="G31" s="325"/>
    </row>
    <row r="32" spans="1:7" s="339" customFormat="1" ht="19.5" customHeight="1">
      <c r="A32" s="298"/>
      <c r="B32" s="338"/>
      <c r="C32" s="338"/>
      <c r="D32" s="298" t="s">
        <v>164</v>
      </c>
      <c r="E32" s="299">
        <f>E33</f>
        <v>2210000</v>
      </c>
      <c r="F32" s="299"/>
      <c r="G32" s="299">
        <f>G38</f>
        <v>2210000</v>
      </c>
    </row>
    <row r="33" spans="1:7" ht="19.5" customHeight="1" thickBot="1">
      <c r="A33" s="269"/>
      <c r="B33" s="302"/>
      <c r="C33" s="302"/>
      <c r="D33" s="303" t="s">
        <v>146</v>
      </c>
      <c r="E33" s="111">
        <f>E34</f>
        <v>2210000</v>
      </c>
      <c r="F33" s="111"/>
      <c r="G33" s="111"/>
    </row>
    <row r="34" spans="1:9" s="2" customFormat="1" ht="18.75" customHeight="1" thickTop="1">
      <c r="A34" s="328">
        <v>700</v>
      </c>
      <c r="B34" s="36"/>
      <c r="C34" s="318"/>
      <c r="D34" s="305" t="s">
        <v>57</v>
      </c>
      <c r="E34" s="329">
        <f>E35</f>
        <v>2210000</v>
      </c>
      <c r="F34" s="330"/>
      <c r="G34" s="331"/>
      <c r="H34" s="1"/>
      <c r="I34" s="1"/>
    </row>
    <row r="35" spans="1:10" s="2" customFormat="1" ht="18.75" customHeight="1">
      <c r="A35" s="93"/>
      <c r="B35" s="235">
        <v>70005</v>
      </c>
      <c r="C35" s="308"/>
      <c r="D35" s="309" t="s">
        <v>58</v>
      </c>
      <c r="E35" s="228">
        <f>E36</f>
        <v>2210000</v>
      </c>
      <c r="F35" s="228"/>
      <c r="G35" s="228"/>
      <c r="H35" s="1"/>
      <c r="I35" s="1"/>
      <c r="J35" s="1"/>
    </row>
    <row r="36" spans="1:9" s="2" customFormat="1" ht="18.75" customHeight="1">
      <c r="A36" s="11"/>
      <c r="B36" s="310"/>
      <c r="C36" s="311"/>
      <c r="D36" s="260" t="s">
        <v>181</v>
      </c>
      <c r="E36" s="332">
        <f>E37</f>
        <v>2210000</v>
      </c>
      <c r="F36" s="333"/>
      <c r="G36" s="334"/>
      <c r="H36" s="1"/>
      <c r="I36" s="1"/>
    </row>
    <row r="37" spans="1:9" s="2" customFormat="1" ht="18.75" customHeight="1">
      <c r="A37" s="256"/>
      <c r="B37" s="312"/>
      <c r="C37" s="313" t="s">
        <v>105</v>
      </c>
      <c r="D37" s="263" t="s">
        <v>106</v>
      </c>
      <c r="E37" s="335">
        <f>1810000+400000</f>
        <v>2210000</v>
      </c>
      <c r="F37" s="336"/>
      <c r="G37" s="337"/>
      <c r="H37" s="1"/>
      <c r="I37" s="1"/>
    </row>
    <row r="38" spans="1:7" s="253" customFormat="1" ht="19.5" customHeight="1" thickBot="1">
      <c r="A38" s="251"/>
      <c r="B38" s="252"/>
      <c r="C38" s="252"/>
      <c r="D38" s="404" t="s">
        <v>41</v>
      </c>
      <c r="E38" s="405"/>
      <c r="F38" s="409"/>
      <c r="G38" s="405">
        <f>G39</f>
        <v>2210000</v>
      </c>
    </row>
    <row r="39" spans="1:7" s="253" customFormat="1" ht="18.75" customHeight="1" thickTop="1">
      <c r="A39" s="89">
        <v>900</v>
      </c>
      <c r="B39" s="20"/>
      <c r="C39" s="304"/>
      <c r="D39" s="318" t="s">
        <v>21</v>
      </c>
      <c r="E39" s="319"/>
      <c r="F39" s="319"/>
      <c r="G39" s="41">
        <f>G40</f>
        <v>2210000</v>
      </c>
    </row>
    <row r="40" spans="1:7" s="253" customFormat="1" ht="18.75" customHeight="1">
      <c r="A40" s="91"/>
      <c r="B40" s="235">
        <v>90095</v>
      </c>
      <c r="C40" s="308"/>
      <c r="D40" s="30" t="s">
        <v>4</v>
      </c>
      <c r="E40" s="323"/>
      <c r="F40" s="408"/>
      <c r="G40" s="323">
        <f>G41</f>
        <v>2210000</v>
      </c>
    </row>
    <row r="41" spans="1:7" s="253" customFormat="1" ht="18.75" customHeight="1">
      <c r="A41" s="11"/>
      <c r="B41" s="280"/>
      <c r="C41" s="280"/>
      <c r="D41" s="288" t="s">
        <v>56</v>
      </c>
      <c r="E41" s="324"/>
      <c r="F41" s="324"/>
      <c r="G41" s="324">
        <f>G43</f>
        <v>2210000</v>
      </c>
    </row>
    <row r="42" spans="1:7" s="253" customFormat="1" ht="18.75" customHeight="1">
      <c r="A42" s="256"/>
      <c r="B42" s="129"/>
      <c r="C42" s="129"/>
      <c r="D42" s="478" t="s">
        <v>191</v>
      </c>
      <c r="E42" s="480"/>
      <c r="F42" s="481"/>
      <c r="G42" s="480">
        <f>G43</f>
        <v>2210000</v>
      </c>
    </row>
    <row r="43" spans="1:7" s="253" customFormat="1" ht="18.75" customHeight="1">
      <c r="A43" s="256"/>
      <c r="B43" s="129"/>
      <c r="C43" s="251">
        <v>6050</v>
      </c>
      <c r="D43" s="221" t="s">
        <v>118</v>
      </c>
      <c r="E43" s="325"/>
      <c r="F43" s="407"/>
      <c r="G43" s="325">
        <f>1810000+400000</f>
        <v>2210000</v>
      </c>
    </row>
    <row r="44" spans="1:8" s="339" customFormat="1" ht="19.5" customHeight="1">
      <c r="A44" s="298"/>
      <c r="B44" s="338"/>
      <c r="C44" s="338"/>
      <c r="D44" s="298" t="s">
        <v>130</v>
      </c>
      <c r="E44" s="344"/>
      <c r="F44" s="299"/>
      <c r="G44" s="344">
        <f>G45</f>
        <v>493338</v>
      </c>
      <c r="H44" s="345">
        <f>G44-F44</f>
        <v>493338</v>
      </c>
    </row>
    <row r="45" spans="1:7" s="114" customFormat="1" ht="19.5" customHeight="1" thickBot="1">
      <c r="A45" s="270"/>
      <c r="B45" s="346"/>
      <c r="C45" s="346"/>
      <c r="D45" s="347" t="s">
        <v>131</v>
      </c>
      <c r="E45" s="111"/>
      <c r="F45" s="111"/>
      <c r="G45" s="111">
        <f>G46+G53+G61</f>
        <v>493338</v>
      </c>
    </row>
    <row r="46" spans="1:7" ht="19.5" customHeight="1" thickTop="1">
      <c r="A46" s="340">
        <v>750</v>
      </c>
      <c r="B46" s="340"/>
      <c r="C46" s="340"/>
      <c r="D46" s="340" t="s">
        <v>31</v>
      </c>
      <c r="E46" s="112"/>
      <c r="F46" s="112"/>
      <c r="G46" s="112">
        <f>G47</f>
        <v>138338</v>
      </c>
    </row>
    <row r="47" spans="1:7" s="114" customFormat="1" ht="19.5" customHeight="1">
      <c r="A47" s="28"/>
      <c r="B47" s="37">
        <v>75023</v>
      </c>
      <c r="C47" s="37"/>
      <c r="D47" s="37" t="s">
        <v>32</v>
      </c>
      <c r="E47" s="113"/>
      <c r="F47" s="113"/>
      <c r="G47" s="113">
        <f>G48+G50</f>
        <v>138338</v>
      </c>
    </row>
    <row r="48" spans="1:7" s="114" customFormat="1" ht="19.5" customHeight="1">
      <c r="A48" s="28"/>
      <c r="B48" s="28"/>
      <c r="C48" s="28"/>
      <c r="D48" s="288" t="s">
        <v>91</v>
      </c>
      <c r="E48" s="279"/>
      <c r="F48" s="279"/>
      <c r="G48" s="279">
        <f>G49</f>
        <v>38338</v>
      </c>
    </row>
    <row r="49" spans="1:7" s="114" customFormat="1" ht="19.5" customHeight="1">
      <c r="A49" s="270"/>
      <c r="B49" s="270"/>
      <c r="C49" s="271">
        <v>4425</v>
      </c>
      <c r="D49" s="270" t="s">
        <v>155</v>
      </c>
      <c r="E49" s="501"/>
      <c r="F49" s="501"/>
      <c r="G49" s="501">
        <v>38338</v>
      </c>
    </row>
    <row r="50" spans="1:7" s="114" customFormat="1" ht="19.5" customHeight="1">
      <c r="A50" s="33"/>
      <c r="B50" s="33"/>
      <c r="C50" s="33"/>
      <c r="D50" s="486" t="s">
        <v>56</v>
      </c>
      <c r="E50" s="528"/>
      <c r="F50" s="528"/>
      <c r="G50" s="528">
        <f>G52</f>
        <v>100000</v>
      </c>
    </row>
    <row r="51" spans="1:7" s="114" customFormat="1" ht="19.5" customHeight="1">
      <c r="A51" s="270"/>
      <c r="B51" s="270"/>
      <c r="C51" s="270"/>
      <c r="D51" s="482" t="s">
        <v>190</v>
      </c>
      <c r="E51" s="277"/>
      <c r="F51" s="277"/>
      <c r="G51" s="277">
        <f>G52</f>
        <v>100000</v>
      </c>
    </row>
    <row r="52" spans="1:7" s="114" customFormat="1" ht="19.5" customHeight="1">
      <c r="A52" s="271"/>
      <c r="B52" s="271"/>
      <c r="C52" s="271">
        <v>6050</v>
      </c>
      <c r="D52" s="221" t="s">
        <v>118</v>
      </c>
      <c r="E52" s="225"/>
      <c r="F52" s="225"/>
      <c r="G52" s="225">
        <v>100000</v>
      </c>
    </row>
    <row r="53" spans="1:7" ht="18" customHeight="1">
      <c r="A53" s="35">
        <v>801</v>
      </c>
      <c r="B53" s="35"/>
      <c r="C53" s="35"/>
      <c r="D53" s="35" t="s">
        <v>10</v>
      </c>
      <c r="E53" s="112"/>
      <c r="F53" s="112"/>
      <c r="G53" s="112">
        <f>G54+G57</f>
        <v>155000</v>
      </c>
    </row>
    <row r="54" spans="1:7" s="401" customFormat="1" ht="18" customHeight="1">
      <c r="A54" s="29"/>
      <c r="B54" s="30">
        <v>80101</v>
      </c>
      <c r="C54" s="30"/>
      <c r="D54" s="30" t="s">
        <v>92</v>
      </c>
      <c r="E54" s="120"/>
      <c r="F54" s="120"/>
      <c r="G54" s="120">
        <f>G55</f>
        <v>80000</v>
      </c>
    </row>
    <row r="55" spans="1:7" s="114" customFormat="1" ht="18" customHeight="1">
      <c r="A55" s="28"/>
      <c r="B55" s="28"/>
      <c r="C55" s="28"/>
      <c r="D55" s="348" t="s">
        <v>91</v>
      </c>
      <c r="E55" s="279"/>
      <c r="F55" s="279"/>
      <c r="G55" s="279">
        <f>SUM(G56:G56)</f>
        <v>80000</v>
      </c>
    </row>
    <row r="56" spans="1:7" s="114" customFormat="1" ht="18" customHeight="1">
      <c r="A56" s="270"/>
      <c r="B56" s="270"/>
      <c r="C56" s="271">
        <v>4270</v>
      </c>
      <c r="D56" s="221" t="s">
        <v>115</v>
      </c>
      <c r="E56" s="225"/>
      <c r="F56" s="225"/>
      <c r="G56" s="225">
        <v>80000</v>
      </c>
    </row>
    <row r="57" spans="1:7" s="401" customFormat="1" ht="18" customHeight="1">
      <c r="A57" s="29"/>
      <c r="B57" s="30">
        <v>80110</v>
      </c>
      <c r="C57" s="30"/>
      <c r="D57" s="30" t="s">
        <v>156</v>
      </c>
      <c r="E57" s="120"/>
      <c r="F57" s="120"/>
      <c r="G57" s="120">
        <f>G58</f>
        <v>75000</v>
      </c>
    </row>
    <row r="58" spans="1:7" s="114" customFormat="1" ht="18" customHeight="1">
      <c r="A58" s="28"/>
      <c r="B58" s="28"/>
      <c r="C58" s="28"/>
      <c r="D58" s="348" t="s">
        <v>56</v>
      </c>
      <c r="E58" s="279"/>
      <c r="F58" s="279"/>
      <c r="G58" s="279">
        <f>SUM(G60:G60)</f>
        <v>75000</v>
      </c>
    </row>
    <row r="59" spans="1:7" s="114" customFormat="1" ht="18" customHeight="1">
      <c r="A59" s="270"/>
      <c r="B59" s="270"/>
      <c r="C59" s="270"/>
      <c r="D59" s="482" t="s">
        <v>192</v>
      </c>
      <c r="E59" s="277"/>
      <c r="F59" s="277"/>
      <c r="G59" s="277">
        <f>G60</f>
        <v>75000</v>
      </c>
    </row>
    <row r="60" spans="1:7" s="114" customFormat="1" ht="18" customHeight="1">
      <c r="A60" s="270"/>
      <c r="B60" s="270"/>
      <c r="C60" s="271">
        <v>6050</v>
      </c>
      <c r="D60" s="221" t="s">
        <v>118</v>
      </c>
      <c r="E60" s="225"/>
      <c r="F60" s="225"/>
      <c r="G60" s="225">
        <v>75000</v>
      </c>
    </row>
    <row r="61" spans="1:7" ht="18" customHeight="1">
      <c r="A61" s="340">
        <v>851</v>
      </c>
      <c r="B61" s="340"/>
      <c r="C61" s="340"/>
      <c r="D61" s="340" t="s">
        <v>59</v>
      </c>
      <c r="E61" s="112"/>
      <c r="F61" s="112"/>
      <c r="G61" s="112">
        <f>G62</f>
        <v>200000</v>
      </c>
    </row>
    <row r="62" spans="1:7" s="401" customFormat="1" ht="18" customHeight="1">
      <c r="A62" s="29"/>
      <c r="B62" s="30">
        <v>85121</v>
      </c>
      <c r="C62" s="30"/>
      <c r="D62" s="30" t="s">
        <v>157</v>
      </c>
      <c r="E62" s="120"/>
      <c r="F62" s="120"/>
      <c r="G62" s="120">
        <f>G63</f>
        <v>200000</v>
      </c>
    </row>
    <row r="63" spans="1:7" s="114" customFormat="1" ht="18" customHeight="1">
      <c r="A63" s="28"/>
      <c r="B63" s="28"/>
      <c r="C63" s="28"/>
      <c r="D63" s="348" t="s">
        <v>56</v>
      </c>
      <c r="E63" s="279"/>
      <c r="F63" s="279"/>
      <c r="G63" s="279">
        <f>SUM(G65:G65)</f>
        <v>200000</v>
      </c>
    </row>
    <row r="64" spans="1:7" s="114" customFormat="1" ht="18" customHeight="1">
      <c r="A64" s="270"/>
      <c r="B64" s="270"/>
      <c r="C64" s="270"/>
      <c r="D64" s="478" t="s">
        <v>193</v>
      </c>
      <c r="E64" s="479"/>
      <c r="F64" s="479"/>
      <c r="G64" s="479">
        <f>G65</f>
        <v>200000</v>
      </c>
    </row>
    <row r="65" spans="1:7" s="114" customFormat="1" ht="18" customHeight="1">
      <c r="A65" s="270"/>
      <c r="B65" s="270"/>
      <c r="C65" s="271">
        <v>6050</v>
      </c>
      <c r="D65" s="221" t="s">
        <v>118</v>
      </c>
      <c r="E65" s="225"/>
      <c r="F65" s="225"/>
      <c r="G65" s="225">
        <v>200000</v>
      </c>
    </row>
    <row r="66" spans="1:8" s="339" customFormat="1" ht="19.5" customHeight="1">
      <c r="A66" s="298"/>
      <c r="B66" s="338"/>
      <c r="C66" s="338"/>
      <c r="D66" s="298" t="s">
        <v>166</v>
      </c>
      <c r="E66" s="344"/>
      <c r="F66" s="299">
        <f>F67</f>
        <v>17750</v>
      </c>
      <c r="G66" s="344">
        <f>G67</f>
        <v>10000</v>
      </c>
      <c r="H66" s="345"/>
    </row>
    <row r="67" spans="1:7" s="114" customFormat="1" ht="19.5" customHeight="1" thickBot="1">
      <c r="A67" s="270"/>
      <c r="B67" s="346"/>
      <c r="C67" s="346"/>
      <c r="D67" s="347" t="s">
        <v>131</v>
      </c>
      <c r="E67" s="111"/>
      <c r="F67" s="111">
        <f>F68+F76</f>
        <v>17750</v>
      </c>
      <c r="G67" s="111">
        <f>G68+G76</f>
        <v>10000</v>
      </c>
    </row>
    <row r="68" spans="1:7" ht="18.75" customHeight="1" thickTop="1">
      <c r="A68" s="340">
        <v>801</v>
      </c>
      <c r="B68" s="340"/>
      <c r="C68" s="340"/>
      <c r="D68" s="340" t="s">
        <v>10</v>
      </c>
      <c r="E68" s="112"/>
      <c r="F68" s="112">
        <f>F69</f>
        <v>10000</v>
      </c>
      <c r="G68" s="112">
        <f>G69</f>
        <v>10000</v>
      </c>
    </row>
    <row r="69" spans="1:7" s="114" customFormat="1" ht="18.75" customHeight="1">
      <c r="A69" s="28"/>
      <c r="B69" s="37">
        <v>80104</v>
      </c>
      <c r="C69" s="37"/>
      <c r="D69" s="37" t="s">
        <v>11</v>
      </c>
      <c r="E69" s="113"/>
      <c r="F69" s="113">
        <f>F70</f>
        <v>10000</v>
      </c>
      <c r="G69" s="113">
        <f>G70</f>
        <v>10000</v>
      </c>
    </row>
    <row r="70" spans="1:7" s="114" customFormat="1" ht="18.75" customHeight="1">
      <c r="A70" s="28"/>
      <c r="B70" s="135"/>
      <c r="C70" s="28"/>
      <c r="D70" s="288" t="s">
        <v>60</v>
      </c>
      <c r="E70" s="148"/>
      <c r="F70" s="148">
        <f>F71+F74</f>
        <v>10000</v>
      </c>
      <c r="G70" s="148">
        <f>G71+G74</f>
        <v>10000</v>
      </c>
    </row>
    <row r="71" spans="1:7" s="114" customFormat="1" ht="18.75" customHeight="1">
      <c r="A71" s="270"/>
      <c r="B71" s="270"/>
      <c r="C71" s="270"/>
      <c r="D71" s="217" t="s">
        <v>61</v>
      </c>
      <c r="E71" s="410"/>
      <c r="F71" s="410">
        <f>F72</f>
        <v>10000</v>
      </c>
      <c r="G71" s="410"/>
    </row>
    <row r="72" spans="1:7" s="114" customFormat="1" ht="25.5" customHeight="1">
      <c r="A72" s="270"/>
      <c r="B72" s="270"/>
      <c r="C72" s="270"/>
      <c r="D72" s="276" t="s">
        <v>165</v>
      </c>
      <c r="E72" s="277"/>
      <c r="F72" s="277">
        <v>10000</v>
      </c>
      <c r="G72" s="277"/>
    </row>
    <row r="73" spans="1:7" s="114" customFormat="1" ht="19.5" customHeight="1">
      <c r="A73" s="270"/>
      <c r="B73" s="270"/>
      <c r="C73" s="271">
        <v>2540</v>
      </c>
      <c r="D73" s="221" t="s">
        <v>114</v>
      </c>
      <c r="E73" s="225"/>
      <c r="F73" s="225">
        <f>F72</f>
        <v>10000</v>
      </c>
      <c r="G73" s="225"/>
    </row>
    <row r="74" spans="1:7" s="114" customFormat="1" ht="18" customHeight="1">
      <c r="A74" s="270"/>
      <c r="B74" s="270"/>
      <c r="C74" s="270"/>
      <c r="D74" s="278" t="s">
        <v>81</v>
      </c>
      <c r="E74" s="279"/>
      <c r="F74" s="279"/>
      <c r="G74" s="279">
        <f>G75</f>
        <v>10000</v>
      </c>
    </row>
    <row r="75" spans="1:7" s="114" customFormat="1" ht="18" customHeight="1">
      <c r="A75" s="271"/>
      <c r="B75" s="271"/>
      <c r="C75" s="271">
        <v>4300</v>
      </c>
      <c r="D75" s="221" t="s">
        <v>52</v>
      </c>
      <c r="E75" s="225"/>
      <c r="F75" s="225"/>
      <c r="G75" s="225">
        <v>10000</v>
      </c>
    </row>
    <row r="76" spans="1:7" s="114" customFormat="1" ht="19.5" customHeight="1">
      <c r="A76" s="35">
        <v>854</v>
      </c>
      <c r="B76" s="35"/>
      <c r="C76" s="35"/>
      <c r="D76" s="35" t="s">
        <v>13</v>
      </c>
      <c r="E76" s="112"/>
      <c r="F76" s="112">
        <f>F77</f>
        <v>7750</v>
      </c>
      <c r="G76" s="112"/>
    </row>
    <row r="77" spans="1:7" s="32" customFormat="1" ht="19.5" customHeight="1">
      <c r="A77" s="28"/>
      <c r="B77" s="30">
        <v>85495</v>
      </c>
      <c r="C77" s="30"/>
      <c r="D77" s="30" t="s">
        <v>4</v>
      </c>
      <c r="E77" s="113"/>
      <c r="F77" s="113">
        <f>F78</f>
        <v>7750</v>
      </c>
      <c r="G77" s="113"/>
    </row>
    <row r="78" spans="1:7" s="114" customFormat="1" ht="25.5" customHeight="1">
      <c r="A78" s="350"/>
      <c r="B78" s="351"/>
      <c r="C78" s="351"/>
      <c r="D78" s="278" t="s">
        <v>117</v>
      </c>
      <c r="E78" s="262"/>
      <c r="F78" s="262">
        <f>F79</f>
        <v>7750</v>
      </c>
      <c r="G78" s="262"/>
    </row>
    <row r="79" spans="1:7" s="114" customFormat="1" ht="19.5" customHeight="1">
      <c r="A79" s="270"/>
      <c r="B79" s="270"/>
      <c r="C79" s="240">
        <v>4440</v>
      </c>
      <c r="D79" s="221" t="s">
        <v>116</v>
      </c>
      <c r="E79" s="412"/>
      <c r="F79" s="412">
        <v>7750</v>
      </c>
      <c r="G79" s="412"/>
    </row>
    <row r="80" spans="1:8" s="339" customFormat="1" ht="19.5" customHeight="1">
      <c r="A80" s="298"/>
      <c r="B80" s="338"/>
      <c r="C80" s="338"/>
      <c r="D80" s="298" t="s">
        <v>167</v>
      </c>
      <c r="E80" s="299"/>
      <c r="F80" s="299">
        <f>F81</f>
        <v>644500</v>
      </c>
      <c r="G80" s="299">
        <f>G81</f>
        <v>969500</v>
      </c>
      <c r="H80" s="345"/>
    </row>
    <row r="81" spans="1:7" s="114" customFormat="1" ht="19.5" customHeight="1" thickBot="1">
      <c r="A81" s="271"/>
      <c r="B81" s="346"/>
      <c r="C81" s="346"/>
      <c r="D81" s="347" t="s">
        <v>131</v>
      </c>
      <c r="E81" s="111"/>
      <c r="F81" s="111">
        <f>F82+F87+F111+F118</f>
        <v>644500</v>
      </c>
      <c r="G81" s="111">
        <f>G82+G87+G111+G118</f>
        <v>969500</v>
      </c>
    </row>
    <row r="82" spans="1:7" s="114" customFormat="1" ht="19.5" customHeight="1" thickTop="1">
      <c r="A82" s="35">
        <v>700</v>
      </c>
      <c r="B82" s="35"/>
      <c r="C82" s="35"/>
      <c r="D82" s="35" t="s">
        <v>57</v>
      </c>
      <c r="E82" s="112"/>
      <c r="F82" s="112"/>
      <c r="G82" s="112">
        <f>G83</f>
        <v>700000</v>
      </c>
    </row>
    <row r="83" spans="1:7" s="32" customFormat="1" ht="19.5" customHeight="1">
      <c r="A83" s="28"/>
      <c r="B83" s="30">
        <v>70001</v>
      </c>
      <c r="C83" s="30"/>
      <c r="D83" s="30" t="s">
        <v>82</v>
      </c>
      <c r="E83" s="113"/>
      <c r="F83" s="113"/>
      <c r="G83" s="113">
        <f>G84</f>
        <v>700000</v>
      </c>
    </row>
    <row r="84" spans="1:7" s="114" customFormat="1" ht="19.5" customHeight="1">
      <c r="A84" s="350"/>
      <c r="B84" s="351"/>
      <c r="C84" s="351"/>
      <c r="D84" s="278" t="s">
        <v>132</v>
      </c>
      <c r="E84" s="262"/>
      <c r="F84" s="262"/>
      <c r="G84" s="262">
        <f>G85</f>
        <v>700000</v>
      </c>
    </row>
    <row r="85" spans="1:7" s="114" customFormat="1" ht="19.5" customHeight="1">
      <c r="A85" s="270"/>
      <c r="B85" s="270"/>
      <c r="C85" s="282"/>
      <c r="D85" s="276" t="s">
        <v>133</v>
      </c>
      <c r="E85" s="411"/>
      <c r="F85" s="411"/>
      <c r="G85" s="411">
        <f>G86</f>
        <v>700000</v>
      </c>
    </row>
    <row r="86" spans="1:7" s="114" customFormat="1" ht="25.5" customHeight="1">
      <c r="A86" s="271"/>
      <c r="B86" s="346"/>
      <c r="C86" s="346">
        <v>6210</v>
      </c>
      <c r="D86" s="263" t="s">
        <v>112</v>
      </c>
      <c r="E86" s="349"/>
      <c r="F86" s="349"/>
      <c r="G86" s="349">
        <v>700000</v>
      </c>
    </row>
    <row r="87" spans="1:7" s="114" customFormat="1" ht="18.75" customHeight="1">
      <c r="A87" s="35">
        <v>851</v>
      </c>
      <c r="B87" s="35"/>
      <c r="C87" s="35"/>
      <c r="D87" s="36" t="s">
        <v>59</v>
      </c>
      <c r="E87" s="112"/>
      <c r="F87" s="112">
        <f>F88+F91+F105</f>
        <v>620000</v>
      </c>
      <c r="G87" s="112">
        <f>G88+G91+G105</f>
        <v>195000</v>
      </c>
    </row>
    <row r="88" spans="1:7" s="32" customFormat="1" ht="18.75" customHeight="1">
      <c r="A88" s="28"/>
      <c r="B88" s="30">
        <v>85121</v>
      </c>
      <c r="C88" s="30"/>
      <c r="D88" s="38" t="s">
        <v>157</v>
      </c>
      <c r="E88" s="113"/>
      <c r="F88" s="113">
        <f>F89</f>
        <v>250000</v>
      </c>
      <c r="G88" s="113"/>
    </row>
    <row r="89" spans="1:7" s="114" customFormat="1" ht="18.75" customHeight="1">
      <c r="A89" s="350"/>
      <c r="B89" s="351"/>
      <c r="C89" s="351"/>
      <c r="D89" s="278" t="s">
        <v>158</v>
      </c>
      <c r="E89" s="262"/>
      <c r="F89" s="262">
        <f>F90</f>
        <v>250000</v>
      </c>
      <c r="G89" s="262"/>
    </row>
    <row r="90" spans="1:7" s="114" customFormat="1" ht="25.5" customHeight="1">
      <c r="A90" s="270"/>
      <c r="B90" s="270"/>
      <c r="C90" s="240">
        <v>4160</v>
      </c>
      <c r="D90" s="221" t="s">
        <v>159</v>
      </c>
      <c r="E90" s="412"/>
      <c r="F90" s="412">
        <v>250000</v>
      </c>
      <c r="G90" s="412"/>
    </row>
    <row r="91" spans="1:7" s="32" customFormat="1" ht="19.5" customHeight="1">
      <c r="A91" s="28"/>
      <c r="B91" s="30">
        <v>85154</v>
      </c>
      <c r="C91" s="30"/>
      <c r="D91" s="38" t="s">
        <v>204</v>
      </c>
      <c r="E91" s="113"/>
      <c r="F91" s="113">
        <f>F92</f>
        <v>195000</v>
      </c>
      <c r="G91" s="113">
        <f>G92</f>
        <v>195000</v>
      </c>
    </row>
    <row r="92" spans="1:7" s="114" customFormat="1" ht="25.5" customHeight="1">
      <c r="A92" s="350"/>
      <c r="B92" s="351"/>
      <c r="C92" s="351"/>
      <c r="D92" s="125" t="s">
        <v>205</v>
      </c>
      <c r="E92" s="517"/>
      <c r="F92" s="517">
        <f>F93</f>
        <v>195000</v>
      </c>
      <c r="G92" s="517">
        <f>G93</f>
        <v>195000</v>
      </c>
    </row>
    <row r="93" spans="1:7" s="114" customFormat="1" ht="39" customHeight="1">
      <c r="A93" s="270"/>
      <c r="B93" s="270"/>
      <c r="C93" s="282"/>
      <c r="D93" s="518" t="s">
        <v>206</v>
      </c>
      <c r="E93" s="519"/>
      <c r="F93" s="519">
        <f>F101+F103+F104</f>
        <v>195000</v>
      </c>
      <c r="G93" s="519">
        <f>G101+G103+G104</f>
        <v>195000</v>
      </c>
    </row>
    <row r="94" spans="1:7" s="114" customFormat="1" ht="25.5" customHeight="1">
      <c r="A94" s="270"/>
      <c r="B94" s="270"/>
      <c r="C94" s="282"/>
      <c r="D94" s="487" t="s">
        <v>274</v>
      </c>
      <c r="E94" s="485"/>
      <c r="F94" s="485"/>
      <c r="G94" s="485">
        <v>21000</v>
      </c>
    </row>
    <row r="95" spans="1:7" s="114" customFormat="1" ht="25.5" customHeight="1">
      <c r="A95" s="270"/>
      <c r="B95" s="270"/>
      <c r="C95" s="282"/>
      <c r="D95" s="516" t="s">
        <v>286</v>
      </c>
      <c r="E95" s="508"/>
      <c r="F95" s="508"/>
      <c r="G95" s="508">
        <v>12000</v>
      </c>
    </row>
    <row r="96" spans="1:7" s="114" customFormat="1" ht="18.75" customHeight="1">
      <c r="A96" s="271"/>
      <c r="B96" s="271"/>
      <c r="C96" s="240"/>
      <c r="D96" s="529" t="s">
        <v>275</v>
      </c>
      <c r="E96" s="530"/>
      <c r="F96" s="530"/>
      <c r="G96" s="530">
        <v>6000</v>
      </c>
    </row>
    <row r="97" spans="1:7" s="114" customFormat="1" ht="18.75" customHeight="1">
      <c r="A97" s="270"/>
      <c r="B97" s="270"/>
      <c r="C97" s="282"/>
      <c r="D97" s="276" t="s">
        <v>276</v>
      </c>
      <c r="E97" s="411"/>
      <c r="F97" s="411"/>
      <c r="G97" s="411">
        <v>33000</v>
      </c>
    </row>
    <row r="98" spans="1:7" s="114" customFormat="1" ht="18.75" customHeight="1">
      <c r="A98" s="270"/>
      <c r="B98" s="270"/>
      <c r="C98" s="282"/>
      <c r="D98" s="520" t="s">
        <v>277</v>
      </c>
      <c r="E98" s="521"/>
      <c r="F98" s="521"/>
      <c r="G98" s="521">
        <v>21000</v>
      </c>
    </row>
    <row r="99" spans="1:7" s="114" customFormat="1" ht="18.75" customHeight="1">
      <c r="A99" s="270"/>
      <c r="B99" s="270"/>
      <c r="C99" s="282"/>
      <c r="D99" s="520" t="s">
        <v>278</v>
      </c>
      <c r="E99" s="521"/>
      <c r="F99" s="521"/>
      <c r="G99" s="521">
        <v>21000</v>
      </c>
    </row>
    <row r="100" spans="1:7" s="114" customFormat="1" ht="18.75" customHeight="1">
      <c r="A100" s="270"/>
      <c r="B100" s="270"/>
      <c r="C100" s="282"/>
      <c r="D100" s="520" t="s">
        <v>279</v>
      </c>
      <c r="E100" s="521"/>
      <c r="F100" s="521"/>
      <c r="G100" s="521">
        <v>3500</v>
      </c>
    </row>
    <row r="101" spans="1:7" s="114" customFormat="1" ht="25.5" customHeight="1">
      <c r="A101" s="270"/>
      <c r="B101" s="270"/>
      <c r="C101" s="221">
        <v>2820</v>
      </c>
      <c r="D101" s="221" t="s">
        <v>135</v>
      </c>
      <c r="E101" s="412"/>
      <c r="F101" s="412"/>
      <c r="G101" s="412">
        <f>SUM(G94:G100)</f>
        <v>117500</v>
      </c>
    </row>
    <row r="102" spans="1:7" s="114" customFormat="1" ht="18" customHeight="1">
      <c r="A102" s="270"/>
      <c r="B102" s="270"/>
      <c r="C102" s="490"/>
      <c r="D102" s="522" t="s">
        <v>279</v>
      </c>
      <c r="E102" s="523"/>
      <c r="F102" s="523"/>
      <c r="G102" s="523">
        <v>77500</v>
      </c>
    </row>
    <row r="103" spans="1:7" s="114" customFormat="1" ht="39" customHeight="1">
      <c r="A103" s="270"/>
      <c r="B103" s="270"/>
      <c r="C103" s="252">
        <v>2830</v>
      </c>
      <c r="D103" s="221" t="s">
        <v>269</v>
      </c>
      <c r="E103" s="412"/>
      <c r="F103" s="412"/>
      <c r="G103" s="412">
        <f>G102</f>
        <v>77500</v>
      </c>
    </row>
    <row r="104" spans="1:7" s="114" customFormat="1" ht="18.75" customHeight="1">
      <c r="A104" s="270"/>
      <c r="B104" s="270"/>
      <c r="C104" s="252">
        <v>4300</v>
      </c>
      <c r="D104" s="221" t="s">
        <v>52</v>
      </c>
      <c r="E104" s="412"/>
      <c r="F104" s="412">
        <v>195000</v>
      </c>
      <c r="G104" s="412"/>
    </row>
    <row r="105" spans="1:7" s="32" customFormat="1" ht="18.75" customHeight="1">
      <c r="A105" s="28"/>
      <c r="B105" s="30">
        <v>85195</v>
      </c>
      <c r="C105" s="30"/>
      <c r="D105" s="38" t="s">
        <v>4</v>
      </c>
      <c r="E105" s="113"/>
      <c r="F105" s="113">
        <f>F106</f>
        <v>175000</v>
      </c>
      <c r="G105" s="113"/>
    </row>
    <row r="106" spans="1:7" s="114" customFormat="1" ht="25.5" customHeight="1">
      <c r="A106" s="350"/>
      <c r="B106" s="351"/>
      <c r="C106" s="351"/>
      <c r="D106" s="525" t="s">
        <v>160</v>
      </c>
      <c r="E106" s="526"/>
      <c r="F106" s="526">
        <f>F107</f>
        <v>175000</v>
      </c>
      <c r="G106" s="526"/>
    </row>
    <row r="107" spans="1:7" s="114" customFormat="1" ht="25.5" customHeight="1">
      <c r="A107" s="270"/>
      <c r="B107" s="270"/>
      <c r="C107" s="282"/>
      <c r="D107" s="527" t="s">
        <v>280</v>
      </c>
      <c r="E107" s="524"/>
      <c r="F107" s="524">
        <f>SUM(F109:F110)</f>
        <v>175000</v>
      </c>
      <c r="G107" s="524"/>
    </row>
    <row r="108" spans="1:7" s="114" customFormat="1" ht="18.75" customHeight="1">
      <c r="A108" s="270"/>
      <c r="B108" s="270"/>
      <c r="C108" s="282"/>
      <c r="D108" s="276" t="s">
        <v>279</v>
      </c>
      <c r="E108" s="411"/>
      <c r="F108" s="411">
        <f>F109</f>
        <v>131800</v>
      </c>
      <c r="G108" s="411"/>
    </row>
    <row r="109" spans="1:7" s="114" customFormat="1" ht="25.5" customHeight="1">
      <c r="A109" s="270"/>
      <c r="B109" s="270"/>
      <c r="C109" s="221">
        <v>2820</v>
      </c>
      <c r="D109" s="221" t="s">
        <v>135</v>
      </c>
      <c r="E109" s="225"/>
      <c r="F109" s="225">
        <v>131800</v>
      </c>
      <c r="G109" s="225"/>
    </row>
    <row r="110" spans="1:7" s="114" customFormat="1" ht="19.5" customHeight="1">
      <c r="A110" s="271"/>
      <c r="B110" s="271"/>
      <c r="C110" s="221">
        <v>4300</v>
      </c>
      <c r="D110" s="221" t="s">
        <v>52</v>
      </c>
      <c r="E110" s="225"/>
      <c r="F110" s="225">
        <v>43200</v>
      </c>
      <c r="G110" s="225"/>
    </row>
    <row r="111" spans="1:7" s="114" customFormat="1" ht="18" customHeight="1">
      <c r="A111" s="35">
        <v>854</v>
      </c>
      <c r="B111" s="35"/>
      <c r="C111" s="35"/>
      <c r="D111" s="35" t="s">
        <v>13</v>
      </c>
      <c r="E111" s="112"/>
      <c r="F111" s="112">
        <f aca="true" t="shared" si="0" ref="F111:G113">F112</f>
        <v>24500</v>
      </c>
      <c r="G111" s="112">
        <f t="shared" si="0"/>
        <v>24500</v>
      </c>
    </row>
    <row r="112" spans="1:7" s="32" customFormat="1" ht="25.5" customHeight="1">
      <c r="A112" s="28"/>
      <c r="B112" s="30">
        <v>85412</v>
      </c>
      <c r="C112" s="30"/>
      <c r="D112" s="515" t="s">
        <v>281</v>
      </c>
      <c r="E112" s="113"/>
      <c r="F112" s="113">
        <f t="shared" si="0"/>
        <v>24500</v>
      </c>
      <c r="G112" s="113">
        <f t="shared" si="0"/>
        <v>24500</v>
      </c>
    </row>
    <row r="113" spans="1:7" s="114" customFormat="1" ht="25.5" customHeight="1">
      <c r="A113" s="350"/>
      <c r="B113" s="351"/>
      <c r="C113" s="351"/>
      <c r="D113" s="278" t="s">
        <v>272</v>
      </c>
      <c r="E113" s="262"/>
      <c r="F113" s="262">
        <f t="shared" si="0"/>
        <v>24500</v>
      </c>
      <c r="G113" s="262">
        <f t="shared" si="0"/>
        <v>24500</v>
      </c>
    </row>
    <row r="114" spans="1:7" s="114" customFormat="1" ht="18" customHeight="1">
      <c r="A114" s="270"/>
      <c r="B114" s="270"/>
      <c r="C114" s="282"/>
      <c r="D114" s="484" t="s">
        <v>271</v>
      </c>
      <c r="E114" s="485"/>
      <c r="F114" s="485">
        <f>SUM(F116:F117)</f>
        <v>24500</v>
      </c>
      <c r="G114" s="485">
        <f>SUM(G116:G117)</f>
        <v>24500</v>
      </c>
    </row>
    <row r="115" spans="1:7" s="114" customFormat="1" ht="18" customHeight="1">
      <c r="A115" s="270"/>
      <c r="B115" s="270"/>
      <c r="C115" s="282"/>
      <c r="D115" s="276" t="s">
        <v>279</v>
      </c>
      <c r="E115" s="411"/>
      <c r="F115" s="411">
        <f>F116</f>
        <v>24500</v>
      </c>
      <c r="G115" s="411"/>
    </row>
    <row r="116" spans="1:7" s="114" customFormat="1" ht="25.5" customHeight="1">
      <c r="A116" s="270"/>
      <c r="B116" s="270"/>
      <c r="C116" s="271">
        <v>2820</v>
      </c>
      <c r="D116" s="221" t="s">
        <v>135</v>
      </c>
      <c r="E116" s="225"/>
      <c r="F116" s="225">
        <v>24500</v>
      </c>
      <c r="G116" s="225"/>
    </row>
    <row r="117" spans="1:7" s="114" customFormat="1" ht="19.5" customHeight="1">
      <c r="A117" s="271"/>
      <c r="B117" s="271"/>
      <c r="C117" s="271">
        <v>4300</v>
      </c>
      <c r="D117" s="221" t="s">
        <v>52</v>
      </c>
      <c r="E117" s="225"/>
      <c r="F117" s="225"/>
      <c r="G117" s="225">
        <v>24500</v>
      </c>
    </row>
    <row r="118" spans="1:7" s="114" customFormat="1" ht="18.75" customHeight="1">
      <c r="A118" s="35">
        <v>921</v>
      </c>
      <c r="B118" s="35"/>
      <c r="C118" s="35"/>
      <c r="D118" s="35" t="s">
        <v>134</v>
      </c>
      <c r="E118" s="112"/>
      <c r="F118" s="112"/>
      <c r="G118" s="112">
        <f>G119</f>
        <v>50000</v>
      </c>
    </row>
    <row r="119" spans="1:7" s="32" customFormat="1" ht="18.75" customHeight="1">
      <c r="A119" s="135"/>
      <c r="B119" s="30">
        <v>92109</v>
      </c>
      <c r="C119" s="30"/>
      <c r="D119" s="30" t="s">
        <v>162</v>
      </c>
      <c r="E119" s="120"/>
      <c r="F119" s="120"/>
      <c r="G119" s="120">
        <f>G120</f>
        <v>50000</v>
      </c>
    </row>
    <row r="120" spans="1:7" s="114" customFormat="1" ht="18" customHeight="1">
      <c r="A120" s="350"/>
      <c r="B120" s="350"/>
      <c r="C120" s="350"/>
      <c r="D120" s="533" t="s">
        <v>189</v>
      </c>
      <c r="E120" s="534"/>
      <c r="F120" s="534"/>
      <c r="G120" s="534">
        <f>G121</f>
        <v>50000</v>
      </c>
    </row>
    <row r="121" spans="1:7" s="114" customFormat="1" ht="18" customHeight="1">
      <c r="A121" s="270"/>
      <c r="B121" s="270"/>
      <c r="C121" s="240">
        <v>2480</v>
      </c>
      <c r="D121" s="221" t="s">
        <v>163</v>
      </c>
      <c r="E121" s="412"/>
      <c r="F121" s="412"/>
      <c r="G121" s="412">
        <v>50000</v>
      </c>
    </row>
    <row r="122" spans="1:8" s="339" customFormat="1" ht="21.75" customHeight="1">
      <c r="A122" s="298"/>
      <c r="B122" s="338"/>
      <c r="C122" s="338"/>
      <c r="D122" s="298" t="s">
        <v>168</v>
      </c>
      <c r="E122" s="299">
        <f>E123</f>
        <v>180000</v>
      </c>
      <c r="F122" s="299"/>
      <c r="G122" s="299">
        <f>G128</f>
        <v>230000</v>
      </c>
      <c r="H122" s="345"/>
    </row>
    <row r="123" spans="1:7" s="114" customFormat="1" ht="18.75" customHeight="1" thickBot="1">
      <c r="A123" s="271"/>
      <c r="B123" s="346"/>
      <c r="C123" s="346"/>
      <c r="D123" s="347" t="s">
        <v>146</v>
      </c>
      <c r="E123" s="111">
        <f>E124</f>
        <v>180000</v>
      </c>
      <c r="F123" s="111"/>
      <c r="G123" s="111"/>
    </row>
    <row r="124" spans="1:7" s="114" customFormat="1" ht="18" customHeight="1" thickTop="1">
      <c r="A124" s="340">
        <v>900</v>
      </c>
      <c r="B124" s="340"/>
      <c r="C124" s="340"/>
      <c r="D124" s="340" t="s">
        <v>21</v>
      </c>
      <c r="E124" s="112">
        <f>E125</f>
        <v>180000</v>
      </c>
      <c r="F124" s="112"/>
      <c r="G124" s="112"/>
    </row>
    <row r="125" spans="1:7" s="32" customFormat="1" ht="18" customHeight="1">
      <c r="A125" s="28"/>
      <c r="B125" s="37">
        <v>90013</v>
      </c>
      <c r="C125" s="37"/>
      <c r="D125" s="37" t="s">
        <v>119</v>
      </c>
      <c r="E125" s="113">
        <f>E126</f>
        <v>180000</v>
      </c>
      <c r="F125" s="113"/>
      <c r="G125" s="113"/>
    </row>
    <row r="126" spans="1:7" s="114" customFormat="1" ht="18" customHeight="1">
      <c r="A126" s="28"/>
      <c r="B126" s="28"/>
      <c r="C126" s="28"/>
      <c r="D126" s="260" t="s">
        <v>154</v>
      </c>
      <c r="E126" s="352">
        <f>E127</f>
        <v>180000</v>
      </c>
      <c r="F126" s="352"/>
      <c r="G126" s="352"/>
    </row>
    <row r="127" spans="1:7" s="114" customFormat="1" ht="25.5" customHeight="1">
      <c r="A127" s="270"/>
      <c r="B127" s="270"/>
      <c r="C127" s="271">
        <v>6290</v>
      </c>
      <c r="D127" s="406" t="s">
        <v>129</v>
      </c>
      <c r="E127" s="225">
        <v>180000</v>
      </c>
      <c r="F127" s="225"/>
      <c r="G127" s="225"/>
    </row>
    <row r="128" spans="1:7" s="114" customFormat="1" ht="24.75" customHeight="1" thickBot="1">
      <c r="A128" s="271"/>
      <c r="B128" s="346"/>
      <c r="C128" s="346"/>
      <c r="D128" s="347" t="s">
        <v>131</v>
      </c>
      <c r="E128" s="111"/>
      <c r="F128" s="111"/>
      <c r="G128" s="111">
        <f>G129+G134</f>
        <v>230000</v>
      </c>
    </row>
    <row r="129" spans="1:7" s="114" customFormat="1" ht="18" customHeight="1" thickTop="1">
      <c r="A129" s="35">
        <v>851</v>
      </c>
      <c r="B129" s="35"/>
      <c r="C129" s="35"/>
      <c r="D129" s="36" t="s">
        <v>59</v>
      </c>
      <c r="E129" s="231"/>
      <c r="F129" s="231"/>
      <c r="G129" s="231">
        <f>G130</f>
        <v>50000</v>
      </c>
    </row>
    <row r="130" spans="1:7" s="114" customFormat="1" ht="18" customHeight="1">
      <c r="A130" s="28"/>
      <c r="B130" s="37">
        <v>85121</v>
      </c>
      <c r="C130" s="37"/>
      <c r="D130" s="38" t="s">
        <v>157</v>
      </c>
      <c r="E130" s="40"/>
      <c r="F130" s="40"/>
      <c r="G130" s="40">
        <f>G131</f>
        <v>50000</v>
      </c>
    </row>
    <row r="131" spans="1:7" s="114" customFormat="1" ht="18" customHeight="1">
      <c r="A131" s="28"/>
      <c r="B131" s="135"/>
      <c r="C131" s="135"/>
      <c r="D131" s="288" t="s">
        <v>56</v>
      </c>
      <c r="E131" s="168"/>
      <c r="F131" s="168"/>
      <c r="G131" s="168">
        <f>G133</f>
        <v>50000</v>
      </c>
    </row>
    <row r="132" spans="1:7" s="114" customFormat="1" ht="18" customHeight="1">
      <c r="A132" s="270"/>
      <c r="B132" s="270"/>
      <c r="C132" s="270"/>
      <c r="D132" s="482" t="s">
        <v>193</v>
      </c>
      <c r="E132" s="483"/>
      <c r="F132" s="483"/>
      <c r="G132" s="483">
        <f>G133</f>
        <v>50000</v>
      </c>
    </row>
    <row r="133" spans="1:7" s="114" customFormat="1" ht="18" customHeight="1">
      <c r="A133" s="271"/>
      <c r="B133" s="271"/>
      <c r="C133" s="271">
        <v>6050</v>
      </c>
      <c r="D133" s="221" t="s">
        <v>118</v>
      </c>
      <c r="E133" s="355"/>
      <c r="F133" s="355"/>
      <c r="G133" s="355">
        <v>50000</v>
      </c>
    </row>
    <row r="134" spans="1:7" s="114" customFormat="1" ht="18" customHeight="1">
      <c r="A134" s="35">
        <v>900</v>
      </c>
      <c r="B134" s="35"/>
      <c r="C134" s="35"/>
      <c r="D134" s="340" t="s">
        <v>21</v>
      </c>
      <c r="E134" s="231"/>
      <c r="F134" s="231"/>
      <c r="G134" s="231">
        <f>G135</f>
        <v>180000</v>
      </c>
    </row>
    <row r="135" spans="1:7" s="114" customFormat="1" ht="18" customHeight="1">
      <c r="A135" s="135"/>
      <c r="B135" s="30">
        <v>90013</v>
      </c>
      <c r="C135" s="30"/>
      <c r="D135" s="30" t="s">
        <v>119</v>
      </c>
      <c r="E135" s="31"/>
      <c r="F135" s="31"/>
      <c r="G135" s="31">
        <f>G136</f>
        <v>180000</v>
      </c>
    </row>
    <row r="136" spans="1:7" s="114" customFormat="1" ht="18" customHeight="1">
      <c r="A136" s="28"/>
      <c r="B136" s="135"/>
      <c r="C136" s="135"/>
      <c r="D136" s="288" t="s">
        <v>56</v>
      </c>
      <c r="E136" s="168"/>
      <c r="F136" s="168"/>
      <c r="G136" s="168">
        <f>G138</f>
        <v>180000</v>
      </c>
    </row>
    <row r="137" spans="1:7" s="114" customFormat="1" ht="18" customHeight="1">
      <c r="A137" s="270"/>
      <c r="B137" s="270"/>
      <c r="C137" s="270"/>
      <c r="D137" s="482" t="s">
        <v>194</v>
      </c>
      <c r="E137" s="483"/>
      <c r="F137" s="483"/>
      <c r="G137" s="483">
        <f>G138</f>
        <v>180000</v>
      </c>
    </row>
    <row r="138" spans="1:7" s="114" customFormat="1" ht="18" customHeight="1">
      <c r="A138" s="270"/>
      <c r="B138" s="270"/>
      <c r="C138" s="270">
        <v>6050</v>
      </c>
      <c r="D138" s="516" t="s">
        <v>118</v>
      </c>
      <c r="E138" s="551"/>
      <c r="F138" s="551"/>
      <c r="G138" s="551">
        <v>180000</v>
      </c>
    </row>
    <row r="139" spans="1:7" s="114" customFormat="1" ht="18" customHeight="1">
      <c r="A139" s="531"/>
      <c r="B139" s="531"/>
      <c r="C139" s="531"/>
      <c r="D139" s="532"/>
      <c r="E139" s="552"/>
      <c r="F139" s="552"/>
      <c r="G139" s="552"/>
    </row>
    <row r="140" spans="1:7" s="114" customFormat="1" ht="18" customHeight="1">
      <c r="A140" s="553"/>
      <c r="B140" s="553"/>
      <c r="C140" s="553"/>
      <c r="D140" s="554"/>
      <c r="E140" s="555"/>
      <c r="F140" s="555"/>
      <c r="G140" s="555"/>
    </row>
    <row r="141" spans="1:7" s="114" customFormat="1" ht="18" customHeight="1">
      <c r="A141" s="553"/>
      <c r="B141" s="553"/>
      <c r="C141" s="553"/>
      <c r="D141" s="554"/>
      <c r="E141" s="555"/>
      <c r="F141" s="555"/>
      <c r="G141" s="555"/>
    </row>
    <row r="142" spans="1:8" s="339" customFormat="1" ht="23.25" customHeight="1">
      <c r="A142" s="298"/>
      <c r="B142" s="338"/>
      <c r="C142" s="338"/>
      <c r="D142" s="298" t="s">
        <v>169</v>
      </c>
      <c r="E142" s="299"/>
      <c r="F142" s="299"/>
      <c r="G142" s="299">
        <f>G143</f>
        <v>299</v>
      </c>
      <c r="H142" s="345"/>
    </row>
    <row r="143" spans="1:7" s="114" customFormat="1" ht="18" customHeight="1" thickBot="1">
      <c r="A143" s="271"/>
      <c r="B143" s="346"/>
      <c r="C143" s="346"/>
      <c r="D143" s="347" t="s">
        <v>41</v>
      </c>
      <c r="E143" s="111"/>
      <c r="F143" s="111"/>
      <c r="G143" s="111">
        <f>G144</f>
        <v>299</v>
      </c>
    </row>
    <row r="144" spans="1:7" ht="19.5" customHeight="1" thickTop="1">
      <c r="A144" s="35">
        <v>750</v>
      </c>
      <c r="B144" s="35"/>
      <c r="C144" s="35"/>
      <c r="D144" s="35" t="s">
        <v>31</v>
      </c>
      <c r="E144" s="112"/>
      <c r="F144" s="112"/>
      <c r="G144" s="112">
        <f>G145</f>
        <v>299</v>
      </c>
    </row>
    <row r="145" spans="1:7" ht="19.5" customHeight="1">
      <c r="A145" s="28"/>
      <c r="B145" s="30">
        <v>75095</v>
      </c>
      <c r="C145" s="30"/>
      <c r="D145" s="38" t="s">
        <v>4</v>
      </c>
      <c r="E145" s="341"/>
      <c r="F145" s="341"/>
      <c r="G145" s="113">
        <f>G146</f>
        <v>299</v>
      </c>
    </row>
    <row r="146" spans="1:7" s="114" customFormat="1" ht="18" customHeight="1">
      <c r="A146" s="28"/>
      <c r="B146" s="28"/>
      <c r="C146" s="135"/>
      <c r="D146" s="278" t="s">
        <v>90</v>
      </c>
      <c r="E146" s="342"/>
      <c r="F146" s="342"/>
      <c r="G146" s="279">
        <f>SUM(G147:G147)</f>
        <v>299</v>
      </c>
    </row>
    <row r="147" spans="1:7" s="114" customFormat="1" ht="18" customHeight="1">
      <c r="A147" s="33"/>
      <c r="B147" s="33"/>
      <c r="C147" s="271">
        <v>4210</v>
      </c>
      <c r="D147" s="221" t="s">
        <v>76</v>
      </c>
      <c r="E147" s="343"/>
      <c r="F147" s="343"/>
      <c r="G147" s="182">
        <v>299</v>
      </c>
    </row>
    <row r="148" spans="1:8" s="339" customFormat="1" ht="20.25" customHeight="1">
      <c r="A148" s="298"/>
      <c r="B148" s="338"/>
      <c r="C148" s="338"/>
      <c r="D148" s="298" t="s">
        <v>170</v>
      </c>
      <c r="E148" s="299"/>
      <c r="F148" s="299"/>
      <c r="G148" s="299">
        <f>G149</f>
        <v>200000</v>
      </c>
      <c r="H148" s="345"/>
    </row>
    <row r="149" spans="1:7" s="114" customFormat="1" ht="28.5" customHeight="1" thickBot="1">
      <c r="A149" s="271"/>
      <c r="B149" s="346"/>
      <c r="C149" s="346"/>
      <c r="D149" s="347" t="s">
        <v>131</v>
      </c>
      <c r="E149" s="111"/>
      <c r="F149" s="111"/>
      <c r="G149" s="111">
        <f>G150</f>
        <v>200000</v>
      </c>
    </row>
    <row r="150" spans="1:7" ht="19.5" customHeight="1" thickTop="1">
      <c r="A150" s="20">
        <v>852</v>
      </c>
      <c r="B150" s="35"/>
      <c r="C150" s="35"/>
      <c r="D150" s="36" t="s">
        <v>12</v>
      </c>
      <c r="E150" s="112"/>
      <c r="F150" s="112"/>
      <c r="G150" s="112">
        <f>G151</f>
        <v>200000</v>
      </c>
    </row>
    <row r="151" spans="1:7" ht="19.5" customHeight="1">
      <c r="A151" s="28"/>
      <c r="B151" s="37">
        <v>85201</v>
      </c>
      <c r="C151" s="37"/>
      <c r="D151" s="38" t="s">
        <v>88</v>
      </c>
      <c r="E151" s="341"/>
      <c r="F151" s="341"/>
      <c r="G151" s="341">
        <f>G152</f>
        <v>200000</v>
      </c>
    </row>
    <row r="152" spans="1:7" ht="19.5" customHeight="1">
      <c r="A152" s="28"/>
      <c r="B152" s="28"/>
      <c r="C152" s="28"/>
      <c r="D152" s="278" t="s">
        <v>56</v>
      </c>
      <c r="E152" s="354"/>
      <c r="F152" s="354"/>
      <c r="G152" s="354">
        <f>G154</f>
        <v>200000</v>
      </c>
    </row>
    <row r="153" spans="1:7" s="114" customFormat="1" ht="19.5" customHeight="1">
      <c r="A153" s="270"/>
      <c r="B153" s="270"/>
      <c r="C153" s="270"/>
      <c r="D153" s="484" t="s">
        <v>195</v>
      </c>
      <c r="E153" s="485"/>
      <c r="F153" s="485"/>
      <c r="G153" s="485">
        <f>G154</f>
        <v>200000</v>
      </c>
    </row>
    <row r="154" spans="1:7" s="114" customFormat="1" ht="19.5" customHeight="1">
      <c r="A154" s="270"/>
      <c r="B154" s="28"/>
      <c r="C154" s="271">
        <v>6050</v>
      </c>
      <c r="D154" s="221" t="s">
        <v>118</v>
      </c>
      <c r="E154" s="412"/>
      <c r="F154" s="412"/>
      <c r="G154" s="412">
        <v>200000</v>
      </c>
    </row>
    <row r="155" spans="1:8" s="339" customFormat="1" ht="17.25" customHeight="1">
      <c r="A155" s="298"/>
      <c r="B155" s="338"/>
      <c r="C155" s="338"/>
      <c r="D155" s="298" t="s">
        <v>207</v>
      </c>
      <c r="E155" s="299"/>
      <c r="F155" s="299"/>
      <c r="G155" s="299">
        <f>G156</f>
        <v>7750</v>
      </c>
      <c r="H155" s="345"/>
    </row>
    <row r="156" spans="1:7" s="114" customFormat="1" ht="19.5" customHeight="1" thickBot="1">
      <c r="A156" s="271"/>
      <c r="B156" s="346"/>
      <c r="C156" s="346"/>
      <c r="D156" s="347" t="s">
        <v>131</v>
      </c>
      <c r="E156" s="111"/>
      <c r="F156" s="111"/>
      <c r="G156" s="111">
        <f>G157</f>
        <v>7750</v>
      </c>
    </row>
    <row r="157" spans="1:7" ht="19.5" customHeight="1" thickTop="1">
      <c r="A157" s="35">
        <v>801</v>
      </c>
      <c r="B157" s="35"/>
      <c r="C157" s="35"/>
      <c r="D157" s="35" t="s">
        <v>10</v>
      </c>
      <c r="E157" s="112"/>
      <c r="F157" s="112"/>
      <c r="G157" s="112">
        <f>G158</f>
        <v>7750</v>
      </c>
    </row>
    <row r="158" spans="1:7" ht="19.5" customHeight="1">
      <c r="A158" s="28"/>
      <c r="B158" s="30">
        <v>80195</v>
      </c>
      <c r="C158" s="30"/>
      <c r="D158" s="30" t="s">
        <v>4</v>
      </c>
      <c r="E158" s="341"/>
      <c r="F158" s="341"/>
      <c r="G158" s="341">
        <f>G159</f>
        <v>7750</v>
      </c>
    </row>
    <row r="159" spans="1:7" ht="25.5" customHeight="1">
      <c r="A159" s="350"/>
      <c r="B159" s="351"/>
      <c r="C159" s="351"/>
      <c r="D159" s="278" t="s">
        <v>117</v>
      </c>
      <c r="E159" s="354"/>
      <c r="F159" s="354"/>
      <c r="G159" s="354">
        <f>G160</f>
        <v>7750</v>
      </c>
    </row>
    <row r="160" spans="1:7" s="114" customFormat="1" ht="19.5" customHeight="1">
      <c r="A160" s="270"/>
      <c r="B160" s="270"/>
      <c r="C160" s="240">
        <v>4440</v>
      </c>
      <c r="D160" s="221" t="s">
        <v>116</v>
      </c>
      <c r="E160" s="509"/>
      <c r="F160" s="509"/>
      <c r="G160" s="509">
        <f>SUM(G161:G220)</f>
        <v>7750</v>
      </c>
    </row>
    <row r="161" spans="1:7" ht="18" customHeight="1">
      <c r="A161" s="28"/>
      <c r="B161" s="511"/>
      <c r="C161" s="510"/>
      <c r="D161" s="135" t="s">
        <v>208</v>
      </c>
      <c r="E161" s="135"/>
      <c r="F161" s="135"/>
      <c r="G161" s="135">
        <v>165</v>
      </c>
    </row>
    <row r="162" spans="1:7" ht="18" customHeight="1">
      <c r="A162" s="28"/>
      <c r="B162" s="511"/>
      <c r="C162" s="511"/>
      <c r="D162" s="513" t="s">
        <v>209</v>
      </c>
      <c r="E162" s="513"/>
      <c r="F162" s="513"/>
      <c r="G162" s="513">
        <v>110</v>
      </c>
    </row>
    <row r="163" spans="1:7" ht="18" customHeight="1">
      <c r="A163" s="28"/>
      <c r="B163" s="511"/>
      <c r="C163" s="511"/>
      <c r="D163" s="513" t="s">
        <v>210</v>
      </c>
      <c r="E163" s="513"/>
      <c r="F163" s="513"/>
      <c r="G163" s="513">
        <v>55</v>
      </c>
    </row>
    <row r="164" spans="1:7" ht="18" customHeight="1">
      <c r="A164" s="33"/>
      <c r="B164" s="512"/>
      <c r="C164" s="512"/>
      <c r="D164" s="536" t="s">
        <v>211</v>
      </c>
      <c r="E164" s="536"/>
      <c r="F164" s="536"/>
      <c r="G164" s="536">
        <v>414</v>
      </c>
    </row>
    <row r="165" spans="1:7" ht="18" customHeight="1">
      <c r="A165" s="28"/>
      <c r="B165" s="511"/>
      <c r="C165" s="511"/>
      <c r="D165" s="535" t="s">
        <v>212</v>
      </c>
      <c r="E165" s="535"/>
      <c r="F165" s="535"/>
      <c r="G165" s="535">
        <v>55</v>
      </c>
    </row>
    <row r="166" spans="1:7" ht="18" customHeight="1">
      <c r="A166" s="28"/>
      <c r="B166" s="511"/>
      <c r="C166" s="511"/>
      <c r="D166" s="513" t="s">
        <v>213</v>
      </c>
      <c r="E166" s="513"/>
      <c r="F166" s="513"/>
      <c r="G166" s="513">
        <v>221</v>
      </c>
    </row>
    <row r="167" spans="1:7" ht="18" customHeight="1">
      <c r="A167" s="28"/>
      <c r="B167" s="511"/>
      <c r="C167" s="511"/>
      <c r="D167" s="513" t="s">
        <v>214</v>
      </c>
      <c r="E167" s="513"/>
      <c r="F167" s="513"/>
      <c r="G167" s="513">
        <v>276</v>
      </c>
    </row>
    <row r="168" spans="1:7" ht="18" customHeight="1">
      <c r="A168" s="28"/>
      <c r="B168" s="511"/>
      <c r="C168" s="511"/>
      <c r="D168" s="513" t="s">
        <v>215</v>
      </c>
      <c r="E168" s="513"/>
      <c r="F168" s="513"/>
      <c r="G168" s="513">
        <v>165</v>
      </c>
    </row>
    <row r="169" spans="1:7" ht="18" customHeight="1">
      <c r="A169" s="28"/>
      <c r="B169" s="511"/>
      <c r="C169" s="511"/>
      <c r="D169" s="513" t="s">
        <v>216</v>
      </c>
      <c r="E169" s="513"/>
      <c r="F169" s="513"/>
      <c r="G169" s="513">
        <v>165</v>
      </c>
    </row>
    <row r="170" spans="1:7" ht="18" customHeight="1">
      <c r="A170" s="28"/>
      <c r="B170" s="511"/>
      <c r="C170" s="511"/>
      <c r="D170" s="513" t="s">
        <v>217</v>
      </c>
      <c r="E170" s="513"/>
      <c r="F170" s="513"/>
      <c r="G170" s="513">
        <v>28</v>
      </c>
    </row>
    <row r="171" spans="1:7" ht="18" customHeight="1">
      <c r="A171" s="28"/>
      <c r="B171" s="511"/>
      <c r="C171" s="511"/>
      <c r="D171" s="513" t="s">
        <v>218</v>
      </c>
      <c r="E171" s="513"/>
      <c r="F171" s="513"/>
      <c r="G171" s="513">
        <v>110</v>
      </c>
    </row>
    <row r="172" spans="1:7" ht="18" customHeight="1">
      <c r="A172" s="28"/>
      <c r="B172" s="511"/>
      <c r="C172" s="511"/>
      <c r="D172" s="535" t="s">
        <v>219</v>
      </c>
      <c r="E172" s="535"/>
      <c r="F172" s="535"/>
      <c r="G172" s="535">
        <v>28</v>
      </c>
    </row>
    <row r="173" spans="1:7" ht="18" customHeight="1">
      <c r="A173" s="28"/>
      <c r="B173" s="511"/>
      <c r="C173" s="511"/>
      <c r="D173" s="513" t="s">
        <v>220</v>
      </c>
      <c r="E173" s="513"/>
      <c r="F173" s="513"/>
      <c r="G173" s="513">
        <v>110</v>
      </c>
    </row>
    <row r="174" spans="1:7" ht="18" customHeight="1">
      <c r="A174" s="28"/>
      <c r="B174" s="511"/>
      <c r="C174" s="511"/>
      <c r="D174" s="513" t="s">
        <v>221</v>
      </c>
      <c r="E174" s="513"/>
      <c r="F174" s="513"/>
      <c r="G174" s="513">
        <v>165</v>
      </c>
    </row>
    <row r="175" spans="1:7" ht="18" customHeight="1">
      <c r="A175" s="28"/>
      <c r="B175" s="511"/>
      <c r="C175" s="511"/>
      <c r="D175" s="513" t="s">
        <v>222</v>
      </c>
      <c r="E175" s="513"/>
      <c r="F175" s="513"/>
      <c r="G175" s="513">
        <v>138</v>
      </c>
    </row>
    <row r="176" spans="1:7" ht="18" customHeight="1">
      <c r="A176" s="28"/>
      <c r="B176" s="511"/>
      <c r="C176" s="511"/>
      <c r="D176" s="513" t="s">
        <v>223</v>
      </c>
      <c r="E176" s="513"/>
      <c r="F176" s="513"/>
      <c r="G176" s="513">
        <v>221</v>
      </c>
    </row>
    <row r="177" spans="1:7" ht="18" customHeight="1">
      <c r="A177" s="28"/>
      <c r="B177" s="511"/>
      <c r="C177" s="511"/>
      <c r="D177" s="513" t="s">
        <v>224</v>
      </c>
      <c r="E177" s="513"/>
      <c r="F177" s="513"/>
      <c r="G177" s="513">
        <v>55</v>
      </c>
    </row>
    <row r="178" spans="1:7" ht="18" customHeight="1">
      <c r="A178" s="28"/>
      <c r="B178" s="511"/>
      <c r="C178" s="511"/>
      <c r="D178" s="513" t="s">
        <v>225</v>
      </c>
      <c r="E178" s="513"/>
      <c r="F178" s="513"/>
      <c r="G178" s="513">
        <v>138</v>
      </c>
    </row>
    <row r="179" spans="1:7" ht="18" customHeight="1">
      <c r="A179" s="28"/>
      <c r="B179" s="511"/>
      <c r="C179" s="511"/>
      <c r="D179" s="513" t="s">
        <v>226</v>
      </c>
      <c r="E179" s="513"/>
      <c r="F179" s="513"/>
      <c r="G179" s="513">
        <v>138</v>
      </c>
    </row>
    <row r="180" spans="1:7" ht="18" customHeight="1">
      <c r="A180" s="28"/>
      <c r="B180" s="511"/>
      <c r="C180" s="511"/>
      <c r="D180" s="513" t="s">
        <v>227</v>
      </c>
      <c r="E180" s="513"/>
      <c r="F180" s="513"/>
      <c r="G180" s="513">
        <v>83</v>
      </c>
    </row>
    <row r="181" spans="1:7" ht="18" customHeight="1">
      <c r="A181" s="28"/>
      <c r="B181" s="511"/>
      <c r="C181" s="511"/>
      <c r="D181" s="513" t="s">
        <v>228</v>
      </c>
      <c r="E181" s="513"/>
      <c r="F181" s="513"/>
      <c r="G181" s="513">
        <v>83</v>
      </c>
    </row>
    <row r="182" spans="1:7" ht="18" customHeight="1">
      <c r="A182" s="28"/>
      <c r="B182" s="511"/>
      <c r="C182" s="511"/>
      <c r="D182" s="513" t="s">
        <v>229</v>
      </c>
      <c r="E182" s="513"/>
      <c r="F182" s="513"/>
      <c r="G182" s="513">
        <v>83</v>
      </c>
    </row>
    <row r="183" spans="1:7" ht="18" customHeight="1">
      <c r="A183" s="28"/>
      <c r="B183" s="511"/>
      <c r="C183" s="511"/>
      <c r="D183" s="513" t="s">
        <v>230</v>
      </c>
      <c r="E183" s="513"/>
      <c r="F183" s="513"/>
      <c r="G183" s="513">
        <v>221</v>
      </c>
    </row>
    <row r="184" spans="1:7" ht="18" customHeight="1">
      <c r="A184" s="28"/>
      <c r="B184" s="511"/>
      <c r="C184" s="511"/>
      <c r="D184" s="513" t="s">
        <v>231</v>
      </c>
      <c r="E184" s="513"/>
      <c r="F184" s="513"/>
      <c r="G184" s="513">
        <v>221</v>
      </c>
    </row>
    <row r="185" spans="1:7" ht="18" customHeight="1">
      <c r="A185" s="28"/>
      <c r="B185" s="511"/>
      <c r="C185" s="511"/>
      <c r="D185" s="513" t="s">
        <v>232</v>
      </c>
      <c r="E185" s="513"/>
      <c r="F185" s="513"/>
      <c r="G185" s="513">
        <v>248</v>
      </c>
    </row>
    <row r="186" spans="1:7" ht="18" customHeight="1">
      <c r="A186" s="28"/>
      <c r="B186" s="511"/>
      <c r="C186" s="511"/>
      <c r="D186" s="513" t="s">
        <v>233</v>
      </c>
      <c r="E186" s="513"/>
      <c r="F186" s="513"/>
      <c r="G186" s="513">
        <v>55</v>
      </c>
    </row>
    <row r="187" spans="1:7" ht="18" customHeight="1">
      <c r="A187" s="28"/>
      <c r="B187" s="511"/>
      <c r="C187" s="511"/>
      <c r="D187" s="513" t="s">
        <v>234</v>
      </c>
      <c r="E187" s="513"/>
      <c r="F187" s="513"/>
      <c r="G187" s="513">
        <v>221</v>
      </c>
    </row>
    <row r="188" spans="1:7" ht="18" customHeight="1">
      <c r="A188" s="28"/>
      <c r="B188" s="511"/>
      <c r="C188" s="511"/>
      <c r="D188" s="513" t="s">
        <v>235</v>
      </c>
      <c r="E188" s="513"/>
      <c r="F188" s="513"/>
      <c r="G188" s="513">
        <v>165</v>
      </c>
    </row>
    <row r="189" spans="1:7" ht="18" customHeight="1">
      <c r="A189" s="28"/>
      <c r="B189" s="511"/>
      <c r="C189" s="511"/>
      <c r="D189" s="513" t="s">
        <v>236</v>
      </c>
      <c r="E189" s="513"/>
      <c r="F189" s="513"/>
      <c r="G189" s="513">
        <v>165</v>
      </c>
    </row>
    <row r="190" spans="1:7" ht="18" customHeight="1">
      <c r="A190" s="33"/>
      <c r="B190" s="512"/>
      <c r="C190" s="512"/>
      <c r="D190" s="536" t="s">
        <v>237</v>
      </c>
      <c r="E190" s="536"/>
      <c r="F190" s="536"/>
      <c r="G190" s="536">
        <v>138</v>
      </c>
    </row>
    <row r="191" spans="1:7" ht="18" customHeight="1">
      <c r="A191" s="28"/>
      <c r="B191" s="511"/>
      <c r="C191" s="511"/>
      <c r="D191" s="535" t="s">
        <v>238</v>
      </c>
      <c r="E191" s="535"/>
      <c r="F191" s="535"/>
      <c r="G191" s="535">
        <v>83</v>
      </c>
    </row>
    <row r="192" spans="1:7" ht="18" customHeight="1">
      <c r="A192" s="28"/>
      <c r="B192" s="511"/>
      <c r="C192" s="511"/>
      <c r="D192" s="513" t="s">
        <v>239</v>
      </c>
      <c r="E192" s="513"/>
      <c r="F192" s="513"/>
      <c r="G192" s="513">
        <v>83</v>
      </c>
    </row>
    <row r="193" spans="1:7" ht="18" customHeight="1">
      <c r="A193" s="28"/>
      <c r="B193" s="511"/>
      <c r="C193" s="511"/>
      <c r="D193" s="513" t="s">
        <v>240</v>
      </c>
      <c r="E193" s="513"/>
      <c r="F193" s="513"/>
      <c r="G193" s="513">
        <v>110</v>
      </c>
    </row>
    <row r="194" spans="1:7" ht="18" customHeight="1">
      <c r="A194" s="28"/>
      <c r="B194" s="511"/>
      <c r="C194" s="511"/>
      <c r="D194" s="513" t="s">
        <v>241</v>
      </c>
      <c r="E194" s="513"/>
      <c r="F194" s="513"/>
      <c r="G194" s="513">
        <v>165</v>
      </c>
    </row>
    <row r="195" spans="1:7" ht="18" customHeight="1">
      <c r="A195" s="28"/>
      <c r="B195" s="511"/>
      <c r="C195" s="511"/>
      <c r="D195" s="513" t="s">
        <v>242</v>
      </c>
      <c r="E195" s="513"/>
      <c r="F195" s="513"/>
      <c r="G195" s="513">
        <v>193</v>
      </c>
    </row>
    <row r="196" spans="1:7" ht="18" customHeight="1">
      <c r="A196" s="28"/>
      <c r="B196" s="511"/>
      <c r="C196" s="511"/>
      <c r="D196" s="513" t="s">
        <v>243</v>
      </c>
      <c r="E196" s="513"/>
      <c r="F196" s="513"/>
      <c r="G196" s="513">
        <v>138</v>
      </c>
    </row>
    <row r="197" spans="1:7" ht="18" customHeight="1">
      <c r="A197" s="28"/>
      <c r="B197" s="511"/>
      <c r="C197" s="511"/>
      <c r="D197" s="513" t="s">
        <v>244</v>
      </c>
      <c r="E197" s="513"/>
      <c r="F197" s="513"/>
      <c r="G197" s="513">
        <v>138</v>
      </c>
    </row>
    <row r="198" spans="1:7" ht="18" customHeight="1">
      <c r="A198" s="28"/>
      <c r="B198" s="511"/>
      <c r="C198" s="511"/>
      <c r="D198" s="535" t="s">
        <v>245</v>
      </c>
      <c r="E198" s="535"/>
      <c r="F198" s="535"/>
      <c r="G198" s="535">
        <v>165</v>
      </c>
    </row>
    <row r="199" spans="1:7" ht="18" customHeight="1">
      <c r="A199" s="28"/>
      <c r="B199" s="511"/>
      <c r="C199" s="511"/>
      <c r="D199" s="513" t="s">
        <v>246</v>
      </c>
      <c r="E199" s="513"/>
      <c r="F199" s="513"/>
      <c r="G199" s="513">
        <v>110</v>
      </c>
    </row>
    <row r="200" spans="1:7" ht="18" customHeight="1">
      <c r="A200" s="28"/>
      <c r="B200" s="511"/>
      <c r="C200" s="511"/>
      <c r="D200" s="513" t="s">
        <v>247</v>
      </c>
      <c r="E200" s="513"/>
      <c r="F200" s="513"/>
      <c r="G200" s="513">
        <v>165</v>
      </c>
    </row>
    <row r="201" spans="1:7" ht="18" customHeight="1">
      <c r="A201" s="28"/>
      <c r="B201" s="511"/>
      <c r="C201" s="511"/>
      <c r="D201" s="513" t="s">
        <v>248</v>
      </c>
      <c r="E201" s="513"/>
      <c r="F201" s="513"/>
      <c r="G201" s="513">
        <v>138</v>
      </c>
    </row>
    <row r="202" spans="1:7" ht="18" customHeight="1">
      <c r="A202" s="28"/>
      <c r="B202" s="511"/>
      <c r="C202" s="511"/>
      <c r="D202" s="513" t="s">
        <v>249</v>
      </c>
      <c r="E202" s="513"/>
      <c r="F202" s="513"/>
      <c r="G202" s="513">
        <v>193</v>
      </c>
    </row>
    <row r="203" spans="1:7" ht="18" customHeight="1">
      <c r="A203" s="28"/>
      <c r="B203" s="511"/>
      <c r="C203" s="511"/>
      <c r="D203" s="513" t="s">
        <v>250</v>
      </c>
      <c r="E203" s="513"/>
      <c r="F203" s="513"/>
      <c r="G203" s="513">
        <v>165</v>
      </c>
    </row>
    <row r="204" spans="1:7" ht="18" customHeight="1">
      <c r="A204" s="28"/>
      <c r="B204" s="511"/>
      <c r="C204" s="511"/>
      <c r="D204" s="513" t="s">
        <v>251</v>
      </c>
      <c r="E204" s="513"/>
      <c r="F204" s="513"/>
      <c r="G204" s="513">
        <v>221</v>
      </c>
    </row>
    <row r="205" spans="1:7" ht="18" customHeight="1">
      <c r="A205" s="28"/>
      <c r="B205" s="511"/>
      <c r="C205" s="511"/>
      <c r="D205" s="513" t="s">
        <v>252</v>
      </c>
      <c r="E205" s="513"/>
      <c r="F205" s="513"/>
      <c r="G205" s="513">
        <v>55</v>
      </c>
    </row>
    <row r="206" spans="1:7" ht="18" customHeight="1">
      <c r="A206" s="28"/>
      <c r="B206" s="511"/>
      <c r="C206" s="511"/>
      <c r="D206" s="513" t="s">
        <v>253</v>
      </c>
      <c r="E206" s="513"/>
      <c r="F206" s="513"/>
      <c r="G206" s="513">
        <v>55</v>
      </c>
    </row>
    <row r="207" spans="1:7" ht="18" customHeight="1">
      <c r="A207" s="28"/>
      <c r="B207" s="511"/>
      <c r="C207" s="511"/>
      <c r="D207" s="513" t="s">
        <v>254</v>
      </c>
      <c r="E207" s="513"/>
      <c r="F207" s="513"/>
      <c r="G207" s="513">
        <v>83</v>
      </c>
    </row>
    <row r="208" spans="1:7" ht="18" customHeight="1">
      <c r="A208" s="28"/>
      <c r="B208" s="511"/>
      <c r="C208" s="511"/>
      <c r="D208" s="513" t="s">
        <v>255</v>
      </c>
      <c r="E208" s="513"/>
      <c r="F208" s="513"/>
      <c r="G208" s="513">
        <v>55</v>
      </c>
    </row>
    <row r="209" spans="1:7" ht="18" customHeight="1">
      <c r="A209" s="28"/>
      <c r="B209" s="511"/>
      <c r="C209" s="511"/>
      <c r="D209" s="513" t="s">
        <v>256</v>
      </c>
      <c r="E209" s="513"/>
      <c r="F209" s="513"/>
      <c r="G209" s="513">
        <v>28</v>
      </c>
    </row>
    <row r="210" spans="1:7" ht="18" customHeight="1">
      <c r="A210" s="28"/>
      <c r="B210" s="511"/>
      <c r="C210" s="511"/>
      <c r="D210" s="513" t="s">
        <v>257</v>
      </c>
      <c r="E210" s="513"/>
      <c r="F210" s="513"/>
      <c r="G210" s="513">
        <v>222</v>
      </c>
    </row>
    <row r="211" spans="1:7" ht="18" customHeight="1">
      <c r="A211" s="28"/>
      <c r="B211" s="511"/>
      <c r="C211" s="511"/>
      <c r="D211" s="513" t="s">
        <v>258</v>
      </c>
      <c r="E211" s="513"/>
      <c r="F211" s="513"/>
      <c r="G211" s="513">
        <v>55</v>
      </c>
    </row>
    <row r="212" spans="1:7" ht="18" customHeight="1">
      <c r="A212" s="28"/>
      <c r="B212" s="511"/>
      <c r="C212" s="511"/>
      <c r="D212" s="513" t="s">
        <v>259</v>
      </c>
      <c r="E212" s="513"/>
      <c r="F212" s="513"/>
      <c r="G212" s="513">
        <v>28</v>
      </c>
    </row>
    <row r="213" spans="1:7" ht="18" customHeight="1">
      <c r="A213" s="28"/>
      <c r="B213" s="511"/>
      <c r="C213" s="511"/>
      <c r="D213" s="513" t="s">
        <v>260</v>
      </c>
      <c r="E213" s="513"/>
      <c r="F213" s="513"/>
      <c r="G213" s="513">
        <v>28</v>
      </c>
    </row>
    <row r="214" spans="1:7" ht="18" customHeight="1">
      <c r="A214" s="28"/>
      <c r="B214" s="511"/>
      <c r="C214" s="511"/>
      <c r="D214" s="513" t="s">
        <v>261</v>
      </c>
      <c r="E214" s="513"/>
      <c r="F214" s="513"/>
      <c r="G214" s="513">
        <v>55</v>
      </c>
    </row>
    <row r="215" spans="1:7" ht="18" customHeight="1">
      <c r="A215" s="28"/>
      <c r="B215" s="511"/>
      <c r="C215" s="511"/>
      <c r="D215" s="513" t="s">
        <v>262</v>
      </c>
      <c r="E215" s="513"/>
      <c r="F215" s="513"/>
      <c r="G215" s="513">
        <v>138</v>
      </c>
    </row>
    <row r="216" spans="1:7" ht="18" customHeight="1">
      <c r="A216" s="33"/>
      <c r="B216" s="512"/>
      <c r="C216" s="512"/>
      <c r="D216" s="536" t="s">
        <v>263</v>
      </c>
      <c r="E216" s="536"/>
      <c r="F216" s="536"/>
      <c r="G216" s="536">
        <v>165</v>
      </c>
    </row>
    <row r="217" spans="1:7" ht="18" customHeight="1">
      <c r="A217" s="28"/>
      <c r="B217" s="511"/>
      <c r="C217" s="511"/>
      <c r="D217" s="535" t="s">
        <v>264</v>
      </c>
      <c r="E217" s="535"/>
      <c r="F217" s="535"/>
      <c r="G217" s="535">
        <v>138</v>
      </c>
    </row>
    <row r="218" spans="1:7" ht="18" customHeight="1">
      <c r="A218" s="28"/>
      <c r="B218" s="511"/>
      <c r="C218" s="511"/>
      <c r="D218" s="513" t="s">
        <v>265</v>
      </c>
      <c r="E218" s="513"/>
      <c r="F218" s="513"/>
      <c r="G218" s="513">
        <v>55</v>
      </c>
    </row>
    <row r="219" spans="1:7" ht="18" customHeight="1">
      <c r="A219" s="28"/>
      <c r="B219" s="511"/>
      <c r="C219" s="511"/>
      <c r="D219" s="513" t="s">
        <v>266</v>
      </c>
      <c r="E219" s="513"/>
      <c r="F219" s="513"/>
      <c r="G219" s="513">
        <v>28</v>
      </c>
    </row>
    <row r="220" spans="1:7" ht="18" customHeight="1">
      <c r="A220" s="33"/>
      <c r="B220" s="512"/>
      <c r="C220" s="512"/>
      <c r="D220" s="33" t="s">
        <v>267</v>
      </c>
      <c r="E220" s="33"/>
      <c r="F220" s="33"/>
      <c r="G220" s="33">
        <v>55</v>
      </c>
    </row>
    <row r="223" spans="3:7" ht="12.75">
      <c r="C223" t="s">
        <v>291</v>
      </c>
      <c r="E223" s="92"/>
      <c r="F223" s="92" t="s">
        <v>295</v>
      </c>
      <c r="G223" s="92"/>
    </row>
    <row r="224" spans="3:7" ht="12.75">
      <c r="C224" t="s">
        <v>292</v>
      </c>
      <c r="E224" s="92"/>
      <c r="F224" s="92" t="s">
        <v>294</v>
      </c>
      <c r="G224" s="92"/>
    </row>
    <row r="225" spans="3:7" ht="12.75">
      <c r="C225" s="105" t="s">
        <v>290</v>
      </c>
      <c r="E225" s="92"/>
      <c r="F225" s="92" t="s">
        <v>293</v>
      </c>
      <c r="G225" s="92"/>
    </row>
  </sheetData>
  <mergeCells count="5">
    <mergeCell ref="F7:G7"/>
    <mergeCell ref="A7:A8"/>
    <mergeCell ref="B7:B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2.75"/>
  <cols>
    <col min="1" max="1" width="7.375" style="45" customWidth="1"/>
    <col min="2" max="2" width="8.125" style="45" customWidth="1"/>
    <col min="3" max="3" width="74.00390625" style="45" customWidth="1"/>
    <col min="4" max="4" width="26.375" style="45" customWidth="1"/>
    <col min="5" max="5" width="18.00390625" style="45" customWidth="1"/>
    <col min="6" max="6" width="23.75390625" style="45" customWidth="1"/>
  </cols>
  <sheetData>
    <row r="1" spans="4:5" ht="14.25">
      <c r="D1" s="46"/>
      <c r="E1" s="46" t="s">
        <v>182</v>
      </c>
    </row>
    <row r="2" spans="2:5" ht="15.75">
      <c r="B2" s="23" t="s">
        <v>26</v>
      </c>
      <c r="D2" s="46"/>
      <c r="E2" s="46" t="s">
        <v>287</v>
      </c>
    </row>
    <row r="3" spans="1:5" ht="15.75">
      <c r="A3" s="23"/>
      <c r="B3" s="23" t="s">
        <v>27</v>
      </c>
      <c r="D3" s="46"/>
      <c r="E3" s="46" t="s">
        <v>104</v>
      </c>
    </row>
    <row r="4" spans="2:5" ht="15.75">
      <c r="B4" s="23" t="s">
        <v>46</v>
      </c>
      <c r="D4" s="46"/>
      <c r="E4" s="46" t="s">
        <v>268</v>
      </c>
    </row>
    <row r="5" spans="1:6" ht="15.75">
      <c r="A5" s="23"/>
      <c r="C5" s="23"/>
      <c r="D5" s="23"/>
      <c r="E5" s="23"/>
      <c r="F5" s="23"/>
    </row>
    <row r="6" spans="3:6" ht="15.75" thickBot="1">
      <c r="C6" s="47"/>
      <c r="D6" s="48"/>
      <c r="E6" s="48"/>
      <c r="F6" s="494" t="s">
        <v>6</v>
      </c>
    </row>
    <row r="7" spans="1:6" ht="33" customHeight="1" thickTop="1">
      <c r="A7" s="49"/>
      <c r="B7" s="50"/>
      <c r="C7" s="51" t="s">
        <v>15</v>
      </c>
      <c r="D7" s="564" t="s">
        <v>201</v>
      </c>
      <c r="E7" s="564" t="s">
        <v>14</v>
      </c>
      <c r="F7" s="564" t="s">
        <v>28</v>
      </c>
    </row>
    <row r="8" spans="1:6" ht="45.75" customHeight="1" thickBot="1">
      <c r="A8" s="52" t="s">
        <v>0</v>
      </c>
      <c r="B8" s="53" t="s">
        <v>16</v>
      </c>
      <c r="C8" s="52" t="s">
        <v>17</v>
      </c>
      <c r="D8" s="566"/>
      <c r="E8" s="565"/>
      <c r="F8" s="565"/>
    </row>
    <row r="9" spans="1:6" ht="14.25" thickBot="1" thickTop="1">
      <c r="A9" s="87">
        <v>1</v>
      </c>
      <c r="B9" s="87">
        <v>2</v>
      </c>
      <c r="C9" s="87">
        <v>3</v>
      </c>
      <c r="D9" s="88">
        <v>4</v>
      </c>
      <c r="E9" s="88">
        <v>5</v>
      </c>
      <c r="F9" s="88">
        <v>6</v>
      </c>
    </row>
    <row r="10" spans="1:8" ht="24.75" customHeight="1" thickTop="1">
      <c r="A10" s="54"/>
      <c r="B10" s="54"/>
      <c r="C10" s="55" t="s">
        <v>18</v>
      </c>
      <c r="D10" s="56">
        <v>476420</v>
      </c>
      <c r="E10" s="56"/>
      <c r="F10" s="56">
        <f>E10+D10</f>
        <v>476420</v>
      </c>
      <c r="H10" s="92"/>
    </row>
    <row r="11" spans="1:6" ht="21.75" customHeight="1" hidden="1">
      <c r="A11" s="57"/>
      <c r="B11" s="57"/>
      <c r="C11" s="58" t="s">
        <v>19</v>
      </c>
      <c r="D11" s="59"/>
      <c r="E11" s="59"/>
      <c r="F11" s="59"/>
    </row>
    <row r="12" spans="1:6" ht="19.5" customHeight="1">
      <c r="A12" s="65"/>
      <c r="B12" s="499"/>
      <c r="C12" s="60" t="s">
        <v>20</v>
      </c>
      <c r="D12" s="61">
        <v>3025000</v>
      </c>
      <c r="E12" s="61">
        <f>E13</f>
        <v>40800</v>
      </c>
      <c r="F12" s="61">
        <f>E12+D12</f>
        <v>3065800</v>
      </c>
    </row>
    <row r="13" spans="1:6" s="498" customFormat="1" ht="19.5" customHeight="1">
      <c r="A13" s="496"/>
      <c r="B13" s="496"/>
      <c r="C13" s="500" t="s">
        <v>202</v>
      </c>
      <c r="D13" s="497">
        <v>3025000</v>
      </c>
      <c r="E13" s="497">
        <f>E14</f>
        <v>40800</v>
      </c>
      <c r="F13" s="497">
        <f>D13+E13</f>
        <v>3065800</v>
      </c>
    </row>
    <row r="14" spans="1:6" ht="19.5" customHeight="1">
      <c r="A14" s="62">
        <v>900</v>
      </c>
      <c r="B14" s="63"/>
      <c r="C14" s="64" t="s">
        <v>21</v>
      </c>
      <c r="D14" s="76">
        <v>3025000</v>
      </c>
      <c r="E14" s="76">
        <f>E15</f>
        <v>40800</v>
      </c>
      <c r="F14" s="76">
        <f>E14+D14</f>
        <v>3065800</v>
      </c>
    </row>
    <row r="15" spans="1:6" ht="19.5" customHeight="1">
      <c r="A15" s="65"/>
      <c r="B15" s="66">
        <v>90011</v>
      </c>
      <c r="C15" s="67" t="s">
        <v>22</v>
      </c>
      <c r="D15" s="77">
        <v>3025000</v>
      </c>
      <c r="E15" s="77">
        <f>E16</f>
        <v>40800</v>
      </c>
      <c r="F15" s="77">
        <f>E15+D15</f>
        <v>3065800</v>
      </c>
    </row>
    <row r="16" spans="1:6" ht="30.75" customHeight="1">
      <c r="A16" s="65"/>
      <c r="B16" s="65"/>
      <c r="C16" s="144" t="s">
        <v>198</v>
      </c>
      <c r="D16" s="143"/>
      <c r="E16" s="145">
        <f>E17</f>
        <v>40800</v>
      </c>
      <c r="F16" s="145">
        <f>E16+D16</f>
        <v>40800</v>
      </c>
    </row>
    <row r="17" spans="1:6" ht="19.5" customHeight="1">
      <c r="A17" s="65"/>
      <c r="B17" s="70">
        <v>2960</v>
      </c>
      <c r="C17" s="58" t="s">
        <v>50</v>
      </c>
      <c r="D17" s="146"/>
      <c r="E17" s="147">
        <f>8700+30000+2100</f>
        <v>40800</v>
      </c>
      <c r="F17" s="147">
        <f>E17+D17</f>
        <v>40800</v>
      </c>
    </row>
    <row r="18" spans="1:8" ht="21.75" customHeight="1">
      <c r="A18" s="71"/>
      <c r="B18" s="71"/>
      <c r="C18" s="72" t="s">
        <v>23</v>
      </c>
      <c r="D18" s="73">
        <f>D12+D10</f>
        <v>3501420</v>
      </c>
      <c r="E18" s="73"/>
      <c r="F18" s="73">
        <f>F12+F10</f>
        <v>3542220</v>
      </c>
      <c r="H18" s="92"/>
    </row>
    <row r="19" spans="1:6" ht="19.5" customHeight="1">
      <c r="A19" s="506"/>
      <c r="B19" s="491"/>
      <c r="C19" s="74" t="s">
        <v>24</v>
      </c>
      <c r="D19" s="75">
        <v>3400200</v>
      </c>
      <c r="E19" s="75">
        <f>E20+E39</f>
        <v>40800</v>
      </c>
      <c r="F19" s="75">
        <f aca="true" t="shared" si="0" ref="F19:F46">E19+D19</f>
        <v>3441000</v>
      </c>
    </row>
    <row r="20" spans="1:6" s="505" customFormat="1" ht="19.5" customHeight="1">
      <c r="A20" s="492"/>
      <c r="B20" s="493"/>
      <c r="C20" s="507" t="s">
        <v>203</v>
      </c>
      <c r="D20" s="504">
        <v>3360200</v>
      </c>
      <c r="E20" s="504">
        <f>E21</f>
        <v>36600</v>
      </c>
      <c r="F20" s="504">
        <f t="shared" si="0"/>
        <v>3396800</v>
      </c>
    </row>
    <row r="21" spans="1:6" s="505" customFormat="1" ht="19.5" customHeight="1">
      <c r="A21" s="502"/>
      <c r="B21" s="503"/>
      <c r="C21" s="507" t="s">
        <v>153</v>
      </c>
      <c r="D21" s="504">
        <v>1770200</v>
      </c>
      <c r="E21" s="504">
        <f>E22</f>
        <v>36600</v>
      </c>
      <c r="F21" s="504">
        <f t="shared" si="0"/>
        <v>1806800</v>
      </c>
    </row>
    <row r="22" spans="1:6" ht="19.5" customHeight="1">
      <c r="A22" s="62">
        <v>900</v>
      </c>
      <c r="B22" s="63"/>
      <c r="C22" s="64" t="s">
        <v>21</v>
      </c>
      <c r="D22" s="76">
        <f>1770200+420000+1170000+40000</f>
        <v>3400200</v>
      </c>
      <c r="E22" s="76">
        <f>E23</f>
        <v>36600</v>
      </c>
      <c r="F22" s="76">
        <f t="shared" si="0"/>
        <v>3436800</v>
      </c>
    </row>
    <row r="23" spans="1:6" ht="19.5" customHeight="1">
      <c r="A23" s="65"/>
      <c r="B23" s="66">
        <v>90011</v>
      </c>
      <c r="C23" s="67" t="s">
        <v>22</v>
      </c>
      <c r="D23" s="77">
        <v>3400200</v>
      </c>
      <c r="E23" s="77">
        <f>E24+E31+E28+E35+E37</f>
        <v>36600</v>
      </c>
      <c r="F23" s="77">
        <f t="shared" si="0"/>
        <v>3436800</v>
      </c>
    </row>
    <row r="24" spans="1:6" ht="18.75" customHeight="1">
      <c r="A24" s="65"/>
      <c r="B24" s="79"/>
      <c r="C24" s="78" t="s">
        <v>51</v>
      </c>
      <c r="D24" s="80">
        <f>200000</f>
        <v>200000</v>
      </c>
      <c r="E24" s="80">
        <f>SUM(E25:E27)</f>
        <v>6600</v>
      </c>
      <c r="F24" s="80">
        <f t="shared" si="0"/>
        <v>206600</v>
      </c>
    </row>
    <row r="25" spans="1:6" ht="28.5" customHeight="1">
      <c r="A25" s="65"/>
      <c r="B25" s="70">
        <v>2450</v>
      </c>
      <c r="C25" s="58" t="s">
        <v>55</v>
      </c>
      <c r="D25" s="69"/>
      <c r="E25" s="69">
        <v>98000</v>
      </c>
      <c r="F25" s="69">
        <f t="shared" si="0"/>
        <v>98000</v>
      </c>
    </row>
    <row r="26" spans="1:6" ht="18.75" customHeight="1">
      <c r="A26" s="65"/>
      <c r="B26" s="70">
        <v>4170</v>
      </c>
      <c r="C26" s="58" t="s">
        <v>53</v>
      </c>
      <c r="D26" s="69"/>
      <c r="E26" s="69">
        <v>400</v>
      </c>
      <c r="F26" s="69">
        <f t="shared" si="0"/>
        <v>400</v>
      </c>
    </row>
    <row r="27" spans="1:6" ht="19.5" customHeight="1">
      <c r="A27" s="68"/>
      <c r="B27" s="70">
        <v>4300</v>
      </c>
      <c r="C27" s="58" t="s">
        <v>52</v>
      </c>
      <c r="D27" s="69">
        <v>170000</v>
      </c>
      <c r="E27" s="69">
        <f>8700-400-98000-2100</f>
        <v>-91800</v>
      </c>
      <c r="F27" s="69">
        <f t="shared" si="0"/>
        <v>78200</v>
      </c>
    </row>
    <row r="28" spans="1:6" ht="19.5" customHeight="1">
      <c r="A28" s="68"/>
      <c r="B28" s="79"/>
      <c r="C28" s="244" t="s">
        <v>95</v>
      </c>
      <c r="D28" s="245">
        <f>D30</f>
        <v>40000</v>
      </c>
      <c r="E28" s="245">
        <f>E29+E30</f>
        <v>30000</v>
      </c>
      <c r="F28" s="245">
        <f t="shared" si="0"/>
        <v>70000</v>
      </c>
    </row>
    <row r="29" spans="1:6" ht="18.75" customHeight="1">
      <c r="A29" s="65"/>
      <c r="B29" s="70">
        <v>4210</v>
      </c>
      <c r="C29" s="58" t="s">
        <v>76</v>
      </c>
      <c r="D29" s="69"/>
      <c r="E29" s="69">
        <v>1500</v>
      </c>
      <c r="F29" s="69">
        <f t="shared" si="0"/>
        <v>1500</v>
      </c>
    </row>
    <row r="30" spans="1:6" ht="19.5" customHeight="1">
      <c r="A30" s="68"/>
      <c r="B30" s="70">
        <v>4300</v>
      </c>
      <c r="C30" s="58" t="s">
        <v>52</v>
      </c>
      <c r="D30" s="243">
        <v>40000</v>
      </c>
      <c r="E30" s="243">
        <f>-1500+30000</f>
        <v>28500</v>
      </c>
      <c r="F30" s="243">
        <f t="shared" si="0"/>
        <v>68500</v>
      </c>
    </row>
    <row r="31" spans="1:6" ht="29.25" customHeight="1">
      <c r="A31" s="68"/>
      <c r="B31" s="79"/>
      <c r="C31" s="144" t="s">
        <v>54</v>
      </c>
      <c r="D31" s="80">
        <v>100000</v>
      </c>
      <c r="E31" s="80">
        <f>E32+E33</f>
        <v>0</v>
      </c>
      <c r="F31" s="80">
        <f t="shared" si="0"/>
        <v>100000</v>
      </c>
    </row>
    <row r="32" spans="1:6" ht="19.5" customHeight="1">
      <c r="A32" s="68"/>
      <c r="B32" s="70">
        <v>4170</v>
      </c>
      <c r="C32" s="58" t="s">
        <v>53</v>
      </c>
      <c r="D32" s="69">
        <v>2400</v>
      </c>
      <c r="E32" s="69">
        <v>6000</v>
      </c>
      <c r="F32" s="69">
        <f t="shared" si="0"/>
        <v>8400</v>
      </c>
    </row>
    <row r="33" spans="1:6" ht="19.5" customHeight="1">
      <c r="A33" s="68"/>
      <c r="B33" s="68">
        <v>4300</v>
      </c>
      <c r="C33" s="547" t="s">
        <v>52</v>
      </c>
      <c r="D33" s="243">
        <v>94600</v>
      </c>
      <c r="E33" s="243">
        <v>-6000</v>
      </c>
      <c r="F33" s="243">
        <f t="shared" si="0"/>
        <v>88600</v>
      </c>
    </row>
    <row r="34" spans="1:6" ht="19.5" customHeight="1">
      <c r="A34" s="471"/>
      <c r="B34" s="471"/>
      <c r="C34" s="548"/>
      <c r="D34" s="549"/>
      <c r="E34" s="549"/>
      <c r="F34" s="549"/>
    </row>
    <row r="35" spans="1:6" ht="19.5" customHeight="1">
      <c r="A35" s="68"/>
      <c r="B35" s="79"/>
      <c r="C35" s="144" t="s">
        <v>199</v>
      </c>
      <c r="D35" s="495">
        <v>200000</v>
      </c>
      <c r="E35" s="495">
        <f>E36</f>
        <v>-35000</v>
      </c>
      <c r="F35" s="495">
        <f t="shared" si="0"/>
        <v>165000</v>
      </c>
    </row>
    <row r="36" spans="1:6" ht="19.5" customHeight="1">
      <c r="A36" s="68"/>
      <c r="B36" s="70">
        <v>4270</v>
      </c>
      <c r="C36" s="58" t="s">
        <v>77</v>
      </c>
      <c r="D36" s="69">
        <v>200000</v>
      </c>
      <c r="E36" s="69">
        <v>-35000</v>
      </c>
      <c r="F36" s="69">
        <f t="shared" si="0"/>
        <v>165000</v>
      </c>
    </row>
    <row r="37" spans="1:6" ht="19.5" customHeight="1">
      <c r="A37" s="68"/>
      <c r="B37" s="79"/>
      <c r="C37" s="144" t="s">
        <v>200</v>
      </c>
      <c r="D37" s="495">
        <v>80000</v>
      </c>
      <c r="E37" s="495">
        <f>E38</f>
        <v>35000</v>
      </c>
      <c r="F37" s="495">
        <f t="shared" si="0"/>
        <v>115000</v>
      </c>
    </row>
    <row r="38" spans="1:6" ht="19.5" customHeight="1">
      <c r="A38" s="68"/>
      <c r="B38" s="70">
        <v>4270</v>
      </c>
      <c r="C38" s="58" t="s">
        <v>77</v>
      </c>
      <c r="D38" s="69">
        <v>80000</v>
      </c>
      <c r="E38" s="69">
        <v>35000</v>
      </c>
      <c r="F38" s="69">
        <f t="shared" si="0"/>
        <v>115000</v>
      </c>
    </row>
    <row r="39" spans="1:6" s="505" customFormat="1" ht="19.5" customHeight="1">
      <c r="A39" s="502"/>
      <c r="B39" s="503"/>
      <c r="C39" s="507" t="s">
        <v>187</v>
      </c>
      <c r="D39" s="504"/>
      <c r="E39" s="504">
        <f>E40</f>
        <v>4200</v>
      </c>
      <c r="F39" s="504">
        <f>D39+E39</f>
        <v>4200</v>
      </c>
    </row>
    <row r="40" spans="1:6" ht="19.5" customHeight="1">
      <c r="A40" s="62">
        <v>900</v>
      </c>
      <c r="B40" s="63"/>
      <c r="C40" s="64" t="s">
        <v>21</v>
      </c>
      <c r="D40" s="76"/>
      <c r="E40" s="76">
        <f>E41</f>
        <v>4200</v>
      </c>
      <c r="F40" s="76">
        <f aca="true" t="shared" si="1" ref="F40:F45">E40+D40</f>
        <v>4200</v>
      </c>
    </row>
    <row r="41" spans="1:6" ht="19.5" customHeight="1">
      <c r="A41" s="65"/>
      <c r="B41" s="66">
        <v>90011</v>
      </c>
      <c r="C41" s="67" t="s">
        <v>22</v>
      </c>
      <c r="D41" s="77"/>
      <c r="E41" s="77">
        <f>E42</f>
        <v>4200</v>
      </c>
      <c r="F41" s="77">
        <f t="shared" si="1"/>
        <v>4200</v>
      </c>
    </row>
    <row r="42" spans="1:6" ht="18.75" customHeight="1">
      <c r="A42" s="65"/>
      <c r="B42" s="79"/>
      <c r="C42" s="78" t="s">
        <v>51</v>
      </c>
      <c r="D42" s="80"/>
      <c r="E42" s="80">
        <f>SUM(E43:E45)</f>
        <v>4200</v>
      </c>
      <c r="F42" s="80">
        <f t="shared" si="1"/>
        <v>4200</v>
      </c>
    </row>
    <row r="43" spans="1:6" ht="18.75" customHeight="1">
      <c r="A43" s="65"/>
      <c r="B43" s="70">
        <v>4210</v>
      </c>
      <c r="C43" s="58" t="s">
        <v>76</v>
      </c>
      <c r="D43" s="69"/>
      <c r="E43" s="69">
        <v>430</v>
      </c>
      <c r="F43" s="69">
        <f t="shared" si="1"/>
        <v>430</v>
      </c>
    </row>
    <row r="44" spans="1:6" ht="18.75" customHeight="1">
      <c r="A44" s="65"/>
      <c r="B44" s="70">
        <v>4240</v>
      </c>
      <c r="C44" s="58" t="s">
        <v>98</v>
      </c>
      <c r="D44" s="69"/>
      <c r="E44" s="69">
        <v>920</v>
      </c>
      <c r="F44" s="69">
        <f t="shared" si="1"/>
        <v>920</v>
      </c>
    </row>
    <row r="45" spans="1:6" ht="19.5" customHeight="1">
      <c r="A45" s="68"/>
      <c r="B45" s="70">
        <v>4300</v>
      </c>
      <c r="C45" s="58" t="s">
        <v>52</v>
      </c>
      <c r="D45" s="69"/>
      <c r="E45" s="69">
        <v>2850</v>
      </c>
      <c r="F45" s="69">
        <f t="shared" si="1"/>
        <v>2850</v>
      </c>
    </row>
    <row r="46" spans="1:6" ht="19.5" customHeight="1">
      <c r="A46" s="81"/>
      <c r="B46" s="81"/>
      <c r="C46" s="82" t="s">
        <v>25</v>
      </c>
      <c r="D46" s="83">
        <v>101220</v>
      </c>
      <c r="E46" s="83"/>
      <c r="F46" s="83">
        <f t="shared" si="0"/>
        <v>101220</v>
      </c>
    </row>
    <row r="47" spans="1:6" ht="19.5" customHeight="1">
      <c r="A47" s="66"/>
      <c r="B47" s="84"/>
      <c r="C47" s="85" t="s">
        <v>23</v>
      </c>
      <c r="D47" s="86">
        <f>D46+D19</f>
        <v>3501420</v>
      </c>
      <c r="E47" s="86"/>
      <c r="F47" s="86">
        <f>F19+F46</f>
        <v>3542220</v>
      </c>
    </row>
    <row r="50" spans="1:7" ht="12.75">
      <c r="A50"/>
      <c r="B50"/>
      <c r="C50" t="s">
        <v>291</v>
      </c>
      <c r="D50"/>
      <c r="E50" s="92"/>
      <c r="F50" s="92" t="s">
        <v>295</v>
      </c>
      <c r="G50" s="92"/>
    </row>
    <row r="51" spans="1:7" ht="12.75">
      <c r="A51"/>
      <c r="B51"/>
      <c r="C51" t="s">
        <v>292</v>
      </c>
      <c r="D51"/>
      <c r="E51" s="92"/>
      <c r="F51" s="92" t="s">
        <v>294</v>
      </c>
      <c r="G51" s="92"/>
    </row>
    <row r="52" spans="1:7" ht="12.75">
      <c r="A52"/>
      <c r="B52"/>
      <c r="C52" s="105" t="s">
        <v>290</v>
      </c>
      <c r="D52"/>
      <c r="E52" s="92"/>
      <c r="F52" s="92" t="s">
        <v>293</v>
      </c>
      <c r="G52" s="92"/>
    </row>
  </sheetData>
  <mergeCells count="3">
    <mergeCell ref="E7:E8"/>
    <mergeCell ref="F7:F8"/>
    <mergeCell ref="D7:D8"/>
  </mergeCells>
  <printOptions horizontalCentered="1"/>
  <pageMargins left="0.5905511811023623" right="0.5905511811023623" top="0.5118110236220472" bottom="0.4330708661417323" header="0.5118110236220472" footer="0.2755905511811024"/>
  <pageSetup firstPageNumber="19" useFirstPageNumber="1" horizontalDpi="600" verticalDpi="600" orientation="landscape" paperSize="9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9.00390625" defaultRowHeight="12.75"/>
  <cols>
    <col min="1" max="1" width="10.625" style="0" customWidth="1"/>
    <col min="2" max="2" width="11.125" style="0" customWidth="1"/>
    <col min="3" max="3" width="69.25390625" style="0" customWidth="1"/>
    <col min="4" max="5" width="20.75390625" style="0" customWidth="1"/>
    <col min="6" max="6" width="10.625" style="0" hidden="1" customWidth="1"/>
    <col min="7" max="7" width="12.00390625" style="0" customWidth="1"/>
  </cols>
  <sheetData>
    <row r="1" spans="3:5" ht="16.5" customHeight="1">
      <c r="C1" s="139" t="s">
        <v>62</v>
      </c>
      <c r="E1" s="45" t="s">
        <v>183</v>
      </c>
    </row>
    <row r="2" spans="3:5" ht="16.5" customHeight="1">
      <c r="C2" s="139" t="s">
        <v>63</v>
      </c>
      <c r="E2" s="45" t="s">
        <v>289</v>
      </c>
    </row>
    <row r="3" spans="3:5" ht="16.5" customHeight="1">
      <c r="C3" s="139" t="s">
        <v>46</v>
      </c>
      <c r="E3" s="45" t="s">
        <v>196</v>
      </c>
    </row>
    <row r="4" spans="2:5" ht="16.5" customHeight="1">
      <c r="B4" s="150"/>
      <c r="C4" s="151"/>
      <c r="E4" s="45" t="s">
        <v>284</v>
      </c>
    </row>
    <row r="5" spans="1:7" ht="15.75" thickBot="1">
      <c r="A5" s="152"/>
      <c r="B5" s="152"/>
      <c r="C5" s="152"/>
      <c r="D5" s="153"/>
      <c r="E5" s="250" t="s">
        <v>6</v>
      </c>
      <c r="F5" s="153"/>
      <c r="G5" s="153"/>
    </row>
    <row r="6" spans="1:7" s="26" customFormat="1" ht="46.5" customHeight="1" thickBot="1" thickTop="1">
      <c r="A6" s="141" t="s">
        <v>0</v>
      </c>
      <c r="B6" s="138" t="s">
        <v>73</v>
      </c>
      <c r="C6" s="53" t="s">
        <v>282</v>
      </c>
      <c r="D6" s="154" t="s">
        <v>72</v>
      </c>
      <c r="E6" s="22" t="s">
        <v>71</v>
      </c>
      <c r="F6" s="155" t="s">
        <v>64</v>
      </c>
      <c r="G6" s="154" t="s">
        <v>65</v>
      </c>
    </row>
    <row r="7" spans="1:7" s="26" customFormat="1" ht="14.25" thickBot="1" thickTop="1">
      <c r="A7" s="156">
        <v>1</v>
      </c>
      <c r="B7" s="156">
        <v>2</v>
      </c>
      <c r="C7" s="156">
        <v>3</v>
      </c>
      <c r="D7" s="157">
        <v>4</v>
      </c>
      <c r="E7" s="122">
        <v>5</v>
      </c>
      <c r="F7" s="156">
        <v>12</v>
      </c>
      <c r="G7" s="156">
        <v>6</v>
      </c>
    </row>
    <row r="8" spans="1:7" s="26" customFormat="1" ht="19.5" customHeight="1" thickTop="1">
      <c r="A8" s="140"/>
      <c r="B8" s="140"/>
      <c r="C8" s="158" t="s">
        <v>18</v>
      </c>
      <c r="D8" s="159">
        <v>1378214</v>
      </c>
      <c r="E8" s="159">
        <v>578214</v>
      </c>
      <c r="F8" s="160"/>
      <c r="G8" s="161"/>
    </row>
    <row r="9" spans="1:7" s="123" customFormat="1" ht="18" customHeight="1">
      <c r="A9" s="137"/>
      <c r="B9" s="541"/>
      <c r="C9" s="249" t="s">
        <v>20</v>
      </c>
      <c r="D9" s="249">
        <f>D11</f>
        <v>800000</v>
      </c>
      <c r="E9" s="249">
        <f>E10</f>
        <v>800000</v>
      </c>
      <c r="F9" s="248" t="e">
        <f>#REF!/D9</f>
        <v>#REF!</v>
      </c>
      <c r="G9" s="248">
        <f aca="true" t="shared" si="0" ref="G9:G15">E9/D9</f>
        <v>1</v>
      </c>
    </row>
    <row r="10" spans="1:7" s="540" customFormat="1" ht="18" customHeight="1">
      <c r="A10" s="537"/>
      <c r="B10" s="537"/>
      <c r="C10" s="538" t="s">
        <v>283</v>
      </c>
      <c r="D10" s="538">
        <v>800000</v>
      </c>
      <c r="E10" s="538">
        <f>E11</f>
        <v>800000</v>
      </c>
      <c r="F10" s="539"/>
      <c r="G10" s="539">
        <f t="shared" si="0"/>
        <v>1</v>
      </c>
    </row>
    <row r="11" spans="1:7" s="123" customFormat="1" ht="18" customHeight="1">
      <c r="A11" s="112">
        <v>710</v>
      </c>
      <c r="B11" s="162"/>
      <c r="C11" s="42" t="s">
        <v>66</v>
      </c>
      <c r="D11" s="163">
        <f>D12</f>
        <v>800000</v>
      </c>
      <c r="E11" s="163">
        <f>E12</f>
        <v>800000</v>
      </c>
      <c r="F11" s="164" t="e">
        <f>#REF!/D11</f>
        <v>#REF!</v>
      </c>
      <c r="G11" s="164">
        <f t="shared" si="0"/>
        <v>1</v>
      </c>
    </row>
    <row r="12" spans="1:7" s="123" customFormat="1" ht="18" customHeight="1">
      <c r="A12" s="137"/>
      <c r="B12" s="165">
        <v>71030</v>
      </c>
      <c r="C12" s="149" t="s">
        <v>67</v>
      </c>
      <c r="D12" s="31">
        <f>D13+D15</f>
        <v>800000</v>
      </c>
      <c r="E12" s="31">
        <f>E13+E15</f>
        <v>800000</v>
      </c>
      <c r="F12" s="166" t="e">
        <f>#REF!/D12</f>
        <v>#REF!</v>
      </c>
      <c r="G12" s="166">
        <f t="shared" si="0"/>
        <v>1</v>
      </c>
    </row>
    <row r="13" spans="1:7" s="123" customFormat="1" ht="18" customHeight="1">
      <c r="A13" s="137"/>
      <c r="B13" s="137"/>
      <c r="C13" s="167" t="s">
        <v>68</v>
      </c>
      <c r="D13" s="168">
        <f>D14</f>
        <v>750000</v>
      </c>
      <c r="E13" s="168">
        <f>E14</f>
        <v>730000</v>
      </c>
      <c r="F13" s="169" t="e">
        <f>#REF!/D13</f>
        <v>#REF!</v>
      </c>
      <c r="G13" s="169">
        <f t="shared" si="0"/>
        <v>0.9733333333333334</v>
      </c>
    </row>
    <row r="14" spans="1:7" s="123" customFormat="1" ht="18" customHeight="1">
      <c r="A14" s="170"/>
      <c r="B14" s="197" t="s">
        <v>74</v>
      </c>
      <c r="C14" s="183" t="s">
        <v>101</v>
      </c>
      <c r="D14" s="182">
        <v>750000</v>
      </c>
      <c r="E14" s="182">
        <v>730000</v>
      </c>
      <c r="F14" s="184"/>
      <c r="G14" s="184">
        <f>E14/D14</f>
        <v>0.9733333333333334</v>
      </c>
    </row>
    <row r="15" spans="1:7" s="123" customFormat="1" ht="18" customHeight="1">
      <c r="A15" s="170"/>
      <c r="B15" s="137"/>
      <c r="C15" s="179" t="s">
        <v>100</v>
      </c>
      <c r="D15" s="127">
        <f>D16</f>
        <v>50000</v>
      </c>
      <c r="E15" s="127">
        <f>E16</f>
        <v>70000</v>
      </c>
      <c r="F15" s="180" t="e">
        <f>#REF!/D15</f>
        <v>#REF!</v>
      </c>
      <c r="G15" s="180">
        <f t="shared" si="0"/>
        <v>1.4</v>
      </c>
    </row>
    <row r="16" spans="1:7" s="123" customFormat="1" ht="18" customHeight="1">
      <c r="A16" s="170"/>
      <c r="B16" s="197" t="s">
        <v>75</v>
      </c>
      <c r="C16" s="185" t="s">
        <v>99</v>
      </c>
      <c r="D16" s="182">
        <v>50000</v>
      </c>
      <c r="E16" s="182">
        <v>70000</v>
      </c>
      <c r="F16" s="184"/>
      <c r="G16" s="184">
        <f>E16/D16</f>
        <v>1.4</v>
      </c>
    </row>
    <row r="17" spans="1:7" s="123" customFormat="1" ht="18" customHeight="1">
      <c r="A17" s="170"/>
      <c r="B17" s="137"/>
      <c r="C17" s="40" t="s">
        <v>23</v>
      </c>
      <c r="D17" s="40">
        <f>D9+D8</f>
        <v>2178214</v>
      </c>
      <c r="E17" s="40">
        <f>E9+E8</f>
        <v>1378214</v>
      </c>
      <c r="F17" s="181"/>
      <c r="G17" s="181"/>
    </row>
    <row r="18" spans="1:7" s="123" customFormat="1" ht="18" customHeight="1">
      <c r="A18" s="542"/>
      <c r="B18" s="542"/>
      <c r="C18" s="247" t="s">
        <v>102</v>
      </c>
      <c r="D18" s="247">
        <f>D20</f>
        <v>1600000</v>
      </c>
      <c r="E18" s="247">
        <f>E20</f>
        <v>1200000</v>
      </c>
      <c r="F18" s="248" t="e">
        <f>#REF!/D18</f>
        <v>#REF!</v>
      </c>
      <c r="G18" s="248">
        <f aca="true" t="shared" si="1" ref="G18:G30">E18/D18</f>
        <v>0.75</v>
      </c>
    </row>
    <row r="19" spans="1:7" s="540" customFormat="1" ht="18" customHeight="1">
      <c r="A19" s="537"/>
      <c r="B19" s="537"/>
      <c r="C19" s="538" t="s">
        <v>283</v>
      </c>
      <c r="D19" s="538">
        <v>1600000</v>
      </c>
      <c r="E19" s="538">
        <f>E20</f>
        <v>1200000</v>
      </c>
      <c r="F19" s="539"/>
      <c r="G19" s="539">
        <f t="shared" si="1"/>
        <v>0.75</v>
      </c>
    </row>
    <row r="20" spans="1:7" s="123" customFormat="1" ht="18" customHeight="1">
      <c r="A20" s="112">
        <v>710</v>
      </c>
      <c r="B20" s="162"/>
      <c r="C20" s="42" t="s">
        <v>66</v>
      </c>
      <c r="D20" s="173">
        <f>D21</f>
        <v>1600000</v>
      </c>
      <c r="E20" s="163">
        <f>E21</f>
        <v>1200000</v>
      </c>
      <c r="F20" s="174" t="e">
        <f>#REF!/D20</f>
        <v>#REF!</v>
      </c>
      <c r="G20" s="164">
        <f t="shared" si="1"/>
        <v>0.75</v>
      </c>
    </row>
    <row r="21" spans="1:7" s="123" customFormat="1" ht="18" customHeight="1">
      <c r="A21" s="137"/>
      <c r="B21" s="165">
        <v>71030</v>
      </c>
      <c r="C21" s="149" t="s">
        <v>67</v>
      </c>
      <c r="D21" s="175">
        <f>D22+D28+D30</f>
        <v>1600000</v>
      </c>
      <c r="E21" s="175">
        <f>E22+E28+E30</f>
        <v>1200000</v>
      </c>
      <c r="F21" s="176" t="e">
        <f>#REF!/D21</f>
        <v>#REF!</v>
      </c>
      <c r="G21" s="166">
        <f t="shared" si="1"/>
        <v>0.75</v>
      </c>
    </row>
    <row r="22" spans="1:7" s="123" customFormat="1" ht="18" customHeight="1">
      <c r="A22" s="137"/>
      <c r="B22" s="137"/>
      <c r="C22" s="167" t="s">
        <v>69</v>
      </c>
      <c r="D22" s="168">
        <f>SUM(D23:D25)</f>
        <v>940000</v>
      </c>
      <c r="E22" s="168">
        <f>SUM(E23:E25)</f>
        <v>740000</v>
      </c>
      <c r="F22" s="177" t="e">
        <f>#REF!/D22</f>
        <v>#REF!</v>
      </c>
      <c r="G22" s="169">
        <f t="shared" si="1"/>
        <v>0.7872340425531915</v>
      </c>
    </row>
    <row r="23" spans="1:7" s="123" customFormat="1" ht="18" customHeight="1">
      <c r="A23" s="137"/>
      <c r="B23" s="195">
        <v>4210</v>
      </c>
      <c r="C23" s="183" t="s">
        <v>76</v>
      </c>
      <c r="D23" s="182">
        <v>30000</v>
      </c>
      <c r="E23" s="182">
        <v>30000</v>
      </c>
      <c r="F23" s="190"/>
      <c r="G23" s="184">
        <f>E23/D23</f>
        <v>1</v>
      </c>
    </row>
    <row r="24" spans="1:7" s="123" customFormat="1" ht="18" customHeight="1">
      <c r="A24" s="137"/>
      <c r="B24" s="196">
        <v>4270</v>
      </c>
      <c r="C24" s="192" t="s">
        <v>77</v>
      </c>
      <c r="D24" s="191">
        <v>30000</v>
      </c>
      <c r="E24" s="191">
        <v>30000</v>
      </c>
      <c r="F24" s="193"/>
      <c r="G24" s="194">
        <f>E24/D24</f>
        <v>1</v>
      </c>
    </row>
    <row r="25" spans="1:7" s="123" customFormat="1" ht="18" customHeight="1">
      <c r="A25" s="137"/>
      <c r="B25" s="195">
        <v>4300</v>
      </c>
      <c r="C25" s="183" t="s">
        <v>52</v>
      </c>
      <c r="D25" s="182">
        <v>880000</v>
      </c>
      <c r="E25" s="182">
        <v>680000</v>
      </c>
      <c r="F25" s="190"/>
      <c r="G25" s="184">
        <f>E25/D25</f>
        <v>0.7727272727272727</v>
      </c>
    </row>
    <row r="26" spans="1:7" s="123" customFormat="1" ht="18" customHeight="1">
      <c r="A26" s="137"/>
      <c r="B26" s="201"/>
      <c r="C26" s="202" t="s">
        <v>78</v>
      </c>
      <c r="D26" s="203">
        <v>877000</v>
      </c>
      <c r="E26" s="203">
        <v>665000</v>
      </c>
      <c r="F26" s="204"/>
      <c r="G26" s="205">
        <f>E26/D26</f>
        <v>0.758266818700114</v>
      </c>
    </row>
    <row r="27" spans="1:7" s="123" customFormat="1" ht="18" customHeight="1">
      <c r="A27" s="137"/>
      <c r="B27" s="201"/>
      <c r="C27" s="206" t="s">
        <v>79</v>
      </c>
      <c r="D27" s="207">
        <v>3000</v>
      </c>
      <c r="E27" s="207">
        <v>15000</v>
      </c>
      <c r="F27" s="208"/>
      <c r="G27" s="209">
        <f>E27/D27</f>
        <v>5</v>
      </c>
    </row>
    <row r="28" spans="1:7" s="123" customFormat="1" ht="25.5" customHeight="1">
      <c r="A28" s="137"/>
      <c r="B28" s="137"/>
      <c r="C28" s="179" t="s">
        <v>103</v>
      </c>
      <c r="D28" s="127">
        <f>D29</f>
        <v>160000</v>
      </c>
      <c r="E28" s="127">
        <f>E29</f>
        <v>160000</v>
      </c>
      <c r="F28" s="186" t="e">
        <f>#REF!/D28</f>
        <v>#REF!</v>
      </c>
      <c r="G28" s="180">
        <f t="shared" si="1"/>
        <v>1</v>
      </c>
    </row>
    <row r="29" spans="1:7" s="123" customFormat="1" ht="18" customHeight="1">
      <c r="A29" s="137"/>
      <c r="B29" s="195">
        <v>2960</v>
      </c>
      <c r="C29" s="185" t="s">
        <v>50</v>
      </c>
      <c r="D29" s="187">
        <v>160000</v>
      </c>
      <c r="E29" s="187">
        <v>160000</v>
      </c>
      <c r="F29" s="188" t="e">
        <f>#REF!/D29</f>
        <v>#REF!</v>
      </c>
      <c r="G29" s="189">
        <f t="shared" si="1"/>
        <v>1</v>
      </c>
    </row>
    <row r="30" spans="1:7" s="123" customFormat="1" ht="18" customHeight="1">
      <c r="A30" s="137"/>
      <c r="B30" s="178"/>
      <c r="C30" s="179" t="s">
        <v>70</v>
      </c>
      <c r="D30" s="127">
        <f>D31</f>
        <v>500000</v>
      </c>
      <c r="E30" s="127">
        <f>E31</f>
        <v>300000</v>
      </c>
      <c r="F30" s="186" t="e">
        <f>#REF!/D30</f>
        <v>#REF!</v>
      </c>
      <c r="G30" s="180">
        <f t="shared" si="1"/>
        <v>0.6</v>
      </c>
    </row>
    <row r="31" spans="1:7" s="123" customFormat="1" ht="18" customHeight="1">
      <c r="A31" s="137"/>
      <c r="B31" s="195">
        <v>6120</v>
      </c>
      <c r="C31" s="185" t="s">
        <v>80</v>
      </c>
      <c r="D31" s="187">
        <v>500000</v>
      </c>
      <c r="E31" s="187">
        <v>300000</v>
      </c>
      <c r="F31" s="188"/>
      <c r="G31" s="184">
        <f>E31/D31</f>
        <v>0.6</v>
      </c>
    </row>
    <row r="32" spans="1:7" s="123" customFormat="1" ht="18" customHeight="1">
      <c r="A32" s="137"/>
      <c r="B32" s="178"/>
      <c r="C32" s="198" t="s">
        <v>25</v>
      </c>
      <c r="D32" s="199">
        <f>D8+D9-D18</f>
        <v>578214</v>
      </c>
      <c r="E32" s="199">
        <f>E8+E9-E18</f>
        <v>178214</v>
      </c>
      <c r="F32" s="200" t="e">
        <f>#REF!/D32</f>
        <v>#REF!</v>
      </c>
      <c r="G32" s="171"/>
    </row>
    <row r="33" spans="1:7" s="123" customFormat="1" ht="18" customHeight="1">
      <c r="A33" s="130"/>
      <c r="B33" s="130"/>
      <c r="C33" s="31" t="s">
        <v>23</v>
      </c>
      <c r="D33" s="31">
        <f>D18+D32</f>
        <v>2178214</v>
      </c>
      <c r="E33" s="31">
        <f>E18+E32</f>
        <v>1378214</v>
      </c>
      <c r="F33" s="34"/>
      <c r="G33" s="172"/>
    </row>
    <row r="34" ht="19.5" customHeight="1"/>
    <row r="35" ht="19.5" customHeight="1"/>
    <row r="36" spans="3:7" ht="12.75">
      <c r="C36" t="s">
        <v>291</v>
      </c>
      <c r="E36" s="92" t="s">
        <v>295</v>
      </c>
      <c r="F36" s="92" t="s">
        <v>295</v>
      </c>
      <c r="G36" s="92"/>
    </row>
    <row r="37" spans="3:7" ht="12.75">
      <c r="C37" t="s">
        <v>292</v>
      </c>
      <c r="E37" s="92" t="s">
        <v>294</v>
      </c>
      <c r="F37" s="92" t="s">
        <v>294</v>
      </c>
      <c r="G37" s="92"/>
    </row>
    <row r="38" spans="3:7" ht="12.75">
      <c r="C38" s="105" t="s">
        <v>290</v>
      </c>
      <c r="E38" s="92" t="s">
        <v>293</v>
      </c>
      <c r="F38" s="92" t="s">
        <v>293</v>
      </c>
      <c r="G38" s="92"/>
    </row>
  </sheetData>
  <printOptions horizontalCentered="1"/>
  <pageMargins left="0.7874015748031497" right="0.7874015748031497" top="0.5118110236220472" bottom="0.4724409448818898" header="0.5118110236220472" footer="0.3937007874015748"/>
  <pageSetup firstPageNumber="21" useFirstPageNumber="1" horizontalDpi="600" verticalDpi="600" orientation="landscape" paperSize="9" scale="8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7.00390625" style="0" customWidth="1"/>
    <col min="3" max="3" width="56.00390625" style="0" customWidth="1"/>
    <col min="4" max="4" width="17.75390625" style="0" hidden="1" customWidth="1"/>
    <col min="5" max="5" width="15.00390625" style="0" customWidth="1"/>
    <col min="6" max="6" width="14.00390625" style="0" customWidth="1"/>
    <col min="7" max="7" width="14.375" style="0" customWidth="1"/>
    <col min="8" max="8" width="13.75390625" style="0" customWidth="1"/>
    <col min="9" max="9" width="14.125" style="0" customWidth="1"/>
    <col min="10" max="10" width="11.00390625" style="0" customWidth="1"/>
    <col min="11" max="11" width="12.75390625" style="0" customWidth="1"/>
  </cols>
  <sheetData>
    <row r="1" ht="15" customHeight="1">
      <c r="H1" s="100" t="s">
        <v>184</v>
      </c>
    </row>
    <row r="2" spans="1:8" ht="15" customHeight="1">
      <c r="A2" s="23"/>
      <c r="B2" s="23"/>
      <c r="H2" s="289" t="s">
        <v>287</v>
      </c>
    </row>
    <row r="3" spans="1:8" ht="15" customHeight="1">
      <c r="A3" s="23"/>
      <c r="B3" s="23" t="s">
        <v>136</v>
      </c>
      <c r="C3" s="24"/>
      <c r="H3" s="289" t="s">
        <v>104</v>
      </c>
    </row>
    <row r="4" spans="3:8" ht="15" customHeight="1">
      <c r="C4" s="23"/>
      <c r="H4" s="2" t="s">
        <v>273</v>
      </c>
    </row>
    <row r="5" ht="15" customHeight="1"/>
    <row r="6" ht="15" customHeight="1" thickBot="1">
      <c r="I6" s="250" t="s">
        <v>6</v>
      </c>
    </row>
    <row r="7" spans="1:9" s="32" customFormat="1" ht="18" customHeight="1" thickTop="1">
      <c r="A7" s="558" t="s">
        <v>122</v>
      </c>
      <c r="B7" s="558" t="s">
        <v>9</v>
      </c>
      <c r="C7" s="562" t="s">
        <v>137</v>
      </c>
      <c r="D7" s="356"/>
      <c r="E7" s="562" t="s">
        <v>138</v>
      </c>
      <c r="F7" s="558" t="s">
        <v>139</v>
      </c>
      <c r="G7" s="558" t="s">
        <v>140</v>
      </c>
      <c r="H7" s="562" t="s">
        <v>141</v>
      </c>
      <c r="I7" s="558" t="s">
        <v>142</v>
      </c>
    </row>
    <row r="8" spans="1:9" ht="23.25" customHeight="1" thickBot="1">
      <c r="A8" s="559"/>
      <c r="B8" s="559"/>
      <c r="C8" s="563"/>
      <c r="D8" s="138" t="s">
        <v>38</v>
      </c>
      <c r="E8" s="559"/>
      <c r="F8" s="559"/>
      <c r="G8" s="559"/>
      <c r="H8" s="563"/>
      <c r="I8" s="559"/>
    </row>
    <row r="9" spans="1:17" s="105" customFormat="1" ht="18" customHeight="1" thickBot="1" thickTop="1">
      <c r="A9" s="27">
        <v>1</v>
      </c>
      <c r="B9" s="27">
        <v>2</v>
      </c>
      <c r="C9" s="104">
        <v>3</v>
      </c>
      <c r="D9" s="104">
        <v>5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26"/>
      <c r="K9" s="26"/>
      <c r="L9" s="26"/>
      <c r="M9" s="26"/>
      <c r="N9" s="26"/>
      <c r="O9" s="26"/>
      <c r="P9" s="26"/>
      <c r="Q9" s="26"/>
    </row>
    <row r="10" spans="1:12" ht="29.25" customHeight="1" thickBot="1" thickTop="1">
      <c r="A10" s="71"/>
      <c r="B10" s="106"/>
      <c r="C10" s="357" t="s">
        <v>143</v>
      </c>
      <c r="D10" s="358" t="e">
        <f>#REF!</f>
        <v>#REF!</v>
      </c>
      <c r="E10" s="358">
        <f>SUM(F10:I10)</f>
        <v>768767657</v>
      </c>
      <c r="F10" s="359">
        <f>197903413+F17+F21+F23+F28+F34</f>
        <v>198256620</v>
      </c>
      <c r="G10" s="359">
        <f>196619964+G17+G21+G23+G28+G34</f>
        <v>198989964</v>
      </c>
      <c r="H10" s="359">
        <f>188824021+H17+H21+H23+H28+H34</f>
        <v>188844021</v>
      </c>
      <c r="I10" s="359">
        <f>182677052+I17+I21+I23+I28+I34</f>
        <v>182677052</v>
      </c>
      <c r="J10" s="92"/>
      <c r="K10" s="92"/>
      <c r="L10" s="92"/>
    </row>
    <row r="11" spans="1:10" ht="18" customHeight="1" thickBot="1" thickTop="1">
      <c r="A11" s="71"/>
      <c r="B11" s="71"/>
      <c r="C11" s="360" t="s">
        <v>126</v>
      </c>
      <c r="D11" s="361"/>
      <c r="E11" s="361">
        <f aca="true" t="shared" si="0" ref="E11:E34">SUM(F11:I11)</f>
        <v>755180097</v>
      </c>
      <c r="F11" s="362">
        <f>194219571+F17+F21+F23+F28+F34</f>
        <v>194572778</v>
      </c>
      <c r="G11" s="362">
        <f>192887045+G17+G21+G23+G28+G34</f>
        <v>195257045</v>
      </c>
      <c r="H11" s="362">
        <f>186444404+H17+H21+H23+H28+H34</f>
        <v>186464404</v>
      </c>
      <c r="I11" s="362">
        <f>178885870+I17+I21+I23+I28+I34</f>
        <v>178885870</v>
      </c>
      <c r="J11" s="92"/>
    </row>
    <row r="12" spans="1:9" s="366" customFormat="1" ht="18" customHeight="1" thickTop="1">
      <c r="A12" s="363"/>
      <c r="B12" s="363"/>
      <c r="C12" s="298" t="s">
        <v>127</v>
      </c>
      <c r="D12" s="364"/>
      <c r="E12" s="365">
        <f t="shared" si="0"/>
        <v>682946997</v>
      </c>
      <c r="F12" s="365">
        <f>177415219+F17+F21+F23</f>
        <v>177768426</v>
      </c>
      <c r="G12" s="365">
        <f>170289297+G17+G21+G23</f>
        <v>170289297</v>
      </c>
      <c r="H12" s="365">
        <f>169591204+H17+H21+H23</f>
        <v>169591204</v>
      </c>
      <c r="I12" s="365">
        <f>165298070+I17+I21+I23</f>
        <v>165298070</v>
      </c>
    </row>
    <row r="13" spans="1:16" s="2" customFormat="1" ht="16.5" customHeight="1" thickBot="1">
      <c r="A13" s="14"/>
      <c r="B13" s="15"/>
      <c r="C13" s="367" t="s">
        <v>144</v>
      </c>
      <c r="D13" s="16">
        <v>461493495</v>
      </c>
      <c r="E13" s="16">
        <f t="shared" si="0"/>
        <v>475560868</v>
      </c>
      <c r="F13" s="16">
        <f>119083754+F17+F21+F23</f>
        <v>119436961</v>
      </c>
      <c r="G13" s="16">
        <f>119378942+G17+G21+G23</f>
        <v>119378942</v>
      </c>
      <c r="H13" s="16">
        <f>120192707+H17+H21+H23</f>
        <v>120192707</v>
      </c>
      <c r="I13" s="16">
        <f>116552258+I17+I21+I23</f>
        <v>116552258</v>
      </c>
      <c r="J13" s="124"/>
      <c r="K13" s="1"/>
      <c r="L13" s="1"/>
      <c r="M13" s="1"/>
      <c r="N13" s="1"/>
      <c r="O13" s="1"/>
      <c r="P13" s="1"/>
    </row>
    <row r="14" spans="1:9" s="253" customFormat="1" ht="19.5" customHeight="1" thickBot="1">
      <c r="A14" s="251"/>
      <c r="B14" s="252"/>
      <c r="C14" s="326" t="s">
        <v>34</v>
      </c>
      <c r="D14" s="368" t="s">
        <v>29</v>
      </c>
      <c r="E14" s="368">
        <f t="shared" si="0"/>
        <v>304852374</v>
      </c>
      <c r="F14" s="368">
        <f>70721251+F17</f>
        <v>71035821</v>
      </c>
      <c r="G14" s="368">
        <f>76395251+G17</f>
        <v>76395251</v>
      </c>
      <c r="H14" s="368">
        <f>80561751+H17</f>
        <v>80561751</v>
      </c>
      <c r="I14" s="368">
        <f>76859551+I17</f>
        <v>76859551</v>
      </c>
    </row>
    <row r="15" spans="1:9" s="1" customFormat="1" ht="19.5" customHeight="1" thickTop="1">
      <c r="A15" s="89">
        <v>750</v>
      </c>
      <c r="B15" s="20"/>
      <c r="C15" s="318" t="s">
        <v>31</v>
      </c>
      <c r="D15" s="306" t="s">
        <v>145</v>
      </c>
      <c r="E15" s="306">
        <f t="shared" si="0"/>
        <v>413570</v>
      </c>
      <c r="F15" s="306">
        <f>24750+F17</f>
        <v>339320</v>
      </c>
      <c r="G15" s="306">
        <f>24750+G17</f>
        <v>24750</v>
      </c>
      <c r="H15" s="306">
        <f>24750+H17</f>
        <v>24750</v>
      </c>
      <c r="I15" s="306">
        <f>24750+I17</f>
        <v>24750</v>
      </c>
    </row>
    <row r="16" spans="1:9" s="1" customFormat="1" ht="19.5" customHeight="1">
      <c r="A16" s="11"/>
      <c r="B16" s="280">
        <v>75023</v>
      </c>
      <c r="C16" s="369" t="s">
        <v>32</v>
      </c>
      <c r="D16" s="370"/>
      <c r="E16" s="370">
        <f t="shared" si="0"/>
        <v>35000</v>
      </c>
      <c r="F16" s="370">
        <v>8750</v>
      </c>
      <c r="G16" s="370">
        <v>8750</v>
      </c>
      <c r="H16" s="370">
        <v>8750</v>
      </c>
      <c r="I16" s="370">
        <v>8750</v>
      </c>
    </row>
    <row r="17" spans="1:10" s="1" customFormat="1" ht="19.5" customHeight="1">
      <c r="A17" s="11"/>
      <c r="B17" s="18"/>
      <c r="C17" s="265"/>
      <c r="D17" s="371"/>
      <c r="E17" s="314">
        <f t="shared" si="0"/>
        <v>314570</v>
      </c>
      <c r="F17" s="314">
        <v>314570</v>
      </c>
      <c r="G17" s="314"/>
      <c r="H17" s="314"/>
      <c r="I17" s="314"/>
      <c r="J17" s="124"/>
    </row>
    <row r="18" spans="1:9" s="253" customFormat="1" ht="19.5" customHeight="1" thickBot="1">
      <c r="A18" s="251"/>
      <c r="B18" s="252"/>
      <c r="C18" s="326" t="s">
        <v>30</v>
      </c>
      <c r="D18" s="368"/>
      <c r="E18" s="368">
        <f t="shared" si="0"/>
        <v>10612339</v>
      </c>
      <c r="F18" s="368">
        <f>2620400+F21+F23</f>
        <v>2659037</v>
      </c>
      <c r="G18" s="368">
        <f>3263502+G21+G23</f>
        <v>3263502</v>
      </c>
      <c r="H18" s="368">
        <f>2217500+H21+H23</f>
        <v>2217500</v>
      </c>
      <c r="I18" s="368">
        <f>2472300+I21+I23</f>
        <v>2472300</v>
      </c>
    </row>
    <row r="19" spans="1:9" s="1" customFormat="1" ht="19.5" customHeight="1" thickTop="1">
      <c r="A19" s="89">
        <v>750</v>
      </c>
      <c r="B19" s="20"/>
      <c r="C19" s="318" t="s">
        <v>31</v>
      </c>
      <c r="D19" s="306"/>
      <c r="E19" s="306">
        <f t="shared" si="0"/>
        <v>149937</v>
      </c>
      <c r="F19" s="306">
        <f>42000+F21+F23</f>
        <v>80637</v>
      </c>
      <c r="G19" s="306"/>
      <c r="H19" s="306"/>
      <c r="I19" s="306">
        <f>69300+I21+I23</f>
        <v>69300</v>
      </c>
    </row>
    <row r="20" spans="1:9" s="1" customFormat="1" ht="19.5" customHeight="1">
      <c r="A20" s="424"/>
      <c r="B20" s="12">
        <v>75023</v>
      </c>
      <c r="C20" s="426" t="s">
        <v>32</v>
      </c>
      <c r="D20" s="425"/>
      <c r="E20" s="425">
        <f>SUM(F20:I20)</f>
        <v>69300</v>
      </c>
      <c r="F20" s="425"/>
      <c r="G20" s="425"/>
      <c r="H20" s="425"/>
      <c r="I20" s="425">
        <v>69300</v>
      </c>
    </row>
    <row r="21" spans="1:10" s="253" customFormat="1" ht="19.5" customHeight="1">
      <c r="A21" s="256"/>
      <c r="B21" s="423"/>
      <c r="C21" s="222"/>
      <c r="D21" s="314"/>
      <c r="E21" s="314">
        <f t="shared" si="0"/>
        <v>38338</v>
      </c>
      <c r="F21" s="314">
        <v>38338</v>
      </c>
      <c r="G21" s="314"/>
      <c r="H21" s="314"/>
      <c r="I21" s="314"/>
      <c r="J21" s="372"/>
    </row>
    <row r="22" spans="1:10" s="1" customFormat="1" ht="23.25" customHeight="1">
      <c r="A22" s="11"/>
      <c r="B22" s="12">
        <v>75095</v>
      </c>
      <c r="C22" s="386" t="s">
        <v>4</v>
      </c>
      <c r="D22" s="373"/>
      <c r="E22" s="373">
        <f t="shared" si="0"/>
        <v>42000</v>
      </c>
      <c r="F22" s="373">
        <v>42000</v>
      </c>
      <c r="G22" s="373"/>
      <c r="H22" s="373"/>
      <c r="I22" s="373"/>
      <c r="J22" s="124"/>
    </row>
    <row r="23" spans="1:10" s="253" customFormat="1" ht="23.25" customHeight="1">
      <c r="A23" s="256"/>
      <c r="B23" s="252"/>
      <c r="C23" s="266"/>
      <c r="D23" s="314"/>
      <c r="E23" s="314">
        <f t="shared" si="0"/>
        <v>299</v>
      </c>
      <c r="F23" s="314">
        <v>299</v>
      </c>
      <c r="G23" s="314"/>
      <c r="H23" s="314"/>
      <c r="I23" s="314"/>
      <c r="J23" s="372"/>
    </row>
    <row r="24" spans="1:9" s="376" customFormat="1" ht="20.25" customHeight="1">
      <c r="A24" s="298"/>
      <c r="B24" s="298"/>
      <c r="C24" s="374" t="s">
        <v>149</v>
      </c>
      <c r="D24" s="375">
        <f>SUM(E24:H24)</f>
        <v>78987600</v>
      </c>
      <c r="E24" s="375">
        <f t="shared" si="0"/>
        <v>42994200</v>
      </c>
      <c r="F24" s="375">
        <f>7925800+F28</f>
        <v>7925800</v>
      </c>
      <c r="G24" s="375">
        <f>15596400+G28</f>
        <v>17786400</v>
      </c>
      <c r="H24" s="375">
        <f>10261200+H28</f>
        <v>10281200</v>
      </c>
      <c r="I24" s="375">
        <f>7000800+I28</f>
        <v>7000800</v>
      </c>
    </row>
    <row r="25" spans="1:9" s="114" customFormat="1" ht="20.25" customHeight="1" thickBot="1">
      <c r="A25" s="222"/>
      <c r="B25" s="222"/>
      <c r="C25" s="327" t="s">
        <v>146</v>
      </c>
      <c r="D25" s="377"/>
      <c r="E25" s="377">
        <f t="shared" si="0"/>
        <v>42990200</v>
      </c>
      <c r="F25" s="378">
        <f>7925000+F28</f>
        <v>7925000</v>
      </c>
      <c r="G25" s="378">
        <f>15595200+G28</f>
        <v>17785200</v>
      </c>
      <c r="H25" s="378">
        <f>10260000+H28</f>
        <v>10280000</v>
      </c>
      <c r="I25" s="378">
        <f>7000000+I28</f>
        <v>7000000</v>
      </c>
    </row>
    <row r="26" spans="1:9" ht="19.5" customHeight="1" thickTop="1">
      <c r="A26" s="20">
        <v>700</v>
      </c>
      <c r="B26" s="20"/>
      <c r="C26" s="304" t="s">
        <v>57</v>
      </c>
      <c r="D26" s="231"/>
      <c r="E26" s="231">
        <f t="shared" si="0"/>
        <v>41990000</v>
      </c>
      <c r="F26" s="231">
        <f>7925000+F28</f>
        <v>7925000</v>
      </c>
      <c r="G26" s="231">
        <f>14595000+G28</f>
        <v>16785000</v>
      </c>
      <c r="H26" s="231">
        <f>10260000+H28</f>
        <v>10280000</v>
      </c>
      <c r="I26" s="231">
        <f>7000000+I28</f>
        <v>7000000</v>
      </c>
    </row>
    <row r="27" spans="1:9" s="422" customFormat="1" ht="18.75" customHeight="1">
      <c r="A27" s="420"/>
      <c r="B27" s="387">
        <v>70005</v>
      </c>
      <c r="C27" s="28" t="s">
        <v>58</v>
      </c>
      <c r="D27" s="421"/>
      <c r="E27" s="421">
        <f t="shared" si="0"/>
        <v>39780000</v>
      </c>
      <c r="F27" s="421">
        <v>7925000</v>
      </c>
      <c r="G27" s="421">
        <v>14595000</v>
      </c>
      <c r="H27" s="421">
        <v>10260000</v>
      </c>
      <c r="I27" s="421">
        <v>7000000</v>
      </c>
    </row>
    <row r="28" spans="1:9" s="114" customFormat="1" ht="19.5" customHeight="1">
      <c r="A28" s="285"/>
      <c r="B28" s="473"/>
      <c r="C28" s="270"/>
      <c r="D28" s="199"/>
      <c r="E28" s="199">
        <f t="shared" si="0"/>
        <v>2210000</v>
      </c>
      <c r="F28" s="199"/>
      <c r="G28" s="199">
        <f>1790000+400000</f>
        <v>2190000</v>
      </c>
      <c r="H28" s="199">
        <v>20000</v>
      </c>
      <c r="I28" s="199"/>
    </row>
    <row r="29" spans="1:9" s="388" customFormat="1" ht="19.5" customHeight="1">
      <c r="A29" s="465"/>
      <c r="B29" s="466"/>
      <c r="C29" s="466"/>
      <c r="D29" s="467"/>
      <c r="E29" s="467"/>
      <c r="F29" s="467"/>
      <c r="G29" s="467"/>
      <c r="H29" s="467"/>
      <c r="I29" s="467"/>
    </row>
    <row r="30" spans="1:9" s="388" customFormat="1" ht="19.5" customHeight="1">
      <c r="A30" s="468"/>
      <c r="B30" s="469"/>
      <c r="C30" s="469"/>
      <c r="D30" s="470"/>
      <c r="E30" s="470"/>
      <c r="F30" s="470"/>
      <c r="G30" s="470"/>
      <c r="H30" s="470"/>
      <c r="I30" s="470"/>
    </row>
    <row r="31" spans="1:9" s="376" customFormat="1" ht="20.25" customHeight="1">
      <c r="A31" s="298"/>
      <c r="B31" s="298"/>
      <c r="C31" s="374" t="s">
        <v>171</v>
      </c>
      <c r="D31" s="375">
        <f>SUM(E31:H31)</f>
        <v>1110000</v>
      </c>
      <c r="E31" s="375">
        <f t="shared" si="0"/>
        <v>680000</v>
      </c>
      <c r="F31" s="375"/>
      <c r="G31" s="375">
        <f>G34</f>
        <v>180000</v>
      </c>
      <c r="H31" s="375">
        <f>250000+H34</f>
        <v>250000</v>
      </c>
      <c r="I31" s="375">
        <f>250000+I34</f>
        <v>250000</v>
      </c>
    </row>
    <row r="32" spans="1:9" s="114" customFormat="1" ht="20.25" customHeight="1" thickBot="1">
      <c r="A32" s="222"/>
      <c r="B32" s="222"/>
      <c r="C32" s="327" t="s">
        <v>146</v>
      </c>
      <c r="D32" s="377"/>
      <c r="E32" s="377">
        <f t="shared" si="0"/>
        <v>680000</v>
      </c>
      <c r="F32" s="378"/>
      <c r="G32" s="378">
        <f>G34</f>
        <v>180000</v>
      </c>
      <c r="H32" s="378">
        <v>250000</v>
      </c>
      <c r="I32" s="378">
        <v>250000</v>
      </c>
    </row>
    <row r="33" spans="1:9" ht="19.5" customHeight="1" thickTop="1">
      <c r="A33" s="20">
        <v>900</v>
      </c>
      <c r="B33" s="20"/>
      <c r="C33" s="304" t="s">
        <v>150</v>
      </c>
      <c r="D33" s="231"/>
      <c r="E33" s="231">
        <f t="shared" si="0"/>
        <v>680000</v>
      </c>
      <c r="F33" s="231"/>
      <c r="G33" s="231">
        <f>G34</f>
        <v>180000</v>
      </c>
      <c r="H33" s="231">
        <v>250000</v>
      </c>
      <c r="I33" s="231">
        <v>250000</v>
      </c>
    </row>
    <row r="34" spans="1:9" s="26" customFormat="1" ht="19.5" customHeight="1">
      <c r="A34" s="419"/>
      <c r="B34" s="419">
        <v>90013</v>
      </c>
      <c r="C34" s="353" t="s">
        <v>119</v>
      </c>
      <c r="D34" s="191"/>
      <c r="E34" s="191">
        <f t="shared" si="0"/>
        <v>180000</v>
      </c>
      <c r="F34" s="191"/>
      <c r="G34" s="191">
        <v>180000</v>
      </c>
      <c r="H34" s="191"/>
      <c r="I34" s="191"/>
    </row>
    <row r="37" spans="3:7" ht="12.75">
      <c r="C37" t="s">
        <v>291</v>
      </c>
      <c r="E37" s="92"/>
      <c r="G37" s="92" t="s">
        <v>295</v>
      </c>
    </row>
    <row r="38" spans="3:7" ht="12.75">
      <c r="C38" t="s">
        <v>292</v>
      </c>
      <c r="E38" s="92"/>
      <c r="G38" s="92" t="s">
        <v>294</v>
      </c>
    </row>
    <row r="39" spans="3:7" ht="12.75">
      <c r="C39" s="105" t="s">
        <v>290</v>
      </c>
      <c r="E39" s="92"/>
      <c r="G39" s="92" t="s">
        <v>293</v>
      </c>
    </row>
  </sheetData>
  <mergeCells count="8">
    <mergeCell ref="A7:A8"/>
    <mergeCell ref="B7:B8"/>
    <mergeCell ref="C7:C8"/>
    <mergeCell ref="E7:E8"/>
    <mergeCell ref="F7:F8"/>
    <mergeCell ref="G7:G8"/>
    <mergeCell ref="H7:H8"/>
    <mergeCell ref="I7:I8"/>
  </mergeCells>
  <printOptions/>
  <pageMargins left="0.7874015748031497" right="0.7874015748031497" top="0.6692913385826772" bottom="0.4724409448818898" header="0.5118110236220472" footer="0.5118110236220472"/>
  <pageSetup firstPageNumber="22" useFirstPageNumber="1"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60.375" style="0" customWidth="1"/>
    <col min="4" max="8" width="15.75390625" style="0" customWidth="1"/>
    <col min="9" max="9" width="11.00390625" style="0" customWidth="1"/>
    <col min="10" max="10" width="16.875" style="0" customWidth="1"/>
    <col min="11" max="11" width="10.375" style="0" customWidth="1"/>
  </cols>
  <sheetData>
    <row r="1" ht="15" customHeight="1">
      <c r="G1" s="100" t="s">
        <v>93</v>
      </c>
    </row>
    <row r="2" spans="1:7" ht="15" customHeight="1">
      <c r="A2" s="23"/>
      <c r="G2" s="289" t="s">
        <v>287</v>
      </c>
    </row>
    <row r="3" spans="1:7" ht="15" customHeight="1">
      <c r="A3" s="23"/>
      <c r="B3" s="23" t="s">
        <v>147</v>
      </c>
      <c r="G3" s="289" t="s">
        <v>104</v>
      </c>
    </row>
    <row r="4" spans="3:7" ht="15" customHeight="1">
      <c r="C4" s="23"/>
      <c r="G4" s="2" t="s">
        <v>273</v>
      </c>
    </row>
    <row r="5" ht="15" customHeight="1" thickBot="1">
      <c r="H5" s="250" t="s">
        <v>6</v>
      </c>
    </row>
    <row r="6" spans="1:8" s="32" customFormat="1" ht="18" customHeight="1" thickTop="1">
      <c r="A6" s="558" t="s">
        <v>122</v>
      </c>
      <c r="B6" s="558" t="s">
        <v>9</v>
      </c>
      <c r="C6" s="562" t="s">
        <v>137</v>
      </c>
      <c r="D6" s="562" t="s">
        <v>138</v>
      </c>
      <c r="E6" s="558" t="s">
        <v>139</v>
      </c>
      <c r="F6" s="558" t="s">
        <v>140</v>
      </c>
      <c r="G6" s="562" t="s">
        <v>141</v>
      </c>
      <c r="H6" s="558" t="s">
        <v>142</v>
      </c>
    </row>
    <row r="7" spans="1:8" s="32" customFormat="1" ht="25.5" customHeight="1" thickBot="1">
      <c r="A7" s="559"/>
      <c r="B7" s="559"/>
      <c r="C7" s="563"/>
      <c r="D7" s="559"/>
      <c r="E7" s="559"/>
      <c r="F7" s="559"/>
      <c r="G7" s="563"/>
      <c r="H7" s="559"/>
    </row>
    <row r="8" spans="1:16" s="105" customFormat="1" ht="15.75" customHeight="1" thickBot="1" thickTop="1">
      <c r="A8" s="27">
        <v>1</v>
      </c>
      <c r="B8" s="27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26"/>
      <c r="J8" s="123"/>
      <c r="K8" s="26"/>
      <c r="L8" s="26"/>
      <c r="M8" s="26"/>
      <c r="N8" s="26"/>
      <c r="O8" s="26"/>
      <c r="P8" s="26"/>
    </row>
    <row r="9" spans="1:10" ht="18" customHeight="1" thickBot="1" thickTop="1">
      <c r="A9" s="71"/>
      <c r="B9" s="106"/>
      <c r="C9" s="357" t="s">
        <v>24</v>
      </c>
      <c r="D9" s="358">
        <f>SUM(E9:H9)</f>
        <v>787075609</v>
      </c>
      <c r="E9" s="358">
        <f>199161889+E16+E21+E26+E29+E31+E33+E38+E43+E46+E48+E51+E56+E59+E64+E69+E74</f>
        <v>199105889</v>
      </c>
      <c r="F9" s="358">
        <f>192474881+F16+F21+F26+F29+F31+F33+F38+F43+F46+F48+F51+F56+F59+F64+F69+F74</f>
        <v>194533518</v>
      </c>
      <c r="G9" s="358">
        <f>196031010+G16+G21+G26+G29+G31+G33+G38+G43+G46+G48+G51+G56+G59+G64+G69+G74</f>
        <v>196556010</v>
      </c>
      <c r="H9" s="358">
        <f>196664622+H16+H21+H26+H29+H31+H33+H38+H43+H46+H48+H51+H56+H59+H64+H69+H74</f>
        <v>196880192</v>
      </c>
      <c r="J9" s="92"/>
    </row>
    <row r="10" spans="1:8" ht="13.5" customHeight="1">
      <c r="A10" s="71"/>
      <c r="B10" s="71"/>
      <c r="C10" s="379" t="s">
        <v>148</v>
      </c>
      <c r="D10" s="380"/>
      <c r="E10" s="380"/>
      <c r="F10" s="381"/>
      <c r="G10" s="381"/>
      <c r="H10" s="381"/>
    </row>
    <row r="11" spans="1:11" ht="14.25" customHeight="1">
      <c r="A11" s="71"/>
      <c r="B11" s="71"/>
      <c r="C11" s="382" t="s">
        <v>126</v>
      </c>
      <c r="D11" s="383">
        <f aca="true" t="shared" si="0" ref="D11:D74">SUM(E11:H11)</f>
        <v>317732474</v>
      </c>
      <c r="E11" s="383">
        <f>58375703+E16+E21+E26+E29+E31+E33+E38+E43+E46+E48+E51+E56+E59+E64</f>
        <v>58319703</v>
      </c>
      <c r="F11" s="383">
        <f>78722385+F16+F21+F26+F29+F31+F33+F38+F43+F46+F48+F51+F56+F59+F64</f>
        <v>80773272</v>
      </c>
      <c r="G11" s="383">
        <f>89575523+G16+G21+G26+G29+G31+G33+G38+G43+G46+G48+G51+G56+G59+G64</f>
        <v>89900523</v>
      </c>
      <c r="H11" s="383">
        <f>88523406+H16+H21+H26+H29+H31+H33+H38+H43+H46+H48+H51+H56+H59+H64</f>
        <v>88738976</v>
      </c>
      <c r="I11" s="92"/>
      <c r="J11" s="92"/>
      <c r="K11" s="92"/>
    </row>
    <row r="12" spans="1:8" s="339" customFormat="1" ht="19.5" customHeight="1">
      <c r="A12" s="298"/>
      <c r="B12" s="298"/>
      <c r="C12" s="298" t="s">
        <v>127</v>
      </c>
      <c r="D12" s="299">
        <f t="shared" si="0"/>
        <v>27351846</v>
      </c>
      <c r="E12" s="299">
        <f>1732937+E16</f>
        <v>1732937</v>
      </c>
      <c r="F12" s="299">
        <f>4801786+F16</f>
        <v>4801786</v>
      </c>
      <c r="G12" s="299">
        <f>7624651+G16</f>
        <v>7624651</v>
      </c>
      <c r="H12" s="299">
        <f>13907902+H16</f>
        <v>13192472</v>
      </c>
    </row>
    <row r="13" spans="1:8" ht="19.5" customHeight="1" thickBot="1">
      <c r="A13" s="66"/>
      <c r="B13" s="66"/>
      <c r="C13" s="110" t="s">
        <v>131</v>
      </c>
      <c r="D13" s="111">
        <f t="shared" si="0"/>
        <v>27351846</v>
      </c>
      <c r="E13" s="111">
        <f>1732937+E16</f>
        <v>1732937</v>
      </c>
      <c r="F13" s="111">
        <f>4801786+F16</f>
        <v>4801786</v>
      </c>
      <c r="G13" s="111">
        <f>7624651+G16</f>
        <v>7624651</v>
      </c>
      <c r="H13" s="111">
        <f>13907902+H16</f>
        <v>13192472</v>
      </c>
    </row>
    <row r="14" spans="1:8" s="32" customFormat="1" ht="19.5" customHeight="1" thickTop="1">
      <c r="A14" s="35">
        <v>758</v>
      </c>
      <c r="B14" s="35"/>
      <c r="C14" s="35" t="s">
        <v>84</v>
      </c>
      <c r="D14" s="112">
        <f t="shared" si="0"/>
        <v>13131130</v>
      </c>
      <c r="E14" s="112">
        <f>646636+E16</f>
        <v>646636</v>
      </c>
      <c r="F14" s="112">
        <f>646636+F16</f>
        <v>646636</v>
      </c>
      <c r="G14" s="112">
        <f>646636+G16</f>
        <v>646636</v>
      </c>
      <c r="H14" s="112">
        <f>11906652+H16</f>
        <v>11191222</v>
      </c>
    </row>
    <row r="15" spans="1:8" s="26" customFormat="1" ht="19.5" customHeight="1">
      <c r="A15" s="65"/>
      <c r="B15" s="239">
        <v>75818</v>
      </c>
      <c r="C15" s="239" t="s">
        <v>85</v>
      </c>
      <c r="D15" s="287">
        <f t="shared" si="0"/>
        <v>11260016</v>
      </c>
      <c r="E15" s="287"/>
      <c r="F15" s="287"/>
      <c r="G15" s="287"/>
      <c r="H15" s="287">
        <v>11260016</v>
      </c>
    </row>
    <row r="16" spans="1:8" s="114" customFormat="1" ht="18" customHeight="1">
      <c r="A16" s="68"/>
      <c r="B16" s="271"/>
      <c r="C16" s="221"/>
      <c r="D16" s="225">
        <f t="shared" si="0"/>
        <v>-715430</v>
      </c>
      <c r="E16" s="225"/>
      <c r="F16" s="225"/>
      <c r="G16" s="225"/>
      <c r="H16" s="225">
        <v>-715430</v>
      </c>
    </row>
    <row r="17" spans="1:8" s="339" customFormat="1" ht="21" customHeight="1">
      <c r="A17" s="298"/>
      <c r="B17" s="298"/>
      <c r="C17" s="298" t="s">
        <v>164</v>
      </c>
      <c r="D17" s="299">
        <f t="shared" si="0"/>
        <v>18125234</v>
      </c>
      <c r="E17" s="299">
        <f>2061370+E21</f>
        <v>2061370</v>
      </c>
      <c r="F17" s="299">
        <f>5838104+F21</f>
        <v>8028104</v>
      </c>
      <c r="G17" s="299">
        <f>5883380+G21</f>
        <v>5903380</v>
      </c>
      <c r="H17" s="299">
        <f>2132380+H21</f>
        <v>2132380</v>
      </c>
    </row>
    <row r="18" spans="1:8" ht="19.5" customHeight="1" thickBot="1">
      <c r="A18" s="66"/>
      <c r="B18" s="66"/>
      <c r="C18" s="110" t="s">
        <v>131</v>
      </c>
      <c r="D18" s="111">
        <f t="shared" si="0"/>
        <v>17666234</v>
      </c>
      <c r="E18" s="111">
        <f>1773870+E21</f>
        <v>1773870</v>
      </c>
      <c r="F18" s="111">
        <f>5818604+F21</f>
        <v>8008604</v>
      </c>
      <c r="G18" s="111">
        <f>5863880+G21</f>
        <v>5883880</v>
      </c>
      <c r="H18" s="111">
        <f>1999880+H21</f>
        <v>1999880</v>
      </c>
    </row>
    <row r="19" spans="1:8" s="32" customFormat="1" ht="19.5" customHeight="1" thickTop="1">
      <c r="A19" s="35">
        <v>900</v>
      </c>
      <c r="B19" s="35"/>
      <c r="C19" s="35" t="s">
        <v>21</v>
      </c>
      <c r="D19" s="112">
        <f t="shared" si="0"/>
        <v>4110000</v>
      </c>
      <c r="E19" s="112">
        <f>500000+E21</f>
        <v>500000</v>
      </c>
      <c r="F19" s="112">
        <f>500000+F21</f>
        <v>2690000</v>
      </c>
      <c r="G19" s="112">
        <f>500000+G21</f>
        <v>520000</v>
      </c>
      <c r="H19" s="112">
        <f>400000+H21</f>
        <v>400000</v>
      </c>
    </row>
    <row r="20" spans="1:8" s="26" customFormat="1" ht="19.5" customHeight="1">
      <c r="A20" s="65"/>
      <c r="B20" s="239">
        <v>90095</v>
      </c>
      <c r="C20" s="239" t="s">
        <v>4</v>
      </c>
      <c r="D20" s="287">
        <f t="shared" si="0"/>
        <v>1900000</v>
      </c>
      <c r="E20" s="287">
        <v>500000</v>
      </c>
      <c r="F20" s="287">
        <v>500000</v>
      </c>
      <c r="G20" s="287">
        <v>500000</v>
      </c>
      <c r="H20" s="287">
        <v>400000</v>
      </c>
    </row>
    <row r="21" spans="1:8" s="114" customFormat="1" ht="18" customHeight="1">
      <c r="A21" s="70"/>
      <c r="B21" s="271"/>
      <c r="C21" s="221"/>
      <c r="D21" s="225">
        <f t="shared" si="0"/>
        <v>2210000</v>
      </c>
      <c r="E21" s="225"/>
      <c r="F21" s="225">
        <f>1790000+400000</f>
        <v>2190000</v>
      </c>
      <c r="G21" s="225">
        <v>20000</v>
      </c>
      <c r="H21" s="225"/>
    </row>
    <row r="22" spans="1:8" s="339" customFormat="1" ht="16.5" customHeight="1">
      <c r="A22" s="298"/>
      <c r="B22" s="298"/>
      <c r="C22" s="298" t="s">
        <v>130</v>
      </c>
      <c r="D22" s="299">
        <f t="shared" si="0"/>
        <v>63387603</v>
      </c>
      <c r="E22" s="299">
        <f>12452296+E26+E29+E31+E33</f>
        <v>12452296</v>
      </c>
      <c r="F22" s="299">
        <f>14396096+F26+F29+F31+F33</f>
        <v>14464434</v>
      </c>
      <c r="G22" s="299">
        <f>16916089+G26+G29+G31+G33</f>
        <v>17171089</v>
      </c>
      <c r="H22" s="299">
        <f>19129784+H26+H29+H31+H33</f>
        <v>19299784</v>
      </c>
    </row>
    <row r="23" spans="1:8" ht="19.5" customHeight="1" thickBot="1">
      <c r="A23" s="66"/>
      <c r="B23" s="66"/>
      <c r="C23" s="110" t="s">
        <v>131</v>
      </c>
      <c r="D23" s="111">
        <f t="shared" si="0"/>
        <v>61005112</v>
      </c>
      <c r="E23" s="111">
        <f>11205069+E26+E29+E31+E33</f>
        <v>11205069</v>
      </c>
      <c r="F23" s="111">
        <f>13260832+F26+F29+F31+F33</f>
        <v>13329170</v>
      </c>
      <c r="G23" s="111">
        <f>16916089+G26+G29+G31+G33</f>
        <v>17171089</v>
      </c>
      <c r="H23" s="111">
        <f>19129784+H26+H29+H31+H33</f>
        <v>19299784</v>
      </c>
    </row>
    <row r="24" spans="1:8" s="32" customFormat="1" ht="19.5" customHeight="1" thickTop="1">
      <c r="A24" s="35">
        <v>750</v>
      </c>
      <c r="B24" s="35"/>
      <c r="C24" s="35" t="s">
        <v>31</v>
      </c>
      <c r="D24" s="112">
        <f t="shared" si="0"/>
        <v>50518088</v>
      </c>
      <c r="E24" s="112">
        <f>10664990+E26</f>
        <v>10664990</v>
      </c>
      <c r="F24" s="112">
        <f>11821190+F26</f>
        <v>11859528</v>
      </c>
      <c r="G24" s="112">
        <f>13197390+G26</f>
        <v>13297390</v>
      </c>
      <c r="H24" s="112">
        <f>14696180+H26</f>
        <v>14696180</v>
      </c>
    </row>
    <row r="25" spans="1:8" s="26" customFormat="1" ht="19.5" customHeight="1">
      <c r="A25" s="65"/>
      <c r="B25" s="239">
        <v>75023</v>
      </c>
      <c r="C25" s="239" t="s">
        <v>32</v>
      </c>
      <c r="D25" s="287">
        <f t="shared" si="0"/>
        <v>49659750</v>
      </c>
      <c r="E25" s="287">
        <v>10490440</v>
      </c>
      <c r="F25" s="287">
        <v>11490440</v>
      </c>
      <c r="G25" s="287">
        <v>13090440</v>
      </c>
      <c r="H25" s="287">
        <v>14588430</v>
      </c>
    </row>
    <row r="26" spans="1:8" s="114" customFormat="1" ht="18" customHeight="1">
      <c r="A26" s="70"/>
      <c r="B26" s="271"/>
      <c r="C26" s="221"/>
      <c r="D26" s="225">
        <f t="shared" si="0"/>
        <v>138338</v>
      </c>
      <c r="E26" s="225"/>
      <c r="F26" s="225">
        <v>38338</v>
      </c>
      <c r="G26" s="225">
        <v>100000</v>
      </c>
      <c r="H26" s="225"/>
    </row>
    <row r="27" spans="1:8" s="32" customFormat="1" ht="19.5" customHeight="1">
      <c r="A27" s="35">
        <v>801</v>
      </c>
      <c r="B27" s="35"/>
      <c r="C27" s="35" t="s">
        <v>10</v>
      </c>
      <c r="D27" s="112">
        <f t="shared" si="0"/>
        <v>7269929</v>
      </c>
      <c r="E27" s="112">
        <f>280781+E29+E31</f>
        <v>280781</v>
      </c>
      <c r="F27" s="112">
        <f>1046764+F29+F31</f>
        <v>1046764</v>
      </c>
      <c r="G27" s="112">
        <f>2131980+G29+G31</f>
        <v>2286980</v>
      </c>
      <c r="H27" s="112">
        <f>3655404+H29+H31</f>
        <v>3655404</v>
      </c>
    </row>
    <row r="28" spans="1:8" s="26" customFormat="1" ht="19.5" customHeight="1">
      <c r="A28" s="65"/>
      <c r="B28" s="28">
        <v>80101</v>
      </c>
      <c r="C28" s="128" t="s">
        <v>92</v>
      </c>
      <c r="D28" s="287">
        <f t="shared" si="0"/>
        <v>2837240</v>
      </c>
      <c r="E28" s="287">
        <v>172240</v>
      </c>
      <c r="F28" s="287">
        <v>400000</v>
      </c>
      <c r="G28" s="287">
        <v>710000</v>
      </c>
      <c r="H28" s="287">
        <v>1555000</v>
      </c>
    </row>
    <row r="29" spans="1:8" s="114" customFormat="1" ht="18" customHeight="1">
      <c r="A29" s="68"/>
      <c r="B29" s="271"/>
      <c r="C29" s="221"/>
      <c r="D29" s="225">
        <f t="shared" si="0"/>
        <v>80000</v>
      </c>
      <c r="E29" s="225"/>
      <c r="F29" s="225"/>
      <c r="G29" s="225">
        <v>80000</v>
      </c>
      <c r="H29" s="225"/>
    </row>
    <row r="30" spans="1:8" s="26" customFormat="1" ht="19.5" customHeight="1">
      <c r="A30" s="65"/>
      <c r="B30" s="28">
        <v>80110</v>
      </c>
      <c r="C30" s="128" t="s">
        <v>156</v>
      </c>
      <c r="D30" s="287">
        <f t="shared" si="0"/>
        <v>1921254</v>
      </c>
      <c r="E30" s="287">
        <v>23754</v>
      </c>
      <c r="F30" s="287">
        <v>300000</v>
      </c>
      <c r="G30" s="287">
        <v>550000</v>
      </c>
      <c r="H30" s="287">
        <v>1047500</v>
      </c>
    </row>
    <row r="31" spans="1:8" s="114" customFormat="1" ht="18" customHeight="1">
      <c r="A31" s="70"/>
      <c r="B31" s="271"/>
      <c r="C31" s="221"/>
      <c r="D31" s="225">
        <f t="shared" si="0"/>
        <v>75000</v>
      </c>
      <c r="E31" s="225"/>
      <c r="F31" s="225"/>
      <c r="G31" s="225">
        <v>75000</v>
      </c>
      <c r="H31" s="225"/>
    </row>
    <row r="32" spans="1:8" ht="19.5" customHeight="1">
      <c r="A32" s="35">
        <v>851</v>
      </c>
      <c r="B32" s="35"/>
      <c r="C32" s="35" t="s">
        <v>59</v>
      </c>
      <c r="D32" s="112">
        <f t="shared" si="0"/>
        <v>1044630</v>
      </c>
      <c r="E32" s="112">
        <f>13630+E33</f>
        <v>13630</v>
      </c>
      <c r="F32" s="112">
        <f>18565+F33</f>
        <v>48565</v>
      </c>
      <c r="G32" s="112">
        <f>808685+G33</f>
        <v>808685</v>
      </c>
      <c r="H32" s="112">
        <f>3750+H33</f>
        <v>173750</v>
      </c>
    </row>
    <row r="33" spans="1:8" s="26" customFormat="1" ht="19.5" customHeight="1">
      <c r="A33" s="65"/>
      <c r="B33" s="353">
        <v>85121</v>
      </c>
      <c r="C33" s="384" t="s">
        <v>157</v>
      </c>
      <c r="D33" s="385">
        <f t="shared" si="0"/>
        <v>200000</v>
      </c>
      <c r="E33" s="385"/>
      <c r="F33" s="385">
        <v>30000</v>
      </c>
      <c r="G33" s="385"/>
      <c r="H33" s="385">
        <v>170000</v>
      </c>
    </row>
    <row r="34" spans="1:8" s="339" customFormat="1" ht="19.5" customHeight="1">
      <c r="A34" s="298"/>
      <c r="B34" s="298"/>
      <c r="C34" s="298" t="s">
        <v>166</v>
      </c>
      <c r="D34" s="299">
        <f t="shared" si="0"/>
        <v>24530668</v>
      </c>
      <c r="E34" s="299">
        <f>4911450+E38</f>
        <v>4911450</v>
      </c>
      <c r="F34" s="299">
        <f>6172018+F38</f>
        <v>6164268</v>
      </c>
      <c r="G34" s="299">
        <f>5922610+G38</f>
        <v>5922610</v>
      </c>
      <c r="H34" s="299">
        <f>7532340+H38</f>
        <v>7532340</v>
      </c>
    </row>
    <row r="35" spans="1:8" ht="19.5" customHeight="1" thickBot="1">
      <c r="A35" s="66"/>
      <c r="B35" s="66"/>
      <c r="C35" s="110" t="s">
        <v>131</v>
      </c>
      <c r="D35" s="111">
        <f t="shared" si="0"/>
        <v>24330668</v>
      </c>
      <c r="E35" s="111">
        <f>4861450+E38</f>
        <v>4861450</v>
      </c>
      <c r="F35" s="111">
        <f>6122018+F38</f>
        <v>6114268</v>
      </c>
      <c r="G35" s="111">
        <f>5872610+G38</f>
        <v>5872610</v>
      </c>
      <c r="H35" s="111">
        <f>7482340+H38</f>
        <v>7482340</v>
      </c>
    </row>
    <row r="36" spans="1:8" ht="19.5" customHeight="1" thickTop="1">
      <c r="A36" s="35">
        <v>854</v>
      </c>
      <c r="B36" s="35"/>
      <c r="C36" s="35" t="s">
        <v>13</v>
      </c>
      <c r="D36" s="112">
        <f t="shared" si="0"/>
        <v>3733182</v>
      </c>
      <c r="E36" s="112">
        <f>379350+E38</f>
        <v>379350</v>
      </c>
      <c r="F36" s="112">
        <f>1249212+F38</f>
        <v>1241462</v>
      </c>
      <c r="G36" s="112">
        <f>979500+G38</f>
        <v>979500</v>
      </c>
      <c r="H36" s="112">
        <f>1132870+H38</f>
        <v>1132870</v>
      </c>
    </row>
    <row r="37" spans="1:8" s="26" customFormat="1" ht="19.5" customHeight="1">
      <c r="A37" s="65"/>
      <c r="B37" s="28">
        <v>85495</v>
      </c>
      <c r="C37" s="128" t="s">
        <v>4</v>
      </c>
      <c r="D37" s="287">
        <f t="shared" si="0"/>
        <v>119320</v>
      </c>
      <c r="E37" s="287">
        <v>9750</v>
      </c>
      <c r="F37" s="287">
        <v>30000</v>
      </c>
      <c r="G37" s="287">
        <v>60000</v>
      </c>
      <c r="H37" s="287">
        <v>19570</v>
      </c>
    </row>
    <row r="38" spans="1:8" s="114" customFormat="1" ht="19.5" customHeight="1">
      <c r="A38" s="68"/>
      <c r="B38" s="271"/>
      <c r="C38" s="221"/>
      <c r="D38" s="225">
        <f t="shared" si="0"/>
        <v>-7750</v>
      </c>
      <c r="E38" s="225"/>
      <c r="F38" s="225">
        <v>-7750</v>
      </c>
      <c r="G38" s="225"/>
      <c r="H38" s="225"/>
    </row>
    <row r="39" spans="1:8" s="339" customFormat="1" ht="19.5" customHeight="1">
      <c r="A39" s="298"/>
      <c r="B39" s="298"/>
      <c r="C39" s="298" t="s">
        <v>167</v>
      </c>
      <c r="D39" s="299">
        <f t="shared" si="0"/>
        <v>53340485</v>
      </c>
      <c r="E39" s="299">
        <f>13094850+E43+E46+E48+E51</f>
        <v>13038850</v>
      </c>
      <c r="F39" s="299">
        <f>16709264+F43+F46+F48+F51</f>
        <v>16509264</v>
      </c>
      <c r="G39" s="299">
        <f>12024044+G43+G46+G48+G51</f>
        <v>11924044</v>
      </c>
      <c r="H39" s="299">
        <f>11187327+H43+H46+H48+H51</f>
        <v>11868327</v>
      </c>
    </row>
    <row r="40" spans="1:8" ht="19.5" customHeight="1" thickBot="1">
      <c r="A40" s="66"/>
      <c r="B40" s="66"/>
      <c r="C40" s="110" t="s">
        <v>131</v>
      </c>
      <c r="D40" s="111">
        <f t="shared" si="0"/>
        <v>52844485</v>
      </c>
      <c r="E40" s="111">
        <f>12955386+E43+E46+E48+E51</f>
        <v>12899386</v>
      </c>
      <c r="F40" s="111">
        <f>16587089+F43+F46+F48+F51</f>
        <v>16387089</v>
      </c>
      <c r="G40" s="111">
        <f>11906530+G43+G46+G48+G51</f>
        <v>11806530</v>
      </c>
      <c r="H40" s="111">
        <f>11070480+H43+H46+H48+H51</f>
        <v>11751480</v>
      </c>
    </row>
    <row r="41" spans="1:8" ht="19.5" customHeight="1" thickTop="1">
      <c r="A41" s="35">
        <v>700</v>
      </c>
      <c r="B41" s="35"/>
      <c r="C41" s="35" t="s">
        <v>57</v>
      </c>
      <c r="D41" s="112">
        <f t="shared" si="0"/>
        <v>5225000</v>
      </c>
      <c r="E41" s="112">
        <f>550000+E43</f>
        <v>550000</v>
      </c>
      <c r="F41" s="112">
        <f>1437500+F43</f>
        <v>1437500</v>
      </c>
      <c r="G41" s="112">
        <f>1817500+G43</f>
        <v>1817500</v>
      </c>
      <c r="H41" s="112">
        <f>720000+H43</f>
        <v>1420000</v>
      </c>
    </row>
    <row r="42" spans="1:8" s="26" customFormat="1" ht="19.5" customHeight="1">
      <c r="A42" s="65"/>
      <c r="B42" s="28">
        <v>70001</v>
      </c>
      <c r="C42" s="128" t="s">
        <v>82</v>
      </c>
      <c r="D42" s="287">
        <f t="shared" si="0"/>
        <v>4300000</v>
      </c>
      <c r="E42" s="287">
        <v>500000</v>
      </c>
      <c r="F42" s="287">
        <v>1300000</v>
      </c>
      <c r="G42" s="287">
        <v>1800000</v>
      </c>
      <c r="H42" s="287">
        <v>700000</v>
      </c>
    </row>
    <row r="43" spans="1:8" s="114" customFormat="1" ht="19.5" customHeight="1">
      <c r="A43" s="70"/>
      <c r="B43" s="271"/>
      <c r="C43" s="221"/>
      <c r="D43" s="225">
        <f t="shared" si="0"/>
        <v>700000</v>
      </c>
      <c r="E43" s="225"/>
      <c r="F43" s="225"/>
      <c r="G43" s="225"/>
      <c r="H43" s="225">
        <v>700000</v>
      </c>
    </row>
    <row r="44" spans="1:8" ht="19.5" customHeight="1">
      <c r="A44" s="35">
        <v>851</v>
      </c>
      <c r="B44" s="35"/>
      <c r="C44" s="35" t="s">
        <v>59</v>
      </c>
      <c r="D44" s="112">
        <f t="shared" si="0"/>
        <v>10090605</v>
      </c>
      <c r="E44" s="112">
        <f>2786186+E46+E48</f>
        <v>2730186</v>
      </c>
      <c r="F44" s="112">
        <f>5571689+F46+F48</f>
        <v>5321689</v>
      </c>
      <c r="G44" s="112">
        <f>995080+G46+G48</f>
        <v>895080</v>
      </c>
      <c r="H44" s="112">
        <f>1162650+H46+H48</f>
        <v>1143650</v>
      </c>
    </row>
    <row r="45" spans="1:8" s="26" customFormat="1" ht="19.5" customHeight="1">
      <c r="A45" s="65"/>
      <c r="B45" s="28">
        <v>85121</v>
      </c>
      <c r="C45" s="128" t="s">
        <v>157</v>
      </c>
      <c r="D45" s="287">
        <f t="shared" si="0"/>
        <v>6750000</v>
      </c>
      <c r="E45" s="287">
        <v>1720311</v>
      </c>
      <c r="F45" s="287">
        <v>4629689</v>
      </c>
      <c r="G45" s="287">
        <v>100000</v>
      </c>
      <c r="H45" s="287">
        <v>300000</v>
      </c>
    </row>
    <row r="46" spans="1:8" s="114" customFormat="1" ht="19.5" customHeight="1">
      <c r="A46" s="68"/>
      <c r="B46" s="271"/>
      <c r="C46" s="221"/>
      <c r="D46" s="225">
        <f t="shared" si="0"/>
        <v>-250000</v>
      </c>
      <c r="E46" s="225"/>
      <c r="F46" s="225">
        <v>-250000</v>
      </c>
      <c r="G46" s="225"/>
      <c r="H46" s="225"/>
    </row>
    <row r="47" spans="1:8" s="26" customFormat="1" ht="19.5" customHeight="1">
      <c r="A47" s="65"/>
      <c r="B47" s="135">
        <v>85195</v>
      </c>
      <c r="C47" s="125" t="s">
        <v>4</v>
      </c>
      <c r="D47" s="414">
        <f t="shared" si="0"/>
        <v>481000</v>
      </c>
      <c r="E47" s="414">
        <v>56000</v>
      </c>
      <c r="F47" s="414">
        <v>175000</v>
      </c>
      <c r="G47" s="414">
        <v>190000</v>
      </c>
      <c r="H47" s="414">
        <v>60000</v>
      </c>
    </row>
    <row r="48" spans="1:8" s="114" customFormat="1" ht="19.5" customHeight="1">
      <c r="A48" s="70"/>
      <c r="B48" s="271"/>
      <c r="C48" s="221"/>
      <c r="D48" s="225">
        <f t="shared" si="0"/>
        <v>-175000</v>
      </c>
      <c r="E48" s="225">
        <v>-56000</v>
      </c>
      <c r="F48" s="225"/>
      <c r="G48" s="225">
        <v>-100000</v>
      </c>
      <c r="H48" s="225">
        <v>-19000</v>
      </c>
    </row>
    <row r="49" spans="1:8" ht="19.5" customHeight="1">
      <c r="A49" s="35">
        <v>921</v>
      </c>
      <c r="B49" s="35"/>
      <c r="C49" s="35" t="s">
        <v>134</v>
      </c>
      <c r="D49" s="112">
        <f t="shared" si="0"/>
        <v>12519000</v>
      </c>
      <c r="E49" s="112">
        <f>3505100+E51</f>
        <v>3505100</v>
      </c>
      <c r="F49" s="112">
        <f>3331900+F51</f>
        <v>3381900</v>
      </c>
      <c r="G49" s="112">
        <f>2892500+G51</f>
        <v>2892500</v>
      </c>
      <c r="H49" s="112">
        <f>2739500+H51</f>
        <v>2739500</v>
      </c>
    </row>
    <row r="50" spans="1:8" s="26" customFormat="1" ht="19.5" customHeight="1">
      <c r="A50" s="65"/>
      <c r="B50" s="28">
        <v>92109</v>
      </c>
      <c r="C50" s="128" t="s">
        <v>162</v>
      </c>
      <c r="D50" s="287">
        <f t="shared" si="0"/>
        <v>2347000</v>
      </c>
      <c r="E50" s="287">
        <v>609000</v>
      </c>
      <c r="F50" s="287">
        <v>845000</v>
      </c>
      <c r="G50" s="287">
        <v>523000</v>
      </c>
      <c r="H50" s="287">
        <v>370000</v>
      </c>
    </row>
    <row r="51" spans="1:8" s="114" customFormat="1" ht="19.5" customHeight="1">
      <c r="A51" s="68"/>
      <c r="B51" s="271"/>
      <c r="C51" s="221"/>
      <c r="D51" s="225">
        <f t="shared" si="0"/>
        <v>50000</v>
      </c>
      <c r="E51" s="225"/>
      <c r="F51" s="225">
        <v>50000</v>
      </c>
      <c r="G51" s="225"/>
      <c r="H51" s="225"/>
    </row>
    <row r="52" spans="1:8" s="339" customFormat="1" ht="19.5" customHeight="1">
      <c r="A52" s="298"/>
      <c r="B52" s="298"/>
      <c r="C52" s="298" t="s">
        <v>168</v>
      </c>
      <c r="D52" s="299">
        <f t="shared" si="0"/>
        <v>73181989</v>
      </c>
      <c r="E52" s="299">
        <f>11598000+E56+E59</f>
        <v>11598000</v>
      </c>
      <c r="F52" s="299">
        <f>16245000+F56+F59</f>
        <v>16245000</v>
      </c>
      <c r="G52" s="299">
        <f>25618989+G56+G59</f>
        <v>25768989</v>
      </c>
      <c r="H52" s="299">
        <f>19490000+H56+H59</f>
        <v>19570000</v>
      </c>
    </row>
    <row r="53" spans="1:8" ht="19.5" customHeight="1" thickBot="1">
      <c r="A53" s="66"/>
      <c r="B53" s="66"/>
      <c r="C53" s="110" t="s">
        <v>131</v>
      </c>
      <c r="D53" s="111">
        <f t="shared" si="0"/>
        <v>73181989</v>
      </c>
      <c r="E53" s="111">
        <f>11598000+E56+E59</f>
        <v>11598000</v>
      </c>
      <c r="F53" s="111">
        <f>16245000+F56+F59</f>
        <v>16245000</v>
      </c>
      <c r="G53" s="111">
        <f>25618989+G56+G59</f>
        <v>25768989</v>
      </c>
      <c r="H53" s="111">
        <f>19490000+H56+H59</f>
        <v>19570000</v>
      </c>
    </row>
    <row r="54" spans="1:8" ht="19.5" customHeight="1" thickTop="1">
      <c r="A54" s="35">
        <v>851</v>
      </c>
      <c r="B54" s="35"/>
      <c r="C54" s="35" t="s">
        <v>59</v>
      </c>
      <c r="D54" s="112">
        <f>SUM(E54:H54)</f>
        <v>500000</v>
      </c>
      <c r="E54" s="112">
        <f>50000+E56</f>
        <v>50000</v>
      </c>
      <c r="F54" s="112">
        <f>300000+F56</f>
        <v>300000</v>
      </c>
      <c r="G54" s="112">
        <f>100000+G56</f>
        <v>150000</v>
      </c>
      <c r="H54" s="112"/>
    </row>
    <row r="55" spans="1:8" s="114" customFormat="1" ht="18" customHeight="1">
      <c r="A55" s="220"/>
      <c r="B55" s="239">
        <v>85121</v>
      </c>
      <c r="C55" s="239" t="s">
        <v>157</v>
      </c>
      <c r="D55" s="550">
        <f>SUM(E55:H55)</f>
        <v>250000</v>
      </c>
      <c r="E55" s="414">
        <v>50000</v>
      </c>
      <c r="F55" s="414">
        <v>150000</v>
      </c>
      <c r="G55" s="414">
        <v>50000</v>
      </c>
      <c r="H55" s="414"/>
    </row>
    <row r="56" spans="1:8" s="114" customFormat="1" ht="18" customHeight="1">
      <c r="A56" s="70"/>
      <c r="B56" s="240"/>
      <c r="C56" s="240"/>
      <c r="D56" s="415">
        <f>SUM(E56:H56)</f>
        <v>50000</v>
      </c>
      <c r="E56" s="225"/>
      <c r="F56" s="225"/>
      <c r="G56" s="225">
        <v>50000</v>
      </c>
      <c r="H56" s="225"/>
    </row>
    <row r="57" spans="1:8" ht="19.5" customHeight="1">
      <c r="A57" s="35">
        <v>900</v>
      </c>
      <c r="B57" s="35"/>
      <c r="C57" s="35" t="s">
        <v>21</v>
      </c>
      <c r="D57" s="112">
        <f t="shared" si="0"/>
        <v>17440000</v>
      </c>
      <c r="E57" s="112">
        <f>1895000+E59</f>
        <v>1895000</v>
      </c>
      <c r="F57" s="112">
        <f>4940000+F59</f>
        <v>4940000</v>
      </c>
      <c r="G57" s="112">
        <f>5410000+G59</f>
        <v>5510000</v>
      </c>
      <c r="H57" s="112">
        <f>5015000+H59</f>
        <v>5095000</v>
      </c>
    </row>
    <row r="58" spans="1:8" s="26" customFormat="1" ht="19.5" customHeight="1">
      <c r="A58" s="65"/>
      <c r="B58" s="28">
        <v>90013</v>
      </c>
      <c r="C58" s="128" t="s">
        <v>119</v>
      </c>
      <c r="D58" s="287">
        <f t="shared" si="0"/>
        <v>100000</v>
      </c>
      <c r="E58" s="287"/>
      <c r="F58" s="287">
        <v>50000</v>
      </c>
      <c r="G58" s="287">
        <v>50000</v>
      </c>
      <c r="H58" s="287"/>
    </row>
    <row r="59" spans="1:8" s="114" customFormat="1" ht="17.25" customHeight="1">
      <c r="A59" s="70"/>
      <c r="B59" s="271"/>
      <c r="C59" s="221"/>
      <c r="D59" s="225">
        <f t="shared" si="0"/>
        <v>180000</v>
      </c>
      <c r="E59" s="225"/>
      <c r="F59" s="225"/>
      <c r="G59" s="225">
        <v>100000</v>
      </c>
      <c r="H59" s="225">
        <v>80000</v>
      </c>
    </row>
    <row r="60" spans="1:8" s="26" customFormat="1" ht="19.5" customHeight="1">
      <c r="A60" s="29"/>
      <c r="B60" s="29"/>
      <c r="C60" s="298" t="s">
        <v>169</v>
      </c>
      <c r="D60" s="365">
        <f t="shared" si="0"/>
        <v>2371549</v>
      </c>
      <c r="E60" s="299">
        <f>626000+E64</f>
        <v>626000</v>
      </c>
      <c r="F60" s="299">
        <f>711750+F64</f>
        <v>712049</v>
      </c>
      <c r="G60" s="299">
        <f>520000+G64</f>
        <v>520000</v>
      </c>
      <c r="H60" s="299">
        <f>513500+H64</f>
        <v>513500</v>
      </c>
    </row>
    <row r="61" spans="1:8" ht="20.25" customHeight="1" thickBot="1">
      <c r="A61" s="66"/>
      <c r="B61" s="66"/>
      <c r="C61" s="110" t="s">
        <v>131</v>
      </c>
      <c r="D61" s="111">
        <f t="shared" si="0"/>
        <v>2311549</v>
      </c>
      <c r="E61" s="111">
        <f>626000+E64</f>
        <v>626000</v>
      </c>
      <c r="F61" s="111">
        <f>651750+F64</f>
        <v>652049</v>
      </c>
      <c r="G61" s="111">
        <f>520000+G64</f>
        <v>520000</v>
      </c>
      <c r="H61" s="111">
        <f>513500+H64</f>
        <v>513500</v>
      </c>
    </row>
    <row r="62" spans="1:8" ht="19.5" customHeight="1" thickTop="1">
      <c r="A62" s="35">
        <v>750</v>
      </c>
      <c r="B62" s="35"/>
      <c r="C62" s="35" t="s">
        <v>31</v>
      </c>
      <c r="D62" s="112">
        <f t="shared" si="0"/>
        <v>2146549</v>
      </c>
      <c r="E62" s="112">
        <f>523000+E64</f>
        <v>523000</v>
      </c>
      <c r="F62" s="112">
        <f>591250+F64</f>
        <v>591549</v>
      </c>
      <c r="G62" s="112">
        <f>518500+G64</f>
        <v>518500</v>
      </c>
      <c r="H62" s="112">
        <f>513500+H64</f>
        <v>513500</v>
      </c>
    </row>
    <row r="63" spans="1:8" s="26" customFormat="1" ht="19.5" customHeight="1">
      <c r="A63" s="65"/>
      <c r="B63" s="239">
        <v>75095</v>
      </c>
      <c r="C63" s="125" t="s">
        <v>4</v>
      </c>
      <c r="D63" s="414">
        <f t="shared" si="0"/>
        <v>2059250</v>
      </c>
      <c r="E63" s="414">
        <v>500000</v>
      </c>
      <c r="F63" s="414">
        <v>532250</v>
      </c>
      <c r="G63" s="414">
        <v>513500</v>
      </c>
      <c r="H63" s="414">
        <v>513500</v>
      </c>
    </row>
    <row r="64" spans="1:8" s="114" customFormat="1" ht="19.5" customHeight="1">
      <c r="A64" s="68"/>
      <c r="B64" s="240"/>
      <c r="C64" s="221"/>
      <c r="D64" s="225">
        <f t="shared" si="0"/>
        <v>299</v>
      </c>
      <c r="E64" s="225"/>
      <c r="F64" s="225">
        <v>299</v>
      </c>
      <c r="G64" s="225"/>
      <c r="H64" s="225"/>
    </row>
    <row r="65" spans="1:8" s="26" customFormat="1" ht="27.75" customHeight="1">
      <c r="A65" s="29"/>
      <c r="B65" s="29"/>
      <c r="C65" s="397" t="s">
        <v>172</v>
      </c>
      <c r="D65" s="365">
        <f t="shared" si="0"/>
        <v>2327600</v>
      </c>
      <c r="E65" s="299">
        <f>585395+E69</f>
        <v>585395</v>
      </c>
      <c r="F65" s="299">
        <f>527790+F69</f>
        <v>527790</v>
      </c>
      <c r="G65" s="299">
        <f>535320+G69</f>
        <v>735320</v>
      </c>
      <c r="H65" s="299">
        <f>479095+H69</f>
        <v>479095</v>
      </c>
    </row>
    <row r="66" spans="1:8" ht="19.5" customHeight="1" thickBot="1">
      <c r="A66" s="66"/>
      <c r="B66" s="66"/>
      <c r="C66" s="110" t="s">
        <v>41</v>
      </c>
      <c r="D66" s="111">
        <f t="shared" si="0"/>
        <v>1564100</v>
      </c>
      <c r="E66" s="111">
        <f>386020+E69</f>
        <v>386020</v>
      </c>
      <c r="F66" s="111">
        <f>334090+F69</f>
        <v>334090</v>
      </c>
      <c r="G66" s="111">
        <f>341990+G69</f>
        <v>541990</v>
      </c>
      <c r="H66" s="111">
        <f>302000+H69</f>
        <v>302000</v>
      </c>
    </row>
    <row r="67" spans="1:8" ht="19.5" customHeight="1" thickTop="1">
      <c r="A67" s="35">
        <v>852</v>
      </c>
      <c r="B67" s="35"/>
      <c r="C67" s="304" t="s">
        <v>12</v>
      </c>
      <c r="D67" s="112">
        <f t="shared" si="0"/>
        <v>1557300</v>
      </c>
      <c r="E67" s="112">
        <f>386020</f>
        <v>386020</v>
      </c>
      <c r="F67" s="112">
        <f>331590+F69</f>
        <v>331590</v>
      </c>
      <c r="G67" s="112">
        <f>339490+G69</f>
        <v>539490</v>
      </c>
      <c r="H67" s="112">
        <f>300200+H69</f>
        <v>300200</v>
      </c>
    </row>
    <row r="68" spans="1:8" ht="19.5" customHeight="1">
      <c r="A68" s="71"/>
      <c r="B68" s="239">
        <v>85201</v>
      </c>
      <c r="C68" s="135" t="s">
        <v>88</v>
      </c>
      <c r="D68" s="287">
        <f t="shared" si="0"/>
        <v>1357300</v>
      </c>
      <c r="E68" s="287">
        <v>386020</v>
      </c>
      <c r="F68" s="287">
        <v>331590</v>
      </c>
      <c r="G68" s="287">
        <v>339490</v>
      </c>
      <c r="H68" s="287">
        <v>300200</v>
      </c>
    </row>
    <row r="69" spans="1:8" s="114" customFormat="1" ht="17.25" customHeight="1">
      <c r="A69" s="68"/>
      <c r="B69" s="271"/>
      <c r="C69" s="221"/>
      <c r="D69" s="225">
        <f t="shared" si="0"/>
        <v>200000</v>
      </c>
      <c r="E69" s="225"/>
      <c r="F69" s="225"/>
      <c r="G69" s="225">
        <v>200000</v>
      </c>
      <c r="H69" s="225"/>
    </row>
    <row r="70" spans="1:8" s="26" customFormat="1" ht="27.75" customHeight="1">
      <c r="A70" s="29"/>
      <c r="B70" s="29"/>
      <c r="C70" s="397" t="s">
        <v>207</v>
      </c>
      <c r="D70" s="365">
        <f t="shared" si="0"/>
        <v>318362711</v>
      </c>
      <c r="E70" s="299">
        <f>101138182+E74</f>
        <v>101138182</v>
      </c>
      <c r="F70" s="299">
        <f>75857236+F74</f>
        <v>75864986</v>
      </c>
      <c r="G70" s="299">
        <f>70740872+G74</f>
        <v>70740872</v>
      </c>
      <c r="H70" s="299">
        <f>70618671+H74</f>
        <v>70618671</v>
      </c>
    </row>
    <row r="71" spans="1:8" ht="19.5" customHeight="1" thickBot="1">
      <c r="A71" s="66"/>
      <c r="B71" s="66"/>
      <c r="C71" s="110" t="s">
        <v>41</v>
      </c>
      <c r="D71" s="111">
        <f t="shared" si="0"/>
        <v>318335911</v>
      </c>
      <c r="E71" s="111">
        <f>101137917+E74</f>
        <v>101137917</v>
      </c>
      <c r="F71" s="111">
        <f>75831391+F74</f>
        <v>75839141</v>
      </c>
      <c r="G71" s="111">
        <f>70740527+G74</f>
        <v>70740527</v>
      </c>
      <c r="H71" s="111">
        <f>70618326+H74</f>
        <v>70618326</v>
      </c>
    </row>
    <row r="72" spans="1:8" ht="19.5" customHeight="1" thickTop="1">
      <c r="A72" s="35">
        <v>801</v>
      </c>
      <c r="B72" s="35"/>
      <c r="C72" s="304" t="s">
        <v>10</v>
      </c>
      <c r="D72" s="112">
        <f t="shared" si="0"/>
        <v>282893421</v>
      </c>
      <c r="E72" s="112">
        <f>88100887+E74</f>
        <v>88100887</v>
      </c>
      <c r="F72" s="112">
        <f>67387356+F74</f>
        <v>67395106</v>
      </c>
      <c r="G72" s="112">
        <f>63386247+G74</f>
        <v>63386247</v>
      </c>
      <c r="H72" s="112">
        <f>64011181+H74</f>
        <v>64011181</v>
      </c>
    </row>
    <row r="73" spans="1:8" ht="19.5" customHeight="1">
      <c r="A73" s="71"/>
      <c r="B73" s="239">
        <v>80195</v>
      </c>
      <c r="C73" s="135" t="s">
        <v>4</v>
      </c>
      <c r="D73" s="287">
        <f t="shared" si="0"/>
        <v>2292500</v>
      </c>
      <c r="E73" s="287"/>
      <c r="F73" s="287">
        <v>1759312</v>
      </c>
      <c r="G73" s="287">
        <v>533188</v>
      </c>
      <c r="H73" s="287"/>
    </row>
    <row r="74" spans="1:8" s="114" customFormat="1" ht="17.25" customHeight="1">
      <c r="A74" s="70"/>
      <c r="B74" s="271"/>
      <c r="C74" s="221"/>
      <c r="D74" s="225">
        <f t="shared" si="0"/>
        <v>7750</v>
      </c>
      <c r="E74" s="225"/>
      <c r="F74" s="225">
        <v>7750</v>
      </c>
      <c r="G74" s="225"/>
      <c r="H74" s="225"/>
    </row>
    <row r="78" spans="3:7" ht="12.75">
      <c r="C78" t="s">
        <v>291</v>
      </c>
      <c r="E78" s="92"/>
      <c r="G78" s="92" t="s">
        <v>295</v>
      </c>
    </row>
    <row r="79" spans="3:7" ht="12.75">
      <c r="C79" t="s">
        <v>292</v>
      </c>
      <c r="E79" s="92"/>
      <c r="G79" s="92" t="s">
        <v>294</v>
      </c>
    </row>
    <row r="80" spans="3:7" ht="12.75">
      <c r="C80" s="105" t="s">
        <v>290</v>
      </c>
      <c r="E80" s="92"/>
      <c r="G80" s="92" t="s">
        <v>293</v>
      </c>
    </row>
  </sheetData>
  <mergeCells count="8"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6692913385826772" bottom="0.4724409448818898" header="0.5118110236220472" footer="0.5118110236220472"/>
  <pageSetup firstPageNumber="24" useFirstPageNumber="1"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A4" sqref="A4"/>
    </sheetView>
  </sheetViews>
  <sheetFormatPr defaultColWidth="9.00390625" defaultRowHeight="12.75"/>
  <cols>
    <col min="1" max="1" width="5.75390625" style="26" customWidth="1"/>
    <col min="2" max="2" width="7.00390625" style="26" customWidth="1"/>
    <col min="3" max="3" width="57.875" style="26" customWidth="1"/>
    <col min="4" max="4" width="14.75390625" style="26" customWidth="1"/>
    <col min="5" max="6" width="13.375" style="26" customWidth="1"/>
    <col min="7" max="7" width="13.75390625" style="26" customWidth="1"/>
    <col min="8" max="8" width="13.875" style="26" customWidth="1"/>
    <col min="9" max="9" width="11.625" style="26" customWidth="1"/>
    <col min="10" max="16384" width="9.125" style="26" customWidth="1"/>
  </cols>
  <sheetData>
    <row r="1" spans="1:7" ht="15.75" customHeight="1">
      <c r="A1" s="427"/>
      <c r="B1" s="464" t="s">
        <v>178</v>
      </c>
      <c r="C1" s="416"/>
      <c r="G1" s="417" t="s">
        <v>185</v>
      </c>
    </row>
    <row r="2" spans="1:7" ht="15.75" customHeight="1">
      <c r="A2" s="427"/>
      <c r="B2" s="464" t="s">
        <v>179</v>
      </c>
      <c r="C2" s="416"/>
      <c r="D2" s="289"/>
      <c r="E2" s="289"/>
      <c r="F2" s="289"/>
      <c r="G2" s="289" t="s">
        <v>287</v>
      </c>
    </row>
    <row r="3" spans="2:7" ht="15.75" customHeight="1">
      <c r="B3" s="23" t="s">
        <v>46</v>
      </c>
      <c r="C3" s="413"/>
      <c r="G3" s="289" t="s">
        <v>104</v>
      </c>
    </row>
    <row r="4" spans="1:7" ht="15.75" customHeight="1">
      <c r="A4" s="427"/>
      <c r="B4" s="150"/>
      <c r="C4" s="418"/>
      <c r="G4" s="289" t="s">
        <v>268</v>
      </c>
    </row>
    <row r="5" spans="3:8" ht="23.25" customHeight="1" thickBot="1">
      <c r="C5" s="32"/>
      <c r="H5" s="103" t="s">
        <v>6</v>
      </c>
    </row>
    <row r="6" spans="1:8" ht="44.25" customHeight="1" thickBot="1" thickTop="1">
      <c r="A6" s="25" t="s">
        <v>0</v>
      </c>
      <c r="B6" s="22" t="s">
        <v>109</v>
      </c>
      <c r="C6" s="22" t="s">
        <v>173</v>
      </c>
      <c r="D6" s="22" t="s">
        <v>138</v>
      </c>
      <c r="E6" s="22" t="s">
        <v>139</v>
      </c>
      <c r="F6" s="22" t="s">
        <v>140</v>
      </c>
      <c r="G6" s="22" t="s">
        <v>141</v>
      </c>
      <c r="H6" s="22" t="s">
        <v>142</v>
      </c>
    </row>
    <row r="7" spans="1:8" ht="15" customHeight="1" thickBot="1" thickTop="1">
      <c r="A7" s="87">
        <v>1</v>
      </c>
      <c r="B7" s="87">
        <v>2</v>
      </c>
      <c r="C7" s="87">
        <v>3</v>
      </c>
      <c r="D7" s="88">
        <v>4</v>
      </c>
      <c r="E7" s="88">
        <v>5</v>
      </c>
      <c r="F7" s="88">
        <v>6</v>
      </c>
      <c r="G7" s="87">
        <v>7</v>
      </c>
      <c r="H7" s="87">
        <v>8</v>
      </c>
    </row>
    <row r="8" spans="1:8" ht="18" customHeight="1" thickBot="1" thickTop="1">
      <c r="A8" s="28"/>
      <c r="B8" s="428"/>
      <c r="C8" s="429" t="s">
        <v>174</v>
      </c>
      <c r="D8" s="430">
        <f>SUM(E8:H8)</f>
        <v>3065800</v>
      </c>
      <c r="E8" s="430">
        <f>756250+E12</f>
        <v>756250</v>
      </c>
      <c r="F8" s="430">
        <f>756250+F12</f>
        <v>756250</v>
      </c>
      <c r="G8" s="430">
        <f>756250+G12</f>
        <v>756250</v>
      </c>
      <c r="H8" s="430">
        <f>756250+H12</f>
        <v>797050</v>
      </c>
    </row>
    <row r="9" spans="1:8" ht="26.25" customHeight="1" thickTop="1">
      <c r="A9" s="431"/>
      <c r="B9" s="431"/>
      <c r="C9" s="432" t="s">
        <v>188</v>
      </c>
      <c r="D9" s="433">
        <f aca="true" t="shared" si="0" ref="D9:D18">SUM(E9:H9)</f>
        <v>3065800</v>
      </c>
      <c r="E9" s="433">
        <f>756250+E12</f>
        <v>756250</v>
      </c>
      <c r="F9" s="433">
        <f>756250+F12</f>
        <v>756250</v>
      </c>
      <c r="G9" s="433">
        <f>756250+G12</f>
        <v>756250</v>
      </c>
      <c r="H9" s="433">
        <f>756250+H12</f>
        <v>797050</v>
      </c>
    </row>
    <row r="10" spans="1:8" ht="18" customHeight="1">
      <c r="A10" s="434">
        <v>900</v>
      </c>
      <c r="B10" s="434"/>
      <c r="C10" s="434" t="s">
        <v>21</v>
      </c>
      <c r="D10" s="435">
        <f t="shared" si="0"/>
        <v>3065800</v>
      </c>
      <c r="E10" s="435">
        <f>756250+E12</f>
        <v>756250</v>
      </c>
      <c r="F10" s="435">
        <f>756250+F12</f>
        <v>756250</v>
      </c>
      <c r="G10" s="435">
        <f>756250+G12</f>
        <v>756250</v>
      </c>
      <c r="H10" s="435">
        <f>756250+H12</f>
        <v>797050</v>
      </c>
    </row>
    <row r="11" spans="1:8" ht="18" customHeight="1">
      <c r="A11" s="28"/>
      <c r="B11" s="28">
        <v>90011</v>
      </c>
      <c r="C11" s="28" t="s">
        <v>22</v>
      </c>
      <c r="D11" s="137">
        <f t="shared" si="0"/>
        <v>3025000</v>
      </c>
      <c r="E11" s="137">
        <v>756250</v>
      </c>
      <c r="F11" s="137">
        <v>756250</v>
      </c>
      <c r="G11" s="137">
        <v>756250</v>
      </c>
      <c r="H11" s="137">
        <v>756250</v>
      </c>
    </row>
    <row r="12" spans="1:8" ht="18" customHeight="1">
      <c r="A12" s="28"/>
      <c r="B12" s="33"/>
      <c r="C12" s="33"/>
      <c r="D12" s="182">
        <f t="shared" si="0"/>
        <v>40800</v>
      </c>
      <c r="E12" s="182"/>
      <c r="F12" s="182"/>
      <c r="G12" s="182"/>
      <c r="H12" s="182">
        <f>30000+8700+2100</f>
        <v>40800</v>
      </c>
    </row>
    <row r="13" spans="1:8" ht="21" customHeight="1" thickBot="1">
      <c r="A13" s="436"/>
      <c r="B13" s="436"/>
      <c r="C13" s="437" t="s">
        <v>24</v>
      </c>
      <c r="D13" s="438">
        <f t="shared" si="0"/>
        <v>3441000</v>
      </c>
      <c r="E13" s="438">
        <f>342500+E18+E21</f>
        <v>342500</v>
      </c>
      <c r="F13" s="438">
        <f>612500+F18+F21</f>
        <v>617000</v>
      </c>
      <c r="G13" s="438">
        <f>890000+G18+G21</f>
        <v>889600</v>
      </c>
      <c r="H13" s="438">
        <f>1555200+H18+H21</f>
        <v>1591900</v>
      </c>
    </row>
    <row r="14" spans="1:8" ht="21" customHeight="1" thickTop="1">
      <c r="A14" s="436"/>
      <c r="B14" s="436"/>
      <c r="C14" s="439" t="s">
        <v>126</v>
      </c>
      <c r="D14" s="440">
        <f t="shared" si="0"/>
        <v>3396800</v>
      </c>
      <c r="E14" s="440">
        <f>332500+E18</f>
        <v>332500</v>
      </c>
      <c r="F14" s="440">
        <f>592500+F18</f>
        <v>596500</v>
      </c>
      <c r="G14" s="440">
        <f>880000+G18</f>
        <v>877900</v>
      </c>
      <c r="H14" s="440">
        <f>1555200+H18</f>
        <v>1589900</v>
      </c>
    </row>
    <row r="15" spans="1:8" ht="21" customHeight="1">
      <c r="A15" s="441"/>
      <c r="B15" s="441"/>
      <c r="C15" s="442" t="s">
        <v>153</v>
      </c>
      <c r="D15" s="443">
        <f t="shared" si="0"/>
        <v>1806800</v>
      </c>
      <c r="E15" s="443">
        <f>32500+E18</f>
        <v>32500</v>
      </c>
      <c r="F15" s="443">
        <f>122500+F18</f>
        <v>126500</v>
      </c>
      <c r="G15" s="443">
        <f>480000+G18</f>
        <v>477900</v>
      </c>
      <c r="H15" s="443">
        <f>1135200+H18</f>
        <v>1169900</v>
      </c>
    </row>
    <row r="16" spans="1:8" ht="18" customHeight="1">
      <c r="A16" s="20">
        <v>900</v>
      </c>
      <c r="B16" s="20"/>
      <c r="C16" s="20" t="s">
        <v>21</v>
      </c>
      <c r="D16" s="112">
        <f t="shared" si="0"/>
        <v>1806800</v>
      </c>
      <c r="E16" s="112">
        <f>32500+E18</f>
        <v>32500</v>
      </c>
      <c r="F16" s="112">
        <f>122500+F18</f>
        <v>126500</v>
      </c>
      <c r="G16" s="435">
        <f>480000+G18</f>
        <v>477900</v>
      </c>
      <c r="H16" s="435">
        <f>1135200+H18</f>
        <v>1169900</v>
      </c>
    </row>
    <row r="17" spans="1:8" ht="18" customHeight="1">
      <c r="A17" s="135"/>
      <c r="B17" s="28">
        <v>90011</v>
      </c>
      <c r="C17" s="28" t="s">
        <v>22</v>
      </c>
      <c r="D17" s="137">
        <f t="shared" si="0"/>
        <v>1770200</v>
      </c>
      <c r="E17" s="137">
        <v>32500</v>
      </c>
      <c r="F17" s="137">
        <v>122500</v>
      </c>
      <c r="G17" s="137">
        <v>480000</v>
      </c>
      <c r="H17" s="444">
        <v>1135200</v>
      </c>
    </row>
    <row r="18" spans="1:8" ht="19.5" customHeight="1">
      <c r="A18" s="28"/>
      <c r="B18" s="33"/>
      <c r="C18" s="33"/>
      <c r="D18" s="182">
        <f t="shared" si="0"/>
        <v>36600</v>
      </c>
      <c r="E18" s="182"/>
      <c r="F18" s="182">
        <f>4000</f>
        <v>4000</v>
      </c>
      <c r="G18" s="182">
        <v>-2100</v>
      </c>
      <c r="H18" s="182">
        <f>4700+30000</f>
        <v>34700</v>
      </c>
    </row>
    <row r="19" spans="1:8" ht="21" customHeight="1">
      <c r="A19" s="441"/>
      <c r="B19" s="441"/>
      <c r="C19" s="442" t="s">
        <v>187</v>
      </c>
      <c r="D19" s="443">
        <f>SUM(E19:H19)</f>
        <v>4200</v>
      </c>
      <c r="E19" s="443"/>
      <c r="F19" s="443">
        <f aca="true" t="shared" si="1" ref="F19:H20">F20</f>
        <v>500</v>
      </c>
      <c r="G19" s="443">
        <f t="shared" si="1"/>
        <v>1700</v>
      </c>
      <c r="H19" s="443">
        <f t="shared" si="1"/>
        <v>2000</v>
      </c>
    </row>
    <row r="20" spans="1:8" ht="18" customHeight="1">
      <c r="A20" s="434">
        <v>900</v>
      </c>
      <c r="B20" s="434"/>
      <c r="C20" s="434" t="s">
        <v>21</v>
      </c>
      <c r="D20" s="435">
        <f>SUM(E20:H20)</f>
        <v>4200</v>
      </c>
      <c r="E20" s="435"/>
      <c r="F20" s="435">
        <f t="shared" si="1"/>
        <v>500</v>
      </c>
      <c r="G20" s="435">
        <f t="shared" si="1"/>
        <v>1700</v>
      </c>
      <c r="H20" s="435">
        <f t="shared" si="1"/>
        <v>2000</v>
      </c>
    </row>
    <row r="21" spans="1:8" s="114" customFormat="1" ht="18" customHeight="1">
      <c r="A21" s="353"/>
      <c r="B21" s="353">
        <v>90011</v>
      </c>
      <c r="C21" s="353" t="s">
        <v>22</v>
      </c>
      <c r="D21" s="191">
        <f>SUM(E21:H21)</f>
        <v>4200</v>
      </c>
      <c r="E21" s="191"/>
      <c r="F21" s="191">
        <v>500</v>
      </c>
      <c r="G21" s="191">
        <v>1700</v>
      </c>
      <c r="H21" s="191">
        <v>2000</v>
      </c>
    </row>
    <row r="22" ht="14.25" customHeight="1">
      <c r="G22" s="123"/>
    </row>
    <row r="23" ht="16.5" customHeight="1"/>
    <row r="24" spans="3:7" ht="12.75">
      <c r="C24" t="s">
        <v>291</v>
      </c>
      <c r="E24" s="92"/>
      <c r="G24" s="92" t="s">
        <v>295</v>
      </c>
    </row>
    <row r="25" spans="3:7" ht="12.75">
      <c r="C25" t="s">
        <v>292</v>
      </c>
      <c r="E25" s="92"/>
      <c r="G25" s="92" t="s">
        <v>294</v>
      </c>
    </row>
    <row r="26" spans="3:7" ht="12.75">
      <c r="C26" s="105" t="s">
        <v>290</v>
      </c>
      <c r="E26" s="92"/>
      <c r="G26" s="92" t="s">
        <v>293</v>
      </c>
    </row>
  </sheetData>
  <printOptions horizontalCentered="1"/>
  <pageMargins left="0.5905511811023623" right="0.5905511811023623" top="0.984251968503937" bottom="0.984251968503937" header="0.5118110236220472" footer="0.5118110236220472"/>
  <pageSetup firstPageNumber="27" useFirstPageNumber="1" horizontalDpi="600" verticalDpi="6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875" style="0" customWidth="1"/>
    <col min="3" max="3" width="43.875" style="0" customWidth="1"/>
    <col min="4" max="4" width="16.75390625" style="0" customWidth="1"/>
    <col min="5" max="5" width="17.375" style="0" customWidth="1"/>
    <col min="6" max="7" width="17.25390625" style="0" customWidth="1"/>
    <col min="8" max="8" width="16.875" style="0" customWidth="1"/>
  </cols>
  <sheetData>
    <row r="1" spans="1:8" s="26" customFormat="1" ht="18.75" customHeight="1">
      <c r="A1" s="464" t="s">
        <v>180</v>
      </c>
      <c r="B1" s="474"/>
      <c r="C1" s="474"/>
      <c r="D1" s="475"/>
      <c r="E1" s="475"/>
      <c r="F1" s="123"/>
      <c r="G1" s="26" t="s">
        <v>186</v>
      </c>
      <c r="H1" s="123"/>
    </row>
    <row r="2" spans="1:8" s="26" customFormat="1" ht="18.75" customHeight="1">
      <c r="A2" s="567" t="s">
        <v>175</v>
      </c>
      <c r="B2" s="568"/>
      <c r="C2" s="568"/>
      <c r="D2" s="568"/>
      <c r="E2" s="568"/>
      <c r="F2" s="123"/>
      <c r="G2" s="26" t="s">
        <v>287</v>
      </c>
      <c r="H2" s="123"/>
    </row>
    <row r="3" spans="1:8" s="26" customFormat="1" ht="18.75" customHeight="1">
      <c r="A3" s="567" t="s">
        <v>46</v>
      </c>
      <c r="B3" s="568"/>
      <c r="C3" s="568"/>
      <c r="D3" s="568"/>
      <c r="E3" s="568"/>
      <c r="F3" s="123"/>
      <c r="G3" s="26" t="s">
        <v>104</v>
      </c>
      <c r="H3" s="123"/>
    </row>
    <row r="4" spans="1:8" s="26" customFormat="1" ht="18.75" customHeight="1">
      <c r="A4" s="413"/>
      <c r="B4" s="445"/>
      <c r="C4" s="445"/>
      <c r="D4" s="445"/>
      <c r="E4" s="445"/>
      <c r="F4" s="123"/>
      <c r="G4" s="26" t="s">
        <v>268</v>
      </c>
      <c r="H4" s="123"/>
    </row>
    <row r="5" spans="1:8" ht="12" customHeight="1">
      <c r="A5" s="446"/>
      <c r="B5" s="447"/>
      <c r="C5" s="447"/>
      <c r="D5" s="447"/>
      <c r="E5" s="447"/>
      <c r="F5" s="123"/>
      <c r="G5" s="123"/>
      <c r="H5" s="123"/>
    </row>
    <row r="6" spans="1:8" ht="13.5" thickBot="1">
      <c r="A6" s="26"/>
      <c r="B6" s="26"/>
      <c r="C6" s="268"/>
      <c r="D6" s="123"/>
      <c r="E6" s="390"/>
      <c r="F6" s="390"/>
      <c r="G6" s="390"/>
      <c r="H6" s="250" t="s">
        <v>6</v>
      </c>
    </row>
    <row r="7" spans="1:8" ht="13.5" thickTop="1">
      <c r="A7" s="391"/>
      <c r="B7" s="391"/>
      <c r="C7" s="392"/>
      <c r="D7" s="393"/>
      <c r="E7" s="394"/>
      <c r="F7" s="394"/>
      <c r="G7" s="394"/>
      <c r="H7" s="394"/>
    </row>
    <row r="8" spans="1:8" ht="36" customHeight="1" thickBot="1">
      <c r="A8" s="141" t="s">
        <v>0</v>
      </c>
      <c r="B8" s="138" t="s">
        <v>151</v>
      </c>
      <c r="C8" s="138" t="s">
        <v>152</v>
      </c>
      <c r="D8" s="138" t="s">
        <v>71</v>
      </c>
      <c r="E8" s="395" t="s">
        <v>139</v>
      </c>
      <c r="F8" s="395" t="s">
        <v>140</v>
      </c>
      <c r="G8" s="395" t="s">
        <v>141</v>
      </c>
      <c r="H8" s="395" t="s">
        <v>142</v>
      </c>
    </row>
    <row r="9" spans="1:8" ht="11.25" customHeight="1" thickBot="1" thickTop="1">
      <c r="A9" s="87">
        <v>1</v>
      </c>
      <c r="B9" s="87">
        <v>2</v>
      </c>
      <c r="C9" s="87">
        <v>3</v>
      </c>
      <c r="D9" s="396">
        <v>4</v>
      </c>
      <c r="E9" s="396">
        <v>5</v>
      </c>
      <c r="F9" s="396">
        <v>6</v>
      </c>
      <c r="G9" s="396">
        <v>7</v>
      </c>
      <c r="H9" s="396">
        <v>8</v>
      </c>
    </row>
    <row r="10" spans="1:8" ht="30" customHeight="1" thickBot="1" thickTop="1">
      <c r="A10" s="448"/>
      <c r="B10" s="448"/>
      <c r="C10" s="449" t="s">
        <v>176</v>
      </c>
      <c r="D10" s="450">
        <f>SUM(E10:H10)</f>
        <v>800000</v>
      </c>
      <c r="E10" s="450">
        <f aca="true" t="shared" si="0" ref="E10:H12">E11</f>
        <v>184154</v>
      </c>
      <c r="F10" s="450">
        <f t="shared" si="0"/>
        <v>150000</v>
      </c>
      <c r="G10" s="450">
        <f t="shared" si="0"/>
        <v>220000</v>
      </c>
      <c r="H10" s="450">
        <f t="shared" si="0"/>
        <v>245846</v>
      </c>
    </row>
    <row r="11" spans="1:8" s="454" customFormat="1" ht="19.5" customHeight="1" thickTop="1">
      <c r="A11" s="451"/>
      <c r="B11" s="451"/>
      <c r="C11" s="452" t="s">
        <v>20</v>
      </c>
      <c r="D11" s="453">
        <f aca="true" t="shared" si="1" ref="D11:D17">SUM(E11:H11)</f>
        <v>800000</v>
      </c>
      <c r="E11" s="453">
        <f t="shared" si="0"/>
        <v>184154</v>
      </c>
      <c r="F11" s="453">
        <f t="shared" si="0"/>
        <v>150000</v>
      </c>
      <c r="G11" s="453">
        <f t="shared" si="0"/>
        <v>220000</v>
      </c>
      <c r="H11" s="453">
        <f t="shared" si="0"/>
        <v>245846</v>
      </c>
    </row>
    <row r="12" spans="1:8" s="26" customFormat="1" ht="19.5" customHeight="1">
      <c r="A12" s="35">
        <v>710</v>
      </c>
      <c r="B12" s="35"/>
      <c r="C12" s="35" t="s">
        <v>66</v>
      </c>
      <c r="D12" s="118">
        <f t="shared" si="1"/>
        <v>800000</v>
      </c>
      <c r="E12" s="118">
        <f t="shared" si="0"/>
        <v>184154</v>
      </c>
      <c r="F12" s="118">
        <f t="shared" si="0"/>
        <v>150000</v>
      </c>
      <c r="G12" s="118">
        <f t="shared" si="0"/>
        <v>220000</v>
      </c>
      <c r="H12" s="118">
        <f t="shared" si="0"/>
        <v>245846</v>
      </c>
    </row>
    <row r="13" spans="1:8" s="26" customFormat="1" ht="25.5" customHeight="1">
      <c r="A13" s="398"/>
      <c r="B13" s="455">
        <v>71030</v>
      </c>
      <c r="C13" s="456" t="s">
        <v>177</v>
      </c>
      <c r="D13" s="457">
        <f t="shared" si="1"/>
        <v>800000</v>
      </c>
      <c r="E13" s="457">
        <v>184154</v>
      </c>
      <c r="F13" s="457">
        <v>150000</v>
      </c>
      <c r="G13" s="457">
        <v>220000</v>
      </c>
      <c r="H13" s="457">
        <v>245846</v>
      </c>
    </row>
    <row r="14" spans="1:8" ht="30" customHeight="1" thickBot="1">
      <c r="A14" s="140"/>
      <c r="B14" s="140"/>
      <c r="C14" s="458" t="s">
        <v>176</v>
      </c>
      <c r="D14" s="459">
        <f t="shared" si="1"/>
        <v>1200000</v>
      </c>
      <c r="E14" s="459">
        <f aca="true" t="shared" si="2" ref="E14:H16">E15</f>
        <v>315988</v>
      </c>
      <c r="F14" s="459">
        <f t="shared" si="2"/>
        <v>100000</v>
      </c>
      <c r="G14" s="459">
        <f t="shared" si="2"/>
        <v>85000</v>
      </c>
      <c r="H14" s="459">
        <f t="shared" si="2"/>
        <v>699012</v>
      </c>
    </row>
    <row r="15" spans="1:8" s="454" customFormat="1" ht="19.5" customHeight="1" thickTop="1">
      <c r="A15" s="451"/>
      <c r="B15" s="451"/>
      <c r="C15" s="460" t="s">
        <v>45</v>
      </c>
      <c r="D15" s="461">
        <f t="shared" si="1"/>
        <v>1200000</v>
      </c>
      <c r="E15" s="461">
        <f t="shared" si="2"/>
        <v>315988</v>
      </c>
      <c r="F15" s="461">
        <f t="shared" si="2"/>
        <v>100000</v>
      </c>
      <c r="G15" s="461">
        <f t="shared" si="2"/>
        <v>85000</v>
      </c>
      <c r="H15" s="461">
        <f t="shared" si="2"/>
        <v>699012</v>
      </c>
    </row>
    <row r="16" spans="1:8" s="26" customFormat="1" ht="19.5" customHeight="1">
      <c r="A16" s="35">
        <v>710</v>
      </c>
      <c r="B16" s="35"/>
      <c r="C16" s="35" t="s">
        <v>66</v>
      </c>
      <c r="D16" s="118">
        <f t="shared" si="1"/>
        <v>1200000</v>
      </c>
      <c r="E16" s="118">
        <f t="shared" si="2"/>
        <v>315988</v>
      </c>
      <c r="F16" s="118">
        <f t="shared" si="2"/>
        <v>100000</v>
      </c>
      <c r="G16" s="118">
        <f t="shared" si="2"/>
        <v>85000</v>
      </c>
      <c r="H16" s="118">
        <f t="shared" si="2"/>
        <v>699012</v>
      </c>
    </row>
    <row r="17" spans="1:8" s="26" customFormat="1" ht="25.5" customHeight="1">
      <c r="A17" s="462"/>
      <c r="B17" s="462">
        <v>71030</v>
      </c>
      <c r="C17" s="456" t="s">
        <v>177</v>
      </c>
      <c r="D17" s="463">
        <f t="shared" si="1"/>
        <v>1200000</v>
      </c>
      <c r="E17" s="463">
        <v>315988</v>
      </c>
      <c r="F17" s="463">
        <v>100000</v>
      </c>
      <c r="G17" s="463">
        <v>85000</v>
      </c>
      <c r="H17" s="463">
        <v>699012</v>
      </c>
    </row>
    <row r="20" spans="3:7" ht="12.75">
      <c r="C20" t="s">
        <v>291</v>
      </c>
      <c r="E20" s="92"/>
      <c r="G20" s="92" t="s">
        <v>295</v>
      </c>
    </row>
    <row r="21" spans="3:7" ht="12.75">
      <c r="C21" t="s">
        <v>292</v>
      </c>
      <c r="E21" s="92"/>
      <c r="G21" s="92" t="s">
        <v>294</v>
      </c>
    </row>
    <row r="22" spans="3:7" ht="12.75">
      <c r="C22" s="105" t="s">
        <v>290</v>
      </c>
      <c r="E22" s="92"/>
      <c r="G22" s="92" t="s">
        <v>293</v>
      </c>
    </row>
  </sheetData>
  <mergeCells count="2">
    <mergeCell ref="A2:E2"/>
    <mergeCell ref="A3:E3"/>
  </mergeCells>
  <printOptions horizontalCentered="1"/>
  <pageMargins left="0.5905511811023623" right="0.3937007874015748" top="0.984251968503937" bottom="0.984251968503937" header="0.5118110236220472" footer="0.5118110236220472"/>
  <pageSetup firstPageNumber="28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2005-05-20T07:04:35Z</cp:lastPrinted>
  <dcterms:created xsi:type="dcterms:W3CDTF">2005-02-11T08:38:29Z</dcterms:created>
  <dcterms:modified xsi:type="dcterms:W3CDTF">2005-05-03T18:05:48Z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