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20" windowHeight="6075" activeTab="0"/>
  </bookViews>
  <sheets>
    <sheet name="inwest " sheetId="1" r:id="rId1"/>
    <sheet name="Arkusz3" sheetId="2" r:id="rId2"/>
  </sheets>
  <definedNames>
    <definedName name="_xlnm.Print_Titles" localSheetId="0">'inwest '!$7:$11</definedName>
  </definedNames>
  <calcPr fullCalcOnLoad="1"/>
</workbook>
</file>

<file path=xl/sharedStrings.xml><?xml version="1.0" encoding="utf-8"?>
<sst xmlns="http://schemas.openxmlformats.org/spreadsheetml/2006/main" count="517" uniqueCount="390">
  <si>
    <t>przebudowa al. Smorawińskiego od al. Solidarności do al. Kompozytorów Polskich (wraz z rondem)</t>
  </si>
  <si>
    <t>przebudowa na odcinku o dł. 0, 95 km w zakresie dostosowania do obciążenia 100 kN/oś</t>
  </si>
  <si>
    <t>skrzyżowania: Kunickiego-Zemborzycka, Kunickiego-Mickiewicza, modernizacja sygnalizacji w ciągu al. Kraśnickiej (od ul. Konstantynów do ronda Honorowych Krwiodawców)</t>
  </si>
  <si>
    <t>połączenie z al. Smorawińskiego, ul. Magnoliowa na odcinku od al. Spółdzielczości Pracy do ul. Bursaki - przebudowa uzbrojenia, roboty budowlane - zakończenie;
odcinek od ul. Rapackiego do ul. Do Dysa, al. Spółdzielczości Pracy - sprawy terenowo-prawne, roboty drogowe - rozpoczęcie</t>
  </si>
  <si>
    <t>rozbudowa trakcji w ulicach Roztocze-Orkana-Armii Krajowej-Bohaterów Monte Cassino-Wileńska, dokumentacja techniczna na przedłużenie trakcji w ul. Abramowickiej wraz z budową pętli i przebudową skrzyżowania Abramowicka-Sierpińskiego-Głuska, sprawy terenowo-prawne oraz dokumentacja techniczna na budowę trakcji od istniejącej pętli przy ul. Droga Męczenników Majdanka do os. Felin, przebudowa trakcji wraz ze skrzyżowaniem Wolska-Fabryczna-Łęczyńska</t>
  </si>
  <si>
    <t>z tego ze środków:</t>
  </si>
  <si>
    <t>budżetu</t>
  </si>
  <si>
    <t>przebudowa ulic: Mełgiewskiej, Metalurgicznej 
i częściowo Grygowej w celu połączenia z węzłem drogowym obwodnicy Mełgiew</t>
  </si>
  <si>
    <t>budowa 2 zatok, chodnik w ul. Nałęczowskiej</t>
  </si>
  <si>
    <t>przebudowa ulic: 3-go Maja i Radziwiłowskiej 
wraz ze skrzyżowaniem</t>
  </si>
  <si>
    <t xml:space="preserve">poszerzenie ul. Choiny wraz z oświetleniem 
i odwodnieniem </t>
  </si>
  <si>
    <t>zakończenie ścieżki wzdłuż rzeki Bystrzycy</t>
  </si>
  <si>
    <t>1996-2006</t>
  </si>
  <si>
    <t>fragment chodnika przy ul. Spadochroniarzy</t>
  </si>
  <si>
    <t>ul. Gliniana 5 - docieplenie budynku, 1-go Maja 51 - modernizacja budynku użytkowego na lokale mieszkalne</t>
  </si>
  <si>
    <t>roboty budowlane</t>
  </si>
  <si>
    <t>zakup 2 domów dla Zespołu Placówek Wsparcia Dziecka 
i Rodziny</t>
  </si>
  <si>
    <t xml:space="preserve">opracowanie dokumentacji </t>
  </si>
  <si>
    <t>modernizacja i termomodernizacja budynku DPS dla Osób Niepełnosprawnych Fizycznie</t>
  </si>
  <si>
    <t>roboty termomodernizacyjne i ogólnobudowlane DPS Betania</t>
  </si>
  <si>
    <t xml:space="preserve">roboty termomodernizacyjne </t>
  </si>
  <si>
    <t xml:space="preserve">informatyzacja Miejskiej Biblioteki Publicznej 
im. H. Łopacińskiego w Lublinie i utworzenie Publicznych Punktów Dostępu do Internetu 
w filiach MBP - II etap </t>
  </si>
  <si>
    <t>ścieżka rowerowa</t>
  </si>
  <si>
    <t>zabudowa kuchni, zakup zmywarki z wyparzaczem dla ŚDS przy ul. Gospodarczej, zakupy inwestycyjne dla ŚDS przy al. Spółdzielczości Pracy</t>
  </si>
  <si>
    <t>zakup oprogramowania komputerowego do celów terapeutycznych dla ŚDS Mefazja</t>
  </si>
  <si>
    <t>makieta kościoła wraz z tablicą pamiątkową  - Plac po Farze</t>
  </si>
  <si>
    <t>roboty termomodernizacyjne budynku 
Przedszkola nr 39</t>
  </si>
  <si>
    <t>roboty termomodernizacyjne budynku VII LO</t>
  </si>
  <si>
    <t>w złotych</t>
  </si>
  <si>
    <t xml:space="preserve">Wielkość </t>
  </si>
  <si>
    <t>Wydatki</t>
  </si>
  <si>
    <t>z tego:</t>
  </si>
  <si>
    <t>Dział</t>
  </si>
  <si>
    <t>Rozdz.</t>
  </si>
  <si>
    <t xml:space="preserve">   Nazwa: działu, rozdziału, </t>
  </si>
  <si>
    <t>Zakres rzeczowy</t>
  </si>
  <si>
    <t>Lata</t>
  </si>
  <si>
    <t>zrealizo-</t>
  </si>
  <si>
    <t>majątkowe</t>
  </si>
  <si>
    <t>realizacji</t>
  </si>
  <si>
    <t>kosztory-</t>
  </si>
  <si>
    <t xml:space="preserve">wanych </t>
  </si>
  <si>
    <t xml:space="preserve">własnych </t>
  </si>
  <si>
    <t>sowa</t>
  </si>
  <si>
    <t>nakładów</t>
  </si>
  <si>
    <t>Wydatki na zadania własne</t>
  </si>
  <si>
    <t>Pozostała działalność</t>
  </si>
  <si>
    <t>Transport i łączność</t>
  </si>
  <si>
    <t>Drogi publiczne w miastach na prawach powiatu</t>
  </si>
  <si>
    <t>Drogi publiczne gminne</t>
  </si>
  <si>
    <t>zakupy inwestycyjne</t>
  </si>
  <si>
    <t>Gospodarka mieszkaniowa</t>
  </si>
  <si>
    <t>Administracja publiczna</t>
  </si>
  <si>
    <t>Bezpieczeństwo publiczne i ochrona przeciwpożarowa</t>
  </si>
  <si>
    <t>Komendy powiatowe Państwowej Straży Pożarnej</t>
  </si>
  <si>
    <t>Oświata i wychowanie</t>
  </si>
  <si>
    <t>Szkoły podstawowe</t>
  </si>
  <si>
    <t>Gimnazja</t>
  </si>
  <si>
    <t>Ochrona zdrowia</t>
  </si>
  <si>
    <t>modernizacje obiektów</t>
  </si>
  <si>
    <t>Domy pomocy społecznej</t>
  </si>
  <si>
    <t>Gospodarka komunalna i ochrona środowiska</t>
  </si>
  <si>
    <t>Gospodarka ściekowa i ochrona wód</t>
  </si>
  <si>
    <t>wykup gruntów</t>
  </si>
  <si>
    <t>infrastruktura techniczna dla inwestorów budownictwa wielorodzinnego</t>
  </si>
  <si>
    <t>dokumentacja przyszłościowa</t>
  </si>
  <si>
    <t>Kultura i ochrona dziedzictwa narodowego</t>
  </si>
  <si>
    <t>Pozostałe zadania w zakresie kultury</t>
  </si>
  <si>
    <t>Kultura fizyczna i sport</t>
  </si>
  <si>
    <t>Instytucje kultury fizycznej</t>
  </si>
  <si>
    <t>Wydatki na zadania zlecone</t>
  </si>
  <si>
    <t>Wydatki na zadania z zakresu administracji rządowej wykonywane przez powiat</t>
  </si>
  <si>
    <t>Szkoły zawodowe</t>
  </si>
  <si>
    <t>Ośrodki wsparcia</t>
  </si>
  <si>
    <t>Oczyszczanie miast i wsi</t>
  </si>
  <si>
    <t>ul. Willowa</t>
  </si>
  <si>
    <t>budownictwo mieszkaniowe komunalne 
i socjalne</t>
  </si>
  <si>
    <t>Urzędy miast i miast na prawach powiatu</t>
  </si>
  <si>
    <t>Ogółem wydatki majątkowe</t>
  </si>
  <si>
    <t>węzeł drogowy Poniatowskiego (wiadukt 
z połączeniem do ul. ks. Popiełuszki)</t>
  </si>
  <si>
    <t>przebudowa al. Spółdzielczości Pracy</t>
  </si>
  <si>
    <t>system monitoringu w mieście</t>
  </si>
  <si>
    <t>zakup samochodu ratowniczo-gaśniczego</t>
  </si>
  <si>
    <t>2002-2007</t>
  </si>
  <si>
    <t xml:space="preserve">modernizacje budynków </t>
  </si>
  <si>
    <t>Wydatki na zadania realizowane na podstawie porozumień i umów</t>
  </si>
  <si>
    <t xml:space="preserve">pożyczek </t>
  </si>
  <si>
    <t>Centra kultury i sztuki</t>
  </si>
  <si>
    <t>pomoc finansowa dla gminy Lubartów 
na inwestycje</t>
  </si>
  <si>
    <t xml:space="preserve"> </t>
  </si>
  <si>
    <t>Licea ogólnokształcące</t>
  </si>
  <si>
    <t>budowa boisk</t>
  </si>
  <si>
    <t>Pomoc społeczna</t>
  </si>
  <si>
    <t>sprawy terenowo - prawne</t>
  </si>
  <si>
    <t>2003-2006</t>
  </si>
  <si>
    <t>prace związane z budową systemu odgazowania wysypiska z gospodarczym wykorzystaniem ujmowanego biogazu</t>
  </si>
  <si>
    <t>zakup specjalistycznego  samochodu pożarniczego</t>
  </si>
  <si>
    <t>Przeciwdziałanie alkoholizmowi</t>
  </si>
  <si>
    <t xml:space="preserve">Wartość </t>
  </si>
  <si>
    <t>Rady Miasta Lublin</t>
  </si>
  <si>
    <t>z dnia</t>
  </si>
  <si>
    <t>z kredytów,</t>
  </si>
  <si>
    <t xml:space="preserve">                 zadania inwestycyjnego</t>
  </si>
  <si>
    <t>2004-2006</t>
  </si>
  <si>
    <t>adaptacja klasztoru powizytkowskiego na wielofunkcyjne Centrum Kultury</t>
  </si>
  <si>
    <t>budowa zakładu utylizacji odpadów komunalnych dla Lublina i gmin ościennych</t>
  </si>
  <si>
    <t>Ośrodki pomocy społecznej</t>
  </si>
  <si>
    <t>Zespoły do spraw orzekania 
o niepełnosprawności</t>
  </si>
  <si>
    <t>budowa gimnazjum przy ul. Roztocze</t>
  </si>
  <si>
    <t>ścieżki rowerowe</t>
  </si>
  <si>
    <t>Pozostałe zadania w zakresie polityki społecznej</t>
  </si>
  <si>
    <t>segment "E" - sportowy - kontynuacja</t>
  </si>
  <si>
    <t>Gospodarka odpadami</t>
  </si>
  <si>
    <t>prace dokumentacyjne związane z budową zakładu utylizacji odpadów komunalnych</t>
  </si>
  <si>
    <t>Działalność usługowa</t>
  </si>
  <si>
    <t>budowa Parków Sportowych - skateparków</t>
  </si>
  <si>
    <t>obwodnica miejska od węzła al. Tysiąclecia - 
ul. Hutnicza do ul. Mełgiewskiej</t>
  </si>
  <si>
    <t>2000-2006</t>
  </si>
  <si>
    <t>trasa zielona - I etap</t>
  </si>
  <si>
    <t>1999-2007</t>
  </si>
  <si>
    <t>2005-2008</t>
  </si>
  <si>
    <t xml:space="preserve">budowa łącznic Nr 6 i 7  </t>
  </si>
  <si>
    <t>1994-2008</t>
  </si>
  <si>
    <t>1997-2006</t>
  </si>
  <si>
    <t>2005-2007</t>
  </si>
  <si>
    <t>przebudowa na odcinku o dł. 1,4 km w zakresie dostosowania do obciążenia 100 kN/oś</t>
  </si>
  <si>
    <t>2005-2006</t>
  </si>
  <si>
    <t>przebudowa na odcinku o dł. 2,6 km w zakresie dostosowania do obciążenia 100 kN/oś</t>
  </si>
  <si>
    <t>przebudowa na odcinku o dł. 0,9 km w zakresie dostosowania do obciążenia 100 kN/oś</t>
  </si>
  <si>
    <t>przebudowa na odcinku o dł. 0,65 km w zakresie dostosowania do obciążenia 100 kN/oś</t>
  </si>
  <si>
    <t>przebudowa skrzyżowań wraz z sygnalizacjami świetlnymi</t>
  </si>
  <si>
    <t>ul. Rapackiego</t>
  </si>
  <si>
    <t>sprawy terenowo-prawne</t>
  </si>
  <si>
    <t>Lokalny transport zbiorowy</t>
  </si>
  <si>
    <t>rozbudowa i przebudowa trakcji trolejbusowej</t>
  </si>
  <si>
    <t>Cmentarze</t>
  </si>
  <si>
    <t>cmentarz komunalny</t>
  </si>
  <si>
    <t>zakup sprzętu komputerowego, samochodów</t>
  </si>
  <si>
    <t>Straż Miejska</t>
  </si>
  <si>
    <t>Komendy powiatowe Policji</t>
  </si>
  <si>
    <t>Różne rozliczenia</t>
  </si>
  <si>
    <t>Rezerwy ogólne i celowe</t>
  </si>
  <si>
    <t>rozbudowa budynku szkoły</t>
  </si>
  <si>
    <t>Przedszkola</t>
  </si>
  <si>
    <t xml:space="preserve">termomodernizacje obiektów </t>
  </si>
  <si>
    <t>Lecznictwo ambulatoryjne</t>
  </si>
  <si>
    <t>Placówki opiekuńczo-wychowawcze</t>
  </si>
  <si>
    <t>termomodernizacja obiektu</t>
  </si>
  <si>
    <t>zakup sprzętu komputerowego, oprogramowania</t>
  </si>
  <si>
    <t>Żłobki</t>
  </si>
  <si>
    <t>Powiatowe urzędy pracy</t>
  </si>
  <si>
    <t xml:space="preserve">kolektor sanitarny N-II </t>
  </si>
  <si>
    <t>1987-2008</t>
  </si>
  <si>
    <t>1997-2008</t>
  </si>
  <si>
    <t>odwodnienie os. Sławin</t>
  </si>
  <si>
    <t>przedłużenie istniejących kanałów do ul. Jana Pawła II</t>
  </si>
  <si>
    <t>kolektor sanitarny AN-AS w os. Lipniak do granic miasta</t>
  </si>
  <si>
    <t>realizacja odcinka o dł. ok. 0,8 km</t>
  </si>
  <si>
    <t>2004-2007</t>
  </si>
  <si>
    <t>Biblioteki</t>
  </si>
  <si>
    <t>Domy i ośrodki kultury, świetlice i kluby</t>
  </si>
  <si>
    <t>modernizacja stadionu przy Al. Zygmuntowskich 5</t>
  </si>
  <si>
    <t>przebudowa ul. Krańcowej na odcinku od al. Witosa do ul. Długiej</t>
  </si>
  <si>
    <t>przedłużenie ul. Jana Pawła II do al. Kraśnickiej 
z odwodnieniem</t>
  </si>
  <si>
    <t>montaż windy</t>
  </si>
  <si>
    <t>zakończenie realizacji IV odcinka kolektora</t>
  </si>
  <si>
    <t>składowisko odpadów komunalnych w Rokitnie zad. 1</t>
  </si>
  <si>
    <t>zakup zestawu komputerowego wraz z oprogramowaniem do realizacji projektu "Blisko coraz bilżej - Euroregionalny Ośrodek Informacji i Współpracy Kulturalnej"</t>
  </si>
  <si>
    <t>termomodernizacje obiektów</t>
  </si>
  <si>
    <t xml:space="preserve">rozbudowa Szkoły Podstawowej nr 21 </t>
  </si>
  <si>
    <t>Szkoła Podstawowa nr 39 przy ul. Krężnickiej</t>
  </si>
  <si>
    <t>Szkoła Podstawowa nr 51 w os. Widok</t>
  </si>
  <si>
    <t>Szkoła Podstawowa nr 52 w os. Felin</t>
  </si>
  <si>
    <t>Zespół Szkół nr 1</t>
  </si>
  <si>
    <t>Zespół Szkół nr 5</t>
  </si>
  <si>
    <t>przedłużenie ul. Krańcowej do ul. Kunickiego 
wraz z mostem na rzece Czerniejówce</t>
  </si>
  <si>
    <t>przebudowa al. Kraśnickiej (odcinek 
od ul. Roztocze do granic miasta)</t>
  </si>
  <si>
    <t>przebudowa ul. Jana Pawła II na odcinku 
od ul. Nadbystrzyckiej do ul. Szafirowej</t>
  </si>
  <si>
    <t>przebudowa ul. Szeligowskiego na odcinku 
od al. Smorawińskiego do ul. Związkowej</t>
  </si>
  <si>
    <t>ul. Wyżynna na odcinku od ul. Szczytowej 
do ul. Nadbystrzyckiej</t>
  </si>
  <si>
    <t>dofinansowanie zakupu samochodu ratowniczo-gaśniczego</t>
  </si>
  <si>
    <t>zakup i montaż windy w budynku przy ul. Topolowej</t>
  </si>
  <si>
    <t>przebudowa ul. Choiny na odcinku 
od ul. Związkowej do ul. Paderewskiego</t>
  </si>
  <si>
    <t xml:space="preserve">do uchwały nr              </t>
  </si>
  <si>
    <t>dofinansowanie budowy Komisariatu IV Policji</t>
  </si>
  <si>
    <t>dofinansowanie budowy Komisariatu IV Policji w dzielnicy LSM</t>
  </si>
  <si>
    <t>mur oporowy oddzielający boisko II LO 
im. Zamoyskiego od posesji Starostwa Powiatowego przy ul. Spokojnej</t>
  </si>
  <si>
    <t xml:space="preserve">kontynuacja budowy segmentu nr 6 </t>
  </si>
  <si>
    <t>zakup pralnicy i suszarki dla Żłobka nr 6, suszarki dla Żłobka nr 2, komputera dla Miejskiego Zespołu Żłobków</t>
  </si>
  <si>
    <t>Załącznik nr 4</t>
  </si>
  <si>
    <t>zakupy inwestycyjne - Lubelska Trasa Podziemna</t>
  </si>
  <si>
    <t>budowa sali gimnastycznej w Szkole 
Podstawowej nr 48</t>
  </si>
  <si>
    <t>bezzwrotnych</t>
  </si>
  <si>
    <t>i innych</t>
  </si>
  <si>
    <t>Planowane wydatki majątkowe na 2006 rok</t>
  </si>
  <si>
    <t>na 2006 rok</t>
  </si>
  <si>
    <t xml:space="preserve">połączenie z ul. Młyńską, parking, przebudowa Placu Bychawskiego </t>
  </si>
  <si>
    <t>trasa zielona - II etap wraz z ul. Młyńską</t>
  </si>
  <si>
    <t>przebudowa al. Tysiąclecia na odcinku od ronda Dmowskiego do wiaduktu Hutnicza-Łęczyńska wraz z remontem mostu na rzece Bystrzycy oraz budowa wiaduktu nad al. Tysiąclecia, budowa lewej jezdni ul. Graffa</t>
  </si>
  <si>
    <t>rozpoczęcie realizacji odcinka ulicy o dł. 2,4 km wraz z włączeniem do al. Kraśnickiej</t>
  </si>
  <si>
    <t>2003-2007</t>
  </si>
  <si>
    <t>2002-2008</t>
  </si>
  <si>
    <t>2005-2009</t>
  </si>
  <si>
    <t>1999-2006</t>
  </si>
  <si>
    <t>modernizacja sygnalizacji świetlnych</t>
  </si>
  <si>
    <t>przebudowa na odcinku o dł. 1,05 km w zakresie dostosowania do obciążenia 100 kN/oś</t>
  </si>
  <si>
    <t>przebudowa al. Andersa od al. Spółdzielczości Pracy do ul. Koryznowej (wraz z rondem gen. Berbeckiego)</t>
  </si>
  <si>
    <t>przebudowa na odcinku o dł. 1,3 km w zakresie dostosowania do obciążenia 100 kN/oś</t>
  </si>
  <si>
    <t>przebudowa na odcinku o dł. 0,85 km (od ul. Gospodarczej do końca odcinka dwujezdnego) w zakresie dostosowania do obciążenia 100 kN/oś</t>
  </si>
  <si>
    <t>2005-2010</t>
  </si>
  <si>
    <t>przebudowa ul. 3-go Maja i Radziwiłłowskiej wraz ze skrzyżowaniami</t>
  </si>
  <si>
    <t>aktualizacja dokumentacji, rozpoczęcie realizacji</t>
  </si>
  <si>
    <t>budowa połączeń ulic i ciągów pieszych</t>
  </si>
  <si>
    <t>ul. Gnieźnieńska</t>
  </si>
  <si>
    <t xml:space="preserve">ul. Bursaki </t>
  </si>
  <si>
    <t>ul. Stefczyka, włączenie do ul. Związkowej</t>
  </si>
  <si>
    <t>przebudowa ul. Majdan Tatarski</t>
  </si>
  <si>
    <t>roboty drogowe, jezdnia, chodniki, oświetlenie</t>
  </si>
  <si>
    <t>przebudowa ul. Czwartek</t>
  </si>
  <si>
    <t xml:space="preserve">roboty drogowe   </t>
  </si>
  <si>
    <t>Drogi wewnętrzne</t>
  </si>
  <si>
    <t>ścieżka rowerowa wokół Zalewu Zemborzyckiego</t>
  </si>
  <si>
    <t>Turystyka</t>
  </si>
  <si>
    <t>Zadania w zakresie upowszechniania turystyki</t>
  </si>
  <si>
    <t>zintegrowane oznakowanie turystyczne Lublina</t>
  </si>
  <si>
    <t>wykonanie oznakowania pionowego dla potrzeb informacji turystycznejh na terenie miasta Lublin</t>
  </si>
  <si>
    <t>Zakłady gospodarki mieszkaniowej</t>
  </si>
  <si>
    <t>Towarzystwa budownictwa społecznego</t>
  </si>
  <si>
    <t>udziały w TBS "Nowy Dom" - budownictwo mieszkaniowe</t>
  </si>
  <si>
    <t>budowa budynków wielorodzinnych przy ul. Kazimierza Jagiellończyka w os. Felin oraz przy ul. Bronowickiej 3</t>
  </si>
  <si>
    <t>rezerwa celowa na finansowanie projektów współfinansowanych ze środków Unii Europejskiej</t>
  </si>
  <si>
    <t>Miejska Szerokopasmowa Sieć Teleinformatyczna</t>
  </si>
  <si>
    <t>informatyzacja Urzędu Miasta</t>
  </si>
  <si>
    <t>2006-2007</t>
  </si>
  <si>
    <t>wyposażenie sali gimnastycznej</t>
  </si>
  <si>
    <t>1996-2007</t>
  </si>
  <si>
    <t>2001-2007</t>
  </si>
  <si>
    <t>2004-2008</t>
  </si>
  <si>
    <t>Centra kształcenia ustawicznego i praktycznego oraz ośrodki dokształcania zawodowego</t>
  </si>
  <si>
    <t>roboty termomodernizacyjne Gimnazjum Nr 8 i 10</t>
  </si>
  <si>
    <t>roboty termomodernizacyjne Lubelskie Centrum Edukacji Zawodowej</t>
  </si>
  <si>
    <t>budowa domu pomocy społecznej przy ul. Opalowej</t>
  </si>
  <si>
    <t>aktualizacja dokumentacji, rozpoczęcie robót</t>
  </si>
  <si>
    <t>2006-2008</t>
  </si>
  <si>
    <t>Edukacyjna opieka wychowawcza</t>
  </si>
  <si>
    <t>Specjalne ośrodki szkolno-wychowawcze</t>
  </si>
  <si>
    <t>sprawy terenowo-prawne, dokumentacja techniczna</t>
  </si>
  <si>
    <t>odprowadzenie wód deszczowych z ulic: Dworskiej, Ludowej, Wielkiej i Rudnickiej</t>
  </si>
  <si>
    <t>część technologiczna oczyszczalni</t>
  </si>
  <si>
    <t>Utrzymanie zieleni w miastach i gmianach</t>
  </si>
  <si>
    <t>rewaloryzacja terenów zielonych</t>
  </si>
  <si>
    <t>Oświetlenie, ulic placów i dróg</t>
  </si>
  <si>
    <t>oświetlenie ulic</t>
  </si>
  <si>
    <t>sprawy terenowo - prawne, dokumentacja</t>
  </si>
  <si>
    <t xml:space="preserve">ośrodek poszukiwań teatralnych dla dzieci i pedagoga </t>
  </si>
  <si>
    <t>dokumentacja</t>
  </si>
  <si>
    <t>Teatry dramatyczne i lalkowe</t>
  </si>
  <si>
    <t>zakup autobusu</t>
  </si>
  <si>
    <t>zakupy inwestycyjne - ZPiT "Lublin" im. W. Kaniorowej</t>
  </si>
  <si>
    <t>makieta kościoła wraz z tablicą pamiątkową</t>
  </si>
  <si>
    <t>budowa krytej pływalni</t>
  </si>
  <si>
    <t>2006</t>
  </si>
  <si>
    <t>Ochrona zabytków i opieka nad zabytkami</t>
  </si>
  <si>
    <t>1991-2006</t>
  </si>
  <si>
    <t>przebudowa skrzyżowania Wolska-Fabryczna-Łęczyńska</t>
  </si>
  <si>
    <t xml:space="preserve">przebudowa trakcji trolejbusowej oraz nawierzchni jezdni z chodnikami </t>
  </si>
  <si>
    <t xml:space="preserve">budowa i modernizacja zatok, chodników, parkingów i kładek dla pieszych </t>
  </si>
  <si>
    <t>modernizacja sygnalizacji świetlnych na skrzyżowaniach al. Tysiąclecia-Unii Lubelskiej, al. Tysiąclecia-Lubartowska, Lubartowska-Ruska</t>
  </si>
  <si>
    <t>Internaty i bursy szkolne</t>
  </si>
  <si>
    <t>dokumentacja techniczna budynku Bursy Szkolnej nr 1 - likwidacja kotłowni na paliwo stałe</t>
  </si>
  <si>
    <t>otwarte składane sztuczne lodowisko</t>
  </si>
  <si>
    <t>budowa wielofunkcyjnej hali sportowo-widowiskowej przy ul. Kazimierza Wielkiego</t>
  </si>
  <si>
    <t>instalacje techniczne</t>
  </si>
  <si>
    <t>budowa ciągów pieszo- jezdnych i przejść dla pieszych</t>
  </si>
  <si>
    <t>odcinek od pętli autobusowej do granic miasta - dokumentacja, sprawy terenowo-prawne</t>
  </si>
  <si>
    <t>przebudowa skrzyżowania ulic: Krężnicka-Cienista</t>
  </si>
  <si>
    <t>odwodnienie ulicu Krężnickiej oraz przebudowa skrzyżowania ulic wraz z przepustami</t>
  </si>
  <si>
    <t>ul. Kwiatów Polnych</t>
  </si>
  <si>
    <t>roboty drogowe</t>
  </si>
  <si>
    <t>ul. Rudlickiego</t>
  </si>
  <si>
    <t>termomodernizacje budynków</t>
  </si>
  <si>
    <t>przystosowanie Ratusza do wymogów przepisów przeciwpożarowych oraz dla osób niepełnosprawnych</t>
  </si>
  <si>
    <t>roboty ogólnobudowlane Zespołu Dziennych Domów Pomocy Społecznej</t>
  </si>
  <si>
    <t>sprawy terenowo-prawne, rozpoczęcie realizcji zadania</t>
  </si>
  <si>
    <t>odwodnienie ul. Gałczyńskiego</t>
  </si>
  <si>
    <t xml:space="preserve">kanalizacja deszczowa NF w kierunku os Felin i w os. Felin </t>
  </si>
  <si>
    <t>sieć wodociągowa w ul. Nałęczowskiej</t>
  </si>
  <si>
    <t>realizacja sieci o długości ok. 1,4 km</t>
  </si>
  <si>
    <t>przebudowa kanalizacji deszczowej w ul. Lipowej</t>
  </si>
  <si>
    <t>realizacja kanalizacji o długości ok. 0,2 km</t>
  </si>
  <si>
    <t>odwodnienie rejonu ulic: Koziej, Misjonarskiej i Unii Lubelskiej</t>
  </si>
  <si>
    <t>budowa przepompowni Nr 1 i 2 u wlotu do Zalewu Zemborzyckiego</t>
  </si>
  <si>
    <t>wykonanie komory wodomierzowej oraz punktu szybkiego napełniania</t>
  </si>
  <si>
    <t>Park Bronowicki, Park Ludowy</t>
  </si>
  <si>
    <t>Schroniska dla zwierząt</t>
  </si>
  <si>
    <t>zakup samochodu</t>
  </si>
  <si>
    <t>utworzenie Lubelskiegho Centrum Profilaktyki do</t>
  </si>
  <si>
    <t>zakup nieruchomości</t>
  </si>
  <si>
    <t>Wydatki na zadania ustawowo zlecone gminie</t>
  </si>
  <si>
    <t>Przedszkole nr 5 - modernizacja wymiennikowni i c.o.</t>
  </si>
  <si>
    <t>Ośrodek Sportów Terenowych przy ul. Janowskiej</t>
  </si>
  <si>
    <t>dokumentacja, rozpoczęcie realizacji iluminacji Katedralnej Cerkwi p.w. Przemienienia Pańskiego przy ul. Ruskiej</t>
  </si>
  <si>
    <t>budowa sieci wodociągowej, ciągów pieszych, parkingów, ogrodzenia</t>
  </si>
  <si>
    <t>instalacja chłodnicza, bandy, oświetlenie, nagłośnienie, zaplecze techniczne, maszyna do utrzymania lodu, przyłącza energetyczne i wodociągowe</t>
  </si>
  <si>
    <t>wymiana pompy głębinowej, hydroforów, pomp obiegowych</t>
  </si>
  <si>
    <t>przebudowa widowni, wymiana stolarki, elewacja pawilonu sanitarnego</t>
  </si>
  <si>
    <t>elementy scenografii</t>
  </si>
  <si>
    <t>przebudowa ul. Poniatowskiego i ul. Sowińskiego
(od ul. ks. Popiełuszki do ul. Filaretów)</t>
  </si>
  <si>
    <t>skrzyżowanie ul. Nasutowska-al. Spółdzielczości Pracy, zbiornik retencyjny w ul. Dębowej</t>
  </si>
  <si>
    <t>dokumentacja techniczna, sprawy terenowo - prawne</t>
  </si>
  <si>
    <t>roboty budowlane - zakończenie</t>
  </si>
  <si>
    <t>roboty drogowe, jezdnia, chodniki, oświetlenie - rozpoczęcie</t>
  </si>
  <si>
    <t>kontynuacja budowy 3 budynków komunalnych w os. Felin, budowa budynku przy ul. Grygowej 4B na cele socjalne</t>
  </si>
  <si>
    <t>kontynuacja budowy szkoły</t>
  </si>
  <si>
    <t xml:space="preserve">zakończenie budowy sali gimnastycznej, wyposażenie </t>
  </si>
  <si>
    <t>kontynuacja budowy segmentu gimnazjum</t>
  </si>
  <si>
    <t>przebudowa muru oporowego wraz z boiskiem</t>
  </si>
  <si>
    <t>1995-2007</t>
  </si>
  <si>
    <t>część "C" sportowa - zakończenie, wyposażenie, rozpoczęcie budowy boisk</t>
  </si>
  <si>
    <t>sprawy terenowo - prawne, budowa cieku wodnego spod Konopnicy na odcinku od ul. Wojciechowskiej do granic miasta</t>
  </si>
  <si>
    <t>rozpoczęcie realizacji odwodnienia w ulicy Dworskiej, Ludowej i Wielkiej</t>
  </si>
  <si>
    <t xml:space="preserve">realizacja odwodnienia w rejonie ul. Zbożowej, sprawy terenowo - prawne </t>
  </si>
  <si>
    <t>rozpoczęcie kanalizacji deszczowej w ul. Platanowej</t>
  </si>
  <si>
    <t xml:space="preserve">realizacja odwodnienia  </t>
  </si>
  <si>
    <t>budowa przepompowni</t>
  </si>
  <si>
    <t>dokumentacja, sprawy terenowo - prawne</t>
  </si>
  <si>
    <t>zagospodarowanie terenu wokół wielofunkcyjnej hali sportowo-widowiskowej przy ul. Kazimierza Wielkiego</t>
  </si>
  <si>
    <t>skatepark w os. Błonie - zakończenie</t>
  </si>
  <si>
    <t>informatyzacja Biura Obsługi Mieszkańców i wdrożenie elektronicznego systemu obiegu dokumentów</t>
  </si>
  <si>
    <t>dokumentacja projektu szkieletowej szerokopasmowej sieci dla miasta</t>
  </si>
  <si>
    <t>scalenie sieci informatycznych wydziałów UM i wybranych jednostek organizacyjnych, zakup i wymiana kluczowych elementów sieci</t>
  </si>
  <si>
    <t>rozbudowa i przebudowa trakcji trolejbusowej w ulicach Roztocze-Orkana-Armii Krajowej-Bohaterów Monte Cassino-Wileńska</t>
  </si>
  <si>
    <t>dokumentacja, roboty drogowe</t>
  </si>
  <si>
    <t>alejki, brama wjazdowa przy ul. Droga Męczenników Majdanka, wymiana dachu w kaplicy przy ul. Białej</t>
  </si>
  <si>
    <t>odprowadzenie wód deszczowych z osiedli: Szerokie, Lipniak, Węglin Północny, Sławin</t>
  </si>
  <si>
    <t>roboty termomodernizacyjne Miejskiego Urzędu Pracy</t>
  </si>
  <si>
    <t>roboty ogólnobudowlane budynku Domu Pomocy Społecznej dla Osób Niepełnosprawnych Fizycznie</t>
  </si>
  <si>
    <t>zakup sprzętu komputerowego wraz z oprogramowaniem</t>
  </si>
  <si>
    <t>montaż 4 kamer oraz drugi sektor</t>
  </si>
  <si>
    <t>budowa zjazdu z ul. Kleeberga na teren Szkoły Podstawowej Nr 10, ciagu pieszego za schodami i pochylni dla niepełnosprawnych</t>
  </si>
  <si>
    <t>przebudowa oczyszczalni ścieków w Rokitnie</t>
  </si>
  <si>
    <t>roboty termomodernizacyjne kompleksu budynków Państwowe Szkoły Budownictwa i Geodezji, Zespół Szkół Chemicznych i Przemysłu Spożywczego oraz Zespołu Szkół Elektronicznych</t>
  </si>
  <si>
    <t>zwrotnych</t>
  </si>
  <si>
    <t xml:space="preserve">Unii </t>
  </si>
  <si>
    <t>Europejskiej</t>
  </si>
  <si>
    <t>państwa i innych</t>
  </si>
  <si>
    <t>zakończenie budowy odcinka od ul. Tarasowej 
do ul. Sławinkowskiej</t>
  </si>
  <si>
    <t xml:space="preserve">roboty ogólnobudowlane w budynku przy ul. Narutowicza 37/39, Radziwiłłowskiej 3, modernizacja pomieszczeń budynku przy ul. Świętoduskiej 3 na potrzeby archiwum </t>
  </si>
  <si>
    <t xml:space="preserve">integracja zasobów teleinformatycznych w UM
i jednostkach organizacyjnych </t>
  </si>
  <si>
    <t>zakup skuterów, samochodów</t>
  </si>
  <si>
    <t>roboty termomodernizacyjne SP nr 3, 27, 29 i 43</t>
  </si>
  <si>
    <t>budowa mini boisk do piłki nożnej o sztucznej nawierzchni przy Gimnazjum nr 8 i 16</t>
  </si>
  <si>
    <t>1992-2007</t>
  </si>
  <si>
    <t>Dom Dziecka Nr 3 - zakup programu komputerowego, wyposażenie aneksu kuchennego</t>
  </si>
  <si>
    <t>system przyzywowo – alarmowy i alarmowo – p.pożarowy z wymianą instalacji elektrycznej
i teleinformatycznej w DPS im. W. Michelisowej</t>
  </si>
  <si>
    <t>opracowanie dokumentacji termomodernizacji budynku SOSW nr 1</t>
  </si>
  <si>
    <t>kanalizacja sanitarna w os. Węglin Południowy</t>
  </si>
  <si>
    <t>odprowadzenie wód deszczowych z ulic: Paśnikowskiego, Frankowskiego, Rogińskiego, Romanowskiego</t>
  </si>
  <si>
    <t xml:space="preserve">odprowadzenie wód deszczowych z ulic: Rozmarynowej, Kwiatów Polnych do zbiornika przy ul. Skowronkowej </t>
  </si>
  <si>
    <t>odprowadzenie wód deszczowych z ulic: Platanowej, Osikowej, Jabłonowej, Skalistej, Sławinkowskiej</t>
  </si>
  <si>
    <t>toaleta publiczna na Starym Mieście</t>
  </si>
  <si>
    <t>Ogród Saski</t>
  </si>
  <si>
    <t>wąwóz przy ul. Junoszy, ciąg pieszy ul. Kalinowszczyzna - ul. Kiwerskiego, plac zabaw przy ul. Łabędziej, plac osiedlowy w rejonie ul. Czwartek i ul. Szkolnej, przejście pod ul. Jana Pawła II</t>
  </si>
  <si>
    <t>inwestycje realizowane przy udziale mieszkańców 
i innych podmiotów</t>
  </si>
  <si>
    <t>rewitalizacja terenów zdegradowanych w dolinach rzecznych Lublina (w tym ścieżki rowerowe)</t>
  </si>
  <si>
    <t>2006-2009</t>
  </si>
  <si>
    <t>realizacja projektu</t>
  </si>
  <si>
    <t xml:space="preserve">kontynuacja II etapu informatyzacji - dotacja dla MBP na zapewnienie udziału własnego </t>
  </si>
  <si>
    <t>iluminacja obiektów zabytkowych</t>
  </si>
  <si>
    <t>modernizacja ujęcia wody i hydroforni przy 
ul. Kazimierza Wielkiego</t>
  </si>
  <si>
    <t>przebudowa widowni, wymiana stolarki, instalacja Dźwiękowego Systemu Ostrzegawczego</t>
  </si>
  <si>
    <t>boiska w os. Kalinowszczyzna "F" - II etap</t>
  </si>
  <si>
    <t>zakup komputerów, drukarki, kserokopiarki</t>
  </si>
  <si>
    <t>przebudowa ul. Nadbystrzyckiej od ul. Zana do 
ul. Jana Pawła II</t>
  </si>
  <si>
    <t>dojazd do Szkoły Podstawowej nr 10</t>
  </si>
  <si>
    <t>realizacja odcinka od ul. Wojciechowskiej 
do ul. Nałęczowskiej o dł. 0,8 km wraz z odwodnieniem 
i zbiornikiem retencyjnym</t>
  </si>
  <si>
    <t>roboty termomodernizacyjne budynku przy 
ul. Wieniawskiej 14</t>
  </si>
  <si>
    <t>roboty termomodernizacyjne - Żłobek nr 1</t>
  </si>
  <si>
    <t>przebudowa Zespołu Placówek Opiekuńczo 
- Wychowawczych "Pogodny Dom", montaż drzwi rozsuwanych w Domu Dziecka nr 3</t>
  </si>
  <si>
    <t>punkt szybkiego napełniania wozów strażackich 
w rejonie ul. Grygowej i ul. Metalurgicznej</t>
  </si>
  <si>
    <t xml:space="preserve">budowa sieci kanalizacji ściekowej we wsiach Wandzin 
i Trzciniec </t>
  </si>
  <si>
    <t>infrastruktura dla aktywizacji gospodarczej 
w dzielnicy Bursaki</t>
  </si>
  <si>
    <t>Zadania w zakresie kultury fizycznej i sportu</t>
  </si>
  <si>
    <t xml:space="preserve">kanalizacja sanitarna i deszczowa NF w kierunku 
os. Felin i w os. Felin </t>
  </si>
  <si>
    <t>modernizacja hali sportowo - widowiskowej przy 
Al. Zygmuntowskich 4 - etap II</t>
  </si>
  <si>
    <t xml:space="preserve">aktualizacja dokumentacji, rozpoczęcie realizacji wymiany ogrodzenia </t>
  </si>
  <si>
    <t>boiska szkolne przy SP 3, 4, 29 i 34</t>
  </si>
  <si>
    <t>SKARBNIK MIASTA LUBLIN                 PREZYDENT</t>
  </si>
  <si>
    <t xml:space="preserve">        mgr Irena Szumlak                       Miasta Lublin</t>
  </si>
  <si>
    <t xml:space="preserve">                                                           Andrzej Pruszkowski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</si>
</sst>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.0"/>
    <numFmt numFmtId="177" formatCode="\1000,000"/>
    <numFmt numFmtId="178" formatCode="\1\ 000,000"/>
    <numFmt numFmtId="179" formatCode="#\.##0"/>
    <numFmt numFmtId="180" formatCode="#\.###\.##0"/>
    <numFmt numFmtId="181" formatCode="0.0%"/>
  </numFmts>
  <fonts count="13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b/>
      <i/>
      <sz val="11"/>
      <name val="Arial CE"/>
      <family val="0"/>
    </font>
    <font>
      <b/>
      <i/>
      <sz val="9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5"/>
      <name val="Arial CE"/>
      <family val="2"/>
    </font>
    <font>
      <sz val="11"/>
      <color indexed="10"/>
      <name val="Arial CE"/>
      <family val="2"/>
    </font>
    <font>
      <sz val="9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Alignment="1">
      <alignment/>
    </xf>
    <xf numFmtId="1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3" fillId="0" borderId="5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" fontId="3" fillId="2" borderId="14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1" fontId="3" fillId="0" borderId="8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wrapText="1"/>
    </xf>
    <xf numFmtId="3" fontId="1" fillId="0" borderId="14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3" fillId="0" borderId="14" xfId="0" applyNumberFormat="1" applyFont="1" applyBorder="1" applyAlignment="1">
      <alignment wrapText="1"/>
    </xf>
    <xf numFmtId="1" fontId="1" fillId="0" borderId="8" xfId="0" applyNumberFormat="1" applyFont="1" applyBorder="1" applyAlignment="1">
      <alignment/>
    </xf>
    <xf numFmtId="3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right" wrapText="1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 wrapText="1"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 wrapText="1"/>
    </xf>
    <xf numFmtId="3" fontId="1" fillId="0" borderId="1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right" wrapText="1"/>
    </xf>
    <xf numFmtId="0" fontId="4" fillId="0" borderId="16" xfId="0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2" borderId="14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4" fillId="0" borderId="15" xfId="0" applyNumberFormat="1" applyFont="1" applyBorder="1" applyAlignment="1">
      <alignment horizontal="center" wrapText="1"/>
    </xf>
    <xf numFmtId="3" fontId="3" fillId="2" borderId="14" xfId="0" applyNumberFormat="1" applyFont="1" applyFill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1" fontId="3" fillId="2" borderId="12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 wrapText="1"/>
    </xf>
    <xf numFmtId="1" fontId="3" fillId="0" borderId="14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3" fontId="1" fillId="0" borderId="17" xfId="0" applyNumberFormat="1" applyFont="1" applyBorder="1" applyAlignment="1">
      <alignment wrapText="1"/>
    </xf>
    <xf numFmtId="3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wrapText="1"/>
    </xf>
    <xf numFmtId="3" fontId="1" fillId="0" borderId="19" xfId="0" applyNumberFormat="1" applyFont="1" applyBorder="1" applyAlignment="1">
      <alignment/>
    </xf>
    <xf numFmtId="3" fontId="1" fillId="2" borderId="14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12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3" fontId="1" fillId="0" borderId="18" xfId="0" applyNumberFormat="1" applyFont="1" applyBorder="1" applyAlignment="1">
      <alignment wrapText="1"/>
    </xf>
    <xf numFmtId="3" fontId="4" fillId="0" borderId="17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right" wrapText="1"/>
    </xf>
    <xf numFmtId="3" fontId="3" fillId="0" borderId="14" xfId="0" applyNumberFormat="1" applyFont="1" applyBorder="1" applyAlignment="1">
      <alignment/>
    </xf>
    <xf numFmtId="3" fontId="3" fillId="2" borderId="14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1" xfId="0" applyNumberFormat="1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" fontId="3" fillId="2" borderId="14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3" fontId="1" fillId="0" borderId="11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3" fillId="2" borderId="25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 horizontal="right" wrapText="1"/>
    </xf>
    <xf numFmtId="3" fontId="1" fillId="0" borderId="27" xfId="0" applyNumberFormat="1" applyFont="1" applyBorder="1" applyAlignment="1">
      <alignment horizontal="right" wrapText="1"/>
    </xf>
    <xf numFmtId="3" fontId="1" fillId="0" borderId="28" xfId="0" applyNumberFormat="1" applyFont="1" applyBorder="1" applyAlignment="1">
      <alignment/>
    </xf>
    <xf numFmtId="3" fontId="3" fillId="2" borderId="26" xfId="0" applyNumberFormat="1" applyFont="1" applyFill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6" xfId="0" applyNumberFormat="1" applyFont="1" applyBorder="1" applyAlignment="1">
      <alignment horizontal="right" wrapText="1"/>
    </xf>
    <xf numFmtId="3" fontId="3" fillId="0" borderId="26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2" borderId="31" xfId="0" applyNumberFormat="1" applyFont="1" applyFill="1" applyBorder="1" applyAlignment="1">
      <alignment/>
    </xf>
    <xf numFmtId="3" fontId="3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3" fillId="2" borderId="32" xfId="0" applyNumberFormat="1" applyFont="1" applyFill="1" applyBorder="1" applyAlignment="1">
      <alignment/>
    </xf>
    <xf numFmtId="3" fontId="1" fillId="0" borderId="31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2" borderId="40" xfId="0" applyNumberFormat="1" applyFont="1" applyFill="1" applyBorder="1" applyAlignment="1">
      <alignment/>
    </xf>
    <xf numFmtId="3" fontId="3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3" fillId="2" borderId="41" xfId="0" applyNumberFormat="1" applyFont="1" applyFill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3" fillId="2" borderId="40" xfId="0" applyNumberFormat="1" applyFont="1" applyFill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1" fillId="0" borderId="47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right" wrapText="1"/>
    </xf>
    <xf numFmtId="3" fontId="1" fillId="0" borderId="48" xfId="0" applyNumberFormat="1" applyFont="1" applyBorder="1" applyAlignment="1">
      <alignment horizontal="right" wrapText="1"/>
    </xf>
    <xf numFmtId="1" fontId="1" fillId="0" borderId="15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wrapText="1"/>
    </xf>
    <xf numFmtId="1" fontId="1" fillId="0" borderId="14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 wrapText="1"/>
    </xf>
    <xf numFmtId="1" fontId="1" fillId="0" borderId="18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right" wrapText="1"/>
    </xf>
    <xf numFmtId="3" fontId="1" fillId="0" borderId="24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left" wrapText="1"/>
    </xf>
    <xf numFmtId="1" fontId="3" fillId="0" borderId="12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" fontId="4" fillId="0" borderId="10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wrapText="1"/>
    </xf>
    <xf numFmtId="3" fontId="5" fillId="0" borderId="14" xfId="0" applyNumberFormat="1" applyFont="1" applyBorder="1" applyAlignment="1">
      <alignment wrapText="1"/>
    </xf>
    <xf numFmtId="3" fontId="5" fillId="2" borderId="14" xfId="0" applyNumberFormat="1" applyFont="1" applyFill="1" applyBorder="1" applyAlignment="1">
      <alignment wrapText="1"/>
    </xf>
    <xf numFmtId="3" fontId="5" fillId="0" borderId="12" xfId="0" applyNumberFormat="1" applyFont="1" applyBorder="1" applyAlignment="1">
      <alignment wrapText="1"/>
    </xf>
    <xf numFmtId="3" fontId="5" fillId="2" borderId="12" xfId="0" applyNumberFormat="1" applyFont="1" applyFill="1" applyBorder="1" applyAlignment="1">
      <alignment wrapText="1"/>
    </xf>
    <xf numFmtId="3" fontId="0" fillId="0" borderId="14" xfId="0" applyNumberFormat="1" applyFont="1" applyBorder="1" applyAlignment="1">
      <alignment horizontal="center" wrapText="1"/>
    </xf>
    <xf numFmtId="3" fontId="4" fillId="2" borderId="14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3" fillId="2" borderId="3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/>
    </xf>
    <xf numFmtId="3" fontId="2" fillId="0" borderId="49" xfId="0" applyNumberFormat="1" applyFont="1" applyBorder="1" applyAlignment="1">
      <alignment horizontal="right"/>
    </xf>
    <xf numFmtId="3" fontId="2" fillId="0" borderId="50" xfId="0" applyNumberFormat="1" applyFont="1" applyBorder="1" applyAlignment="1">
      <alignment/>
    </xf>
    <xf numFmtId="3" fontId="2" fillId="0" borderId="49" xfId="0" applyNumberFormat="1" applyFont="1" applyBorder="1" applyAlignment="1">
      <alignment wrapText="1"/>
    </xf>
    <xf numFmtId="3" fontId="2" fillId="0" borderId="50" xfId="0" applyNumberFormat="1" applyFont="1" applyBorder="1" applyAlignment="1">
      <alignment horizontal="center"/>
    </xf>
    <xf numFmtId="3" fontId="2" fillId="0" borderId="49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1" fontId="4" fillId="0" borderId="52" xfId="0" applyNumberFormat="1" applyFont="1" applyBorder="1" applyAlignment="1">
      <alignment horizontal="center"/>
    </xf>
    <xf numFmtId="1" fontId="4" fillId="0" borderId="52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/>
    </xf>
    <xf numFmtId="1" fontId="4" fillId="0" borderId="54" xfId="0" applyNumberFormat="1" applyFont="1" applyBorder="1" applyAlignment="1">
      <alignment horizontal="center"/>
    </xf>
    <xf numFmtId="1" fontId="4" fillId="0" borderId="55" xfId="0" applyNumberFormat="1" applyFont="1" applyBorder="1" applyAlignment="1">
      <alignment horizontal="center"/>
    </xf>
    <xf numFmtId="1" fontId="4" fillId="0" borderId="56" xfId="0" applyNumberFormat="1" applyFont="1" applyBorder="1" applyAlignment="1">
      <alignment horizontal="center"/>
    </xf>
    <xf numFmtId="3" fontId="3" fillId="2" borderId="57" xfId="0" applyNumberFormat="1" applyFont="1" applyFill="1" applyBorder="1" applyAlignment="1">
      <alignment/>
    </xf>
    <xf numFmtId="1" fontId="1" fillId="0" borderId="15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0" fontId="4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right" wrapText="1"/>
    </xf>
    <xf numFmtId="3" fontId="1" fillId="0" borderId="58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36" xfId="0" applyNumberFormat="1" applyFont="1" applyBorder="1" applyAlignment="1">
      <alignment horizontal="right" wrapText="1"/>
    </xf>
    <xf numFmtId="3" fontId="1" fillId="0" borderId="60" xfId="0" applyNumberFormat="1" applyFont="1" applyBorder="1" applyAlignment="1">
      <alignment/>
    </xf>
    <xf numFmtId="3" fontId="1" fillId="0" borderId="19" xfId="0" applyNumberFormat="1" applyFont="1" applyBorder="1" applyAlignment="1">
      <alignment wrapText="1"/>
    </xf>
    <xf numFmtId="3" fontId="1" fillId="0" borderId="19" xfId="0" applyNumberFormat="1" applyFont="1" applyBorder="1" applyAlignment="1">
      <alignment horizontal="right"/>
    </xf>
    <xf numFmtId="3" fontId="1" fillId="0" borderId="4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3" fontId="1" fillId="0" borderId="8" xfId="0" applyNumberFormat="1" applyFont="1" applyBorder="1" applyAlignment="1">
      <alignment wrapText="1"/>
    </xf>
    <xf numFmtId="3" fontId="1" fillId="0" borderId="58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/>
    </xf>
    <xf numFmtId="0" fontId="1" fillId="0" borderId="18" xfId="0" applyFont="1" applyBorder="1" applyAlignment="1">
      <alignment horizontal="center" wrapText="1"/>
    </xf>
    <xf numFmtId="1" fontId="1" fillId="0" borderId="11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Alignment="1">
      <alignment/>
    </xf>
    <xf numFmtId="1" fontId="10" fillId="0" borderId="0" xfId="0" applyNumberFormat="1" applyFont="1" applyAlignment="1">
      <alignment/>
    </xf>
    <xf numFmtId="0" fontId="4" fillId="0" borderId="18" xfId="0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 wrapText="1"/>
    </xf>
    <xf numFmtId="3" fontId="1" fillId="0" borderId="15" xfId="0" applyNumberFormat="1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" fillId="0" borderId="17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/>
    </xf>
    <xf numFmtId="3" fontId="1" fillId="0" borderId="15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 horizontal="left"/>
    </xf>
    <xf numFmtId="3" fontId="3" fillId="0" borderId="37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" fontId="1" fillId="0" borderId="17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/>
    </xf>
    <xf numFmtId="3" fontId="6" fillId="0" borderId="12" xfId="0" applyNumberFormat="1" applyFont="1" applyBorder="1" applyAlignment="1">
      <alignment wrapText="1"/>
    </xf>
    <xf numFmtId="3" fontId="7" fillId="0" borderId="12" xfId="0" applyNumberFormat="1" applyFont="1" applyBorder="1" applyAlignment="1">
      <alignment wrapText="1"/>
    </xf>
    <xf numFmtId="3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4" fillId="0" borderId="52" xfId="0" applyNumberFormat="1" applyFont="1" applyBorder="1" applyAlignment="1">
      <alignment wrapText="1"/>
    </xf>
    <xf numFmtId="3" fontId="1" fillId="0" borderId="52" xfId="0" applyNumberFormat="1" applyFont="1" applyBorder="1" applyAlignment="1">
      <alignment horizontal="center"/>
    </xf>
    <xf numFmtId="3" fontId="1" fillId="0" borderId="54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0" fontId="1" fillId="0" borderId="8" xfId="0" applyFont="1" applyBorder="1" applyAlignment="1">
      <alignment horizontal="left" wrapText="1"/>
    </xf>
    <xf numFmtId="3" fontId="1" fillId="0" borderId="15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wrapText="1"/>
    </xf>
    <xf numFmtId="3" fontId="1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3" fontId="1" fillId="0" borderId="64" xfId="0" applyNumberFormat="1" applyFont="1" applyBorder="1" applyAlignment="1">
      <alignment/>
    </xf>
    <xf numFmtId="1" fontId="1" fillId="0" borderId="19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/>
    </xf>
    <xf numFmtId="0" fontId="4" fillId="0" borderId="64" xfId="0" applyFont="1" applyBorder="1" applyAlignment="1">
      <alignment horizontal="center" wrapText="1"/>
    </xf>
    <xf numFmtId="3" fontId="1" fillId="0" borderId="24" xfId="0" applyNumberFormat="1" applyFont="1" applyBorder="1" applyAlignment="1">
      <alignment/>
    </xf>
    <xf numFmtId="3" fontId="3" fillId="0" borderId="0" xfId="46" applyNumberFormat="1" applyFont="1" applyAlignment="1">
      <alignment/>
    </xf>
    <xf numFmtId="3" fontId="1" fillId="0" borderId="57" xfId="0" applyNumberFormat="1" applyFont="1" applyBorder="1" applyAlignment="1">
      <alignment/>
    </xf>
    <xf numFmtId="3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center"/>
    </xf>
    <xf numFmtId="3" fontId="3" fillId="0" borderId="57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3" fontId="1" fillId="3" borderId="45" xfId="0" applyNumberFormat="1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3" fontId="1" fillId="0" borderId="45" xfId="0" applyNumberFormat="1" applyFont="1" applyFill="1" applyBorder="1" applyAlignment="1">
      <alignment/>
    </xf>
    <xf numFmtId="3" fontId="3" fillId="0" borderId="32" xfId="0" applyNumberFormat="1" applyFont="1" applyBorder="1" applyAlignment="1" quotePrefix="1">
      <alignment/>
    </xf>
    <xf numFmtId="3" fontId="4" fillId="0" borderId="19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1" fontId="1" fillId="0" borderId="18" xfId="0" applyNumberFormat="1" applyFont="1" applyBorder="1" applyAlignment="1">
      <alignment horizontal="center"/>
    </xf>
    <xf numFmtId="3" fontId="1" fillId="0" borderId="62" xfId="0" applyNumberFormat="1" applyFont="1" applyBorder="1" applyAlignment="1">
      <alignment/>
    </xf>
    <xf numFmtId="3" fontId="1" fillId="0" borderId="11" xfId="0" applyNumberFormat="1" applyFont="1" applyBorder="1" applyAlignment="1">
      <alignment horizontal="left" wrapText="1"/>
    </xf>
    <xf numFmtId="3" fontId="1" fillId="0" borderId="16" xfId="0" applyNumberFormat="1" applyFont="1" applyBorder="1" applyAlignment="1">
      <alignment horizontal="left"/>
    </xf>
    <xf numFmtId="3" fontId="3" fillId="0" borderId="35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 wrapText="1"/>
    </xf>
    <xf numFmtId="3" fontId="1" fillId="0" borderId="65" xfId="0" applyNumberFormat="1" applyFont="1" applyBorder="1" applyAlignment="1">
      <alignment/>
    </xf>
    <xf numFmtId="1" fontId="1" fillId="0" borderId="19" xfId="0" applyNumberFormat="1" applyFont="1" applyBorder="1" applyAlignment="1">
      <alignment horizontal="center" wrapText="1"/>
    </xf>
    <xf numFmtId="3" fontId="11" fillId="0" borderId="15" xfId="0" applyNumberFormat="1" applyFont="1" applyBorder="1" applyAlignment="1">
      <alignment horizontal="center"/>
    </xf>
    <xf numFmtId="3" fontId="1" fillId="0" borderId="44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46" xfId="0" applyNumberFormat="1" applyFont="1" applyFill="1" applyBorder="1" applyAlignment="1">
      <alignment/>
    </xf>
    <xf numFmtId="0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 wrapText="1"/>
    </xf>
    <xf numFmtId="3" fontId="1" fillId="0" borderId="37" xfId="0" applyNumberFormat="1" applyFont="1" applyBorder="1" applyAlignment="1">
      <alignment horizontal="right" wrapText="1"/>
    </xf>
    <xf numFmtId="1" fontId="3" fillId="2" borderId="11" xfId="0" applyNumberFormat="1" applyFont="1" applyFill="1" applyBorder="1" applyAlignment="1">
      <alignment vertical="top"/>
    </xf>
    <xf numFmtId="1" fontId="3" fillId="2" borderId="11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 vertical="top"/>
    </xf>
    <xf numFmtId="1" fontId="3" fillId="2" borderId="11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3" fontId="5" fillId="2" borderId="14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wrapText="1"/>
    </xf>
    <xf numFmtId="3" fontId="3" fillId="2" borderId="26" xfId="0" applyNumberFormat="1" applyFont="1" applyFill="1" applyBorder="1" applyAlignment="1">
      <alignment/>
    </xf>
    <xf numFmtId="3" fontId="3" fillId="2" borderId="41" xfId="0" applyNumberFormat="1" applyFont="1" applyFill="1" applyBorder="1" applyAlignment="1">
      <alignment/>
    </xf>
    <xf numFmtId="3" fontId="3" fillId="0" borderId="66" xfId="0" applyNumberFormat="1" applyFont="1" applyBorder="1" applyAlignment="1">
      <alignment/>
    </xf>
    <xf numFmtId="3" fontId="5" fillId="0" borderId="66" xfId="0" applyNumberFormat="1" applyFont="1" applyBorder="1" applyAlignment="1">
      <alignment wrapText="1"/>
    </xf>
    <xf numFmtId="3" fontId="3" fillId="0" borderId="66" xfId="0" applyNumberFormat="1" applyFont="1" applyBorder="1" applyAlignment="1">
      <alignment horizontal="center"/>
    </xf>
    <xf numFmtId="3" fontId="3" fillId="0" borderId="67" xfId="0" applyNumberFormat="1" applyFont="1" applyBorder="1" applyAlignment="1">
      <alignment/>
    </xf>
    <xf numFmtId="3" fontId="3" fillId="0" borderId="68" xfId="0" applyNumberFormat="1" applyFont="1" applyBorder="1" applyAlignment="1">
      <alignment/>
    </xf>
    <xf numFmtId="3" fontId="3" fillId="0" borderId="69" xfId="0" applyNumberFormat="1" applyFont="1" applyBorder="1" applyAlignment="1">
      <alignment/>
    </xf>
    <xf numFmtId="0" fontId="1" fillId="0" borderId="15" xfId="0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right" wrapText="1"/>
    </xf>
    <xf numFmtId="3" fontId="12" fillId="0" borderId="17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right" wrapText="1"/>
    </xf>
    <xf numFmtId="3" fontId="11" fillId="0" borderId="16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horizontal="right" wrapText="1"/>
    </xf>
    <xf numFmtId="3" fontId="1" fillId="0" borderId="15" xfId="0" applyNumberFormat="1" applyFont="1" applyBorder="1" applyAlignment="1">
      <alignment horizontal="left" wrapText="1"/>
    </xf>
    <xf numFmtId="3" fontId="1" fillId="0" borderId="17" xfId="0" applyNumberFormat="1" applyFont="1" applyBorder="1" applyAlignment="1">
      <alignment horizontal="left" wrapText="1"/>
    </xf>
    <xf numFmtId="3" fontId="1" fillId="0" borderId="15" xfId="0" applyNumberFormat="1" applyFont="1" applyBorder="1" applyAlignment="1">
      <alignment horizontal="right" wrapText="1"/>
    </xf>
    <xf numFmtId="3" fontId="1" fillId="0" borderId="29" xfId="0" applyNumberFormat="1" applyFont="1" applyBorder="1" applyAlignment="1">
      <alignment horizontal="right" wrapText="1"/>
    </xf>
    <xf numFmtId="3" fontId="1" fillId="0" borderId="25" xfId="0" applyNumberFormat="1" applyFont="1" applyBorder="1" applyAlignment="1">
      <alignment horizontal="right" wrapText="1"/>
    </xf>
    <xf numFmtId="3" fontId="1" fillId="0" borderId="70" xfId="0" applyNumberFormat="1" applyFont="1" applyBorder="1" applyAlignment="1">
      <alignment horizontal="right" vertical="center"/>
    </xf>
    <xf numFmtId="3" fontId="1" fillId="0" borderId="44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53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0" fontId="4" fillId="0" borderId="63" xfId="0" applyFont="1" applyBorder="1" applyAlignment="1">
      <alignment horizontal="center" wrapText="1"/>
    </xf>
    <xf numFmtId="3" fontId="1" fillId="0" borderId="27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wrapText="1"/>
    </xf>
    <xf numFmtId="3" fontId="1" fillId="0" borderId="16" xfId="0" applyNumberFormat="1" applyFont="1" applyBorder="1" applyAlignment="1">
      <alignment/>
    </xf>
    <xf numFmtId="0" fontId="1" fillId="0" borderId="0" xfId="0" applyFont="1" applyAlignment="1">
      <alignment/>
    </xf>
  </cellXfs>
  <cellStyles count="51">
    <cellStyle name="Normal" xfId="0"/>
    <cellStyle name="Comma" xfId="15"/>
    <cellStyle name="Comma [0]" xfId="16"/>
    <cellStyle name="Dziesiętny [0]_INW-99" xfId="17"/>
    <cellStyle name="Dziesiętny [0]_PL2001" xfId="18"/>
    <cellStyle name="Dziesiętny [0]_pl2003" xfId="19"/>
    <cellStyle name="Dziesiętny [0]_plan 2000- zad. nie ujęte " xfId="20"/>
    <cellStyle name="Dziesiętny [0]_potrzeb jednostek " xfId="21"/>
    <cellStyle name="Dziesiętny [0]_Powiatowy i Gminny FOŚiGW" xfId="22"/>
    <cellStyle name="Dziesiętny [0]_REMON99" xfId="23"/>
    <cellStyle name="Dziesiętny [0]_remonty-2001" xfId="24"/>
    <cellStyle name="Dziesiętny_INW-99" xfId="25"/>
    <cellStyle name="Dziesiętny_PL2001" xfId="26"/>
    <cellStyle name="Dziesiętny_pl2003" xfId="27"/>
    <cellStyle name="Dziesiętny_plan 2000- zad. nie ujęte " xfId="28"/>
    <cellStyle name="Dziesiętny_potrzeb jednostek " xfId="29"/>
    <cellStyle name="Dziesiętny_Powiatowy i Gminny FOŚiGW" xfId="30"/>
    <cellStyle name="Dziesiętny_REMON99" xfId="31"/>
    <cellStyle name="Dziesiętny_remonty-2001" xfId="32"/>
    <cellStyle name="Normalny_INW-99" xfId="33"/>
    <cellStyle name="Normalny_INW-99 harm- 16.12.99  (2)" xfId="34"/>
    <cellStyle name="Normalny_plan 2000- zad. nie ujęte " xfId="35"/>
    <cellStyle name="Normalny_plan97-2 (3)" xfId="36"/>
    <cellStyle name="Normalny_plan97-2 (4)" xfId="37"/>
    <cellStyle name="Normalny_plan98" xfId="38"/>
    <cellStyle name="Normalny_potrzeb jednostek " xfId="39"/>
    <cellStyle name="Normalny_Powiatowy i Gminny FOŚiGW" xfId="40"/>
    <cellStyle name="Normalny_REMON99" xfId="41"/>
    <cellStyle name="Normalny_remonty-2001" xfId="42"/>
    <cellStyle name="Normalny_remonty-2001_pl2002" xfId="43"/>
    <cellStyle name="Normalny_remonty-2001_PL-2002" xfId="44"/>
    <cellStyle name="Normalny_remonty-2001_pl2003" xfId="45"/>
    <cellStyle name="Percent" xfId="46"/>
    <cellStyle name="Currency" xfId="47"/>
    <cellStyle name="Currency [0]" xfId="48"/>
    <cellStyle name="Walutowy [0]_INW-99" xfId="49"/>
    <cellStyle name="Walutowy [0]_PL2001" xfId="50"/>
    <cellStyle name="Walutowy [0]_pl2003" xfId="51"/>
    <cellStyle name="Walutowy [0]_plan 2000- zad. nie ujęte " xfId="52"/>
    <cellStyle name="Walutowy [0]_potrzeb jednostek " xfId="53"/>
    <cellStyle name="Walutowy [0]_Powiatowy i Gminny FOŚiGW" xfId="54"/>
    <cellStyle name="Walutowy [0]_REMON99" xfId="55"/>
    <cellStyle name="Walutowy [0]_remonty-2001" xfId="56"/>
    <cellStyle name="Walutowy_INW-99" xfId="57"/>
    <cellStyle name="Walutowy_PL2001" xfId="58"/>
    <cellStyle name="Walutowy_pl2003" xfId="59"/>
    <cellStyle name="Walutowy_plan 2000- zad. nie ujęte " xfId="60"/>
    <cellStyle name="Walutowy_potrzeb jednostek " xfId="61"/>
    <cellStyle name="Walutowy_Powiatowy i Gminny FOŚiGW" xfId="62"/>
    <cellStyle name="Walutowy_REMON99" xfId="63"/>
    <cellStyle name="Walutowy_remonty-2001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8"/>
  <sheetViews>
    <sheetView tabSelected="1" zoomScale="80" zoomScaleNormal="80" zoomScaleSheetLayoutView="75" workbookViewId="0" topLeftCell="A10">
      <pane ySplit="1950" topLeftCell="BM243" activePane="bottomLeft" state="split"/>
      <selection pane="topLeft" activeCell="K10" sqref="K1:K16384"/>
      <selection pane="bottomLeft" activeCell="D252" sqref="D252"/>
    </sheetView>
  </sheetViews>
  <sheetFormatPr defaultColWidth="9.00390625" defaultRowHeight="12.75"/>
  <cols>
    <col min="1" max="1" width="6.75390625" style="1" customWidth="1"/>
    <col min="2" max="2" width="7.875" style="1" customWidth="1"/>
    <col min="3" max="3" width="48.00390625" style="0" customWidth="1"/>
    <col min="4" max="4" width="43.125" style="178" customWidth="1"/>
    <col min="5" max="5" width="12.75390625" style="190" customWidth="1"/>
    <col min="6" max="6" width="13.75390625" style="0" customWidth="1"/>
    <col min="7" max="7" width="14.375" style="0" customWidth="1"/>
    <col min="8" max="8" width="16.25390625" style="0" customWidth="1"/>
    <col min="9" max="10" width="16.625" style="0" customWidth="1"/>
    <col min="11" max="11" width="15.75390625" style="0" hidden="1" customWidth="1"/>
    <col min="12" max="12" width="16.75390625" style="0" customWidth="1"/>
    <col min="13" max="13" width="12.25390625" style="0" customWidth="1"/>
  </cols>
  <sheetData>
    <row r="1" ht="17.25" customHeight="1">
      <c r="J1" s="94" t="s">
        <v>189</v>
      </c>
    </row>
    <row r="2" spans="1:16" s="3" customFormat="1" ht="18" customHeight="1">
      <c r="A2" s="2"/>
      <c r="B2" s="247" t="s">
        <v>194</v>
      </c>
      <c r="C2" s="246"/>
      <c r="D2" s="179"/>
      <c r="E2" s="191"/>
      <c r="J2" s="94" t="s">
        <v>183</v>
      </c>
      <c r="M2"/>
      <c r="N2"/>
      <c r="O2"/>
      <c r="P2"/>
    </row>
    <row r="3" ht="17.25" customHeight="1">
      <c r="J3" s="94" t="s">
        <v>99</v>
      </c>
    </row>
    <row r="4" ht="17.25" customHeight="1">
      <c r="J4" s="94" t="s">
        <v>100</v>
      </c>
    </row>
    <row r="5" ht="10.5" customHeight="1">
      <c r="I5" s="94"/>
    </row>
    <row r="6" spans="10:12" ht="13.5" thickBot="1">
      <c r="J6" s="4"/>
      <c r="K6" s="4"/>
      <c r="L6" s="4" t="s">
        <v>28</v>
      </c>
    </row>
    <row r="7" spans="1:16" s="11" customFormat="1" ht="22.5" customHeight="1" thickTop="1">
      <c r="A7" s="5"/>
      <c r="B7" s="5"/>
      <c r="C7" s="6"/>
      <c r="D7" s="180"/>
      <c r="E7" s="7"/>
      <c r="F7" s="6"/>
      <c r="G7" s="7" t="s">
        <v>29</v>
      </c>
      <c r="H7" s="8" t="s">
        <v>30</v>
      </c>
      <c r="I7" s="9" t="s">
        <v>5</v>
      </c>
      <c r="J7" s="9"/>
      <c r="K7" s="9"/>
      <c r="L7" s="10"/>
      <c r="M7"/>
      <c r="N7"/>
      <c r="O7"/>
      <c r="P7"/>
    </row>
    <row r="8" spans="1:12" ht="22.5" customHeight="1">
      <c r="A8" s="12" t="s">
        <v>32</v>
      </c>
      <c r="B8" s="12" t="s">
        <v>33</v>
      </c>
      <c r="C8" s="13" t="s">
        <v>34</v>
      </c>
      <c r="D8" s="15" t="s">
        <v>35</v>
      </c>
      <c r="E8" s="14" t="s">
        <v>36</v>
      </c>
      <c r="F8" s="15" t="s">
        <v>98</v>
      </c>
      <c r="G8" s="14" t="s">
        <v>37</v>
      </c>
      <c r="H8" s="16" t="s">
        <v>38</v>
      </c>
      <c r="I8" s="17" t="s">
        <v>42</v>
      </c>
      <c r="J8" s="18" t="s">
        <v>343</v>
      </c>
      <c r="K8" s="18" t="s">
        <v>101</v>
      </c>
      <c r="L8" s="19" t="s">
        <v>6</v>
      </c>
    </row>
    <row r="9" spans="1:12" ht="24" customHeight="1">
      <c r="A9" s="20"/>
      <c r="B9" s="20"/>
      <c r="C9" s="213" t="s">
        <v>102</v>
      </c>
      <c r="D9" s="214" t="s">
        <v>195</v>
      </c>
      <c r="E9" s="215" t="s">
        <v>39</v>
      </c>
      <c r="F9" s="215" t="s">
        <v>40</v>
      </c>
      <c r="G9" s="215" t="s">
        <v>41</v>
      </c>
      <c r="H9" s="216" t="s">
        <v>195</v>
      </c>
      <c r="I9" s="95" t="s">
        <v>193</v>
      </c>
      <c r="J9" s="96" t="s">
        <v>344</v>
      </c>
      <c r="K9" s="96" t="s">
        <v>86</v>
      </c>
      <c r="L9" s="97" t="s">
        <v>345</v>
      </c>
    </row>
    <row r="10" spans="1:12" ht="19.5" customHeight="1" thickBot="1">
      <c r="A10" s="292"/>
      <c r="B10" s="292"/>
      <c r="C10" s="293"/>
      <c r="D10" s="294"/>
      <c r="E10" s="295"/>
      <c r="F10" s="296" t="s">
        <v>43</v>
      </c>
      <c r="G10" s="296" t="s">
        <v>44</v>
      </c>
      <c r="H10" s="297"/>
      <c r="I10" s="298" t="s">
        <v>342</v>
      </c>
      <c r="J10" s="299"/>
      <c r="K10" s="299" t="s">
        <v>193</v>
      </c>
      <c r="L10" s="300" t="s">
        <v>192</v>
      </c>
    </row>
    <row r="11" spans="1:16" s="22" customFormat="1" ht="20.25" customHeight="1" thickBot="1" thickTop="1">
      <c r="A11" s="21">
        <v>1</v>
      </c>
      <c r="B11" s="21">
        <v>2</v>
      </c>
      <c r="C11" s="21">
        <v>3</v>
      </c>
      <c r="D11" s="18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11</v>
      </c>
      <c r="M11"/>
      <c r="N11"/>
      <c r="O11"/>
      <c r="P11"/>
    </row>
    <row r="12" spans="1:16" s="22" customFormat="1" ht="6" customHeight="1" thickTop="1">
      <c r="A12" s="207"/>
      <c r="B12" s="207"/>
      <c r="C12" s="207"/>
      <c r="D12" s="208"/>
      <c r="E12" s="207"/>
      <c r="F12" s="207"/>
      <c r="G12" s="218"/>
      <c r="H12" s="220"/>
      <c r="I12" s="219"/>
      <c r="J12" s="207"/>
      <c r="K12" s="207"/>
      <c r="L12" s="207"/>
      <c r="M12"/>
      <c r="N12"/>
      <c r="O12"/>
      <c r="P12"/>
    </row>
    <row r="13" spans="1:16" s="23" customFormat="1" ht="20.25" customHeight="1" thickBot="1">
      <c r="A13" s="200"/>
      <c r="B13" s="200"/>
      <c r="C13" s="201" t="s">
        <v>78</v>
      </c>
      <c r="D13" s="203" t="s">
        <v>89</v>
      </c>
      <c r="E13" s="204" t="s">
        <v>89</v>
      </c>
      <c r="F13" s="205"/>
      <c r="G13" s="202">
        <f>G15+G232+G225</f>
        <v>335310739</v>
      </c>
      <c r="H13" s="206">
        <f>I13+K13+L13+J13</f>
        <v>156875280</v>
      </c>
      <c r="I13" s="202">
        <f>I15+I232+I225</f>
        <v>125127280</v>
      </c>
      <c r="J13" s="205">
        <f>J15+J232</f>
        <v>29764000</v>
      </c>
      <c r="K13" s="205">
        <f>K15+K232</f>
        <v>0</v>
      </c>
      <c r="L13" s="205">
        <f>L15+L232</f>
        <v>1984000</v>
      </c>
      <c r="M13" s="309"/>
      <c r="N13"/>
      <c r="O13"/>
      <c r="P13"/>
    </row>
    <row r="14" spans="1:16" s="26" customFormat="1" ht="16.5" customHeight="1">
      <c r="A14" s="24"/>
      <c r="B14" s="24"/>
      <c r="C14" s="25" t="s">
        <v>31</v>
      </c>
      <c r="D14" s="90"/>
      <c r="E14" s="194"/>
      <c r="F14" s="25"/>
      <c r="G14" s="107"/>
      <c r="H14" s="139"/>
      <c r="I14" s="123"/>
      <c r="J14" s="25"/>
      <c r="K14" s="25"/>
      <c r="L14" s="25"/>
      <c r="M14"/>
      <c r="N14"/>
      <c r="O14"/>
      <c r="P14"/>
    </row>
    <row r="15" spans="1:16" s="29" customFormat="1" ht="18.75" customHeight="1" thickBot="1">
      <c r="A15" s="27"/>
      <c r="B15" s="27"/>
      <c r="C15" s="28" t="s">
        <v>45</v>
      </c>
      <c r="D15" s="182"/>
      <c r="E15" s="195"/>
      <c r="F15" s="28"/>
      <c r="G15" s="236">
        <f>G16+G67+G74+G77+G86+G98+G122+G129+G156+G196+G211+G144</f>
        <v>335310739</v>
      </c>
      <c r="H15" s="140">
        <f>I15+K15+L15+J15</f>
        <v>156791280</v>
      </c>
      <c r="I15" s="124">
        <f>I16+I67+I74+I77+I86+I98+I122+I129+I156+I196+I211+I95+I144+I64+I150</f>
        <v>125127280</v>
      </c>
      <c r="J15" s="124">
        <f>J16+J67+J77+J86+J98+J122+J129+J156+J196+J211+J144</f>
        <v>29764000</v>
      </c>
      <c r="K15" s="124">
        <f>K16+K67+K77+K86+K98+K122+K129+K156+K196+K211+K144</f>
        <v>0</v>
      </c>
      <c r="L15" s="124">
        <f>L16+L67+L77+L86+L98+L122+L129+L156+L196+L211+L144</f>
        <v>1900000</v>
      </c>
      <c r="M15"/>
      <c r="N15"/>
      <c r="O15"/>
      <c r="P15"/>
    </row>
    <row r="16" spans="1:16" s="32" customFormat="1" ht="20.25" customHeight="1" thickTop="1">
      <c r="A16" s="30">
        <v>600</v>
      </c>
      <c r="B16" s="30"/>
      <c r="C16" s="31" t="s">
        <v>47</v>
      </c>
      <c r="D16" s="67"/>
      <c r="E16" s="196"/>
      <c r="F16" s="31"/>
      <c r="G16" s="108">
        <f>G21+G48+G17+G60</f>
        <v>166655676</v>
      </c>
      <c r="H16" s="141">
        <f>I16+K16+L16+J16</f>
        <v>69378000</v>
      </c>
      <c r="I16" s="125">
        <f>I17+I21+I48+I60</f>
        <v>39614000</v>
      </c>
      <c r="J16" s="125">
        <f>J17+J21+J48+J60</f>
        <v>29764000</v>
      </c>
      <c r="K16" s="125">
        <f>K17+K21+K48+K60</f>
        <v>0</v>
      </c>
      <c r="L16" s="125"/>
      <c r="M16"/>
      <c r="N16"/>
      <c r="O16"/>
      <c r="P16"/>
    </row>
    <row r="17" spans="1:16" s="29" customFormat="1" ht="19.5" customHeight="1">
      <c r="A17" s="40"/>
      <c r="B17" s="68">
        <v>60004</v>
      </c>
      <c r="C17" s="41" t="s">
        <v>133</v>
      </c>
      <c r="D17" s="183"/>
      <c r="E17" s="197"/>
      <c r="F17" s="35"/>
      <c r="G17" s="109">
        <f>G18+G19</f>
        <v>1280000</v>
      </c>
      <c r="H17" s="142">
        <f>I17+K17+L17+J17</f>
        <v>4300000</v>
      </c>
      <c r="I17" s="35">
        <f>I18+I20+I19</f>
        <v>4300000</v>
      </c>
      <c r="J17" s="35"/>
      <c r="K17" s="35"/>
      <c r="L17" s="35"/>
      <c r="M17"/>
      <c r="N17"/>
      <c r="O17"/>
      <c r="P17"/>
    </row>
    <row r="18" spans="1:16" s="32" customFormat="1" ht="40.5" customHeight="1" hidden="1">
      <c r="A18" s="24"/>
      <c r="B18" s="42"/>
      <c r="C18" s="43" t="s">
        <v>134</v>
      </c>
      <c r="D18" s="253" t="s">
        <v>331</v>
      </c>
      <c r="E18" s="367" t="s">
        <v>233</v>
      </c>
      <c r="F18" s="368">
        <v>6900000</v>
      </c>
      <c r="G18" s="160"/>
      <c r="H18" s="144">
        <f>+I18+K18+L18</f>
        <v>0</v>
      </c>
      <c r="I18" s="258"/>
      <c r="J18" s="46"/>
      <c r="K18" s="46"/>
      <c r="L18" s="46"/>
      <c r="M18"/>
      <c r="N18"/>
      <c r="O18"/>
      <c r="P18"/>
    </row>
    <row r="19" spans="1:16" s="32" customFormat="1" ht="120">
      <c r="A19" s="24"/>
      <c r="B19" s="24"/>
      <c r="C19" s="374" t="s">
        <v>134</v>
      </c>
      <c r="D19" s="50" t="s">
        <v>4</v>
      </c>
      <c r="E19" s="375" t="s">
        <v>124</v>
      </c>
      <c r="F19" s="376">
        <v>20440000</v>
      </c>
      <c r="G19" s="386">
        <v>1280000</v>
      </c>
      <c r="H19" s="387">
        <f>+I19+K19+L19</f>
        <v>4300000</v>
      </c>
      <c r="I19" s="388">
        <f>4000000+300000</f>
        <v>4300000</v>
      </c>
      <c r="J19" s="52"/>
      <c r="K19" s="52"/>
      <c r="L19" s="52"/>
      <c r="M19"/>
      <c r="N19"/>
      <c r="O19"/>
      <c r="P19"/>
    </row>
    <row r="20" spans="1:16" s="32" customFormat="1" ht="32.25" customHeight="1" hidden="1">
      <c r="A20" s="24"/>
      <c r="B20" s="24"/>
      <c r="C20" s="90" t="s">
        <v>264</v>
      </c>
      <c r="D20" s="262" t="s">
        <v>265</v>
      </c>
      <c r="E20" s="162" t="s">
        <v>126</v>
      </c>
      <c r="F20" s="173">
        <v>5835414</v>
      </c>
      <c r="G20" s="308"/>
      <c r="H20" s="139"/>
      <c r="I20" s="123"/>
      <c r="J20" s="25"/>
      <c r="K20" s="25"/>
      <c r="L20" s="25"/>
      <c r="M20"/>
      <c r="N20"/>
      <c r="O20"/>
      <c r="P20"/>
    </row>
    <row r="21" spans="1:16" s="29" customFormat="1" ht="28.5" customHeight="1">
      <c r="A21" s="40"/>
      <c r="B21" s="68">
        <v>60015</v>
      </c>
      <c r="C21" s="41" t="s">
        <v>48</v>
      </c>
      <c r="D21" s="183"/>
      <c r="E21" s="197"/>
      <c r="F21" s="35"/>
      <c r="G21" s="109">
        <f>SUM(G22:G47)</f>
        <v>154649999</v>
      </c>
      <c r="H21" s="142">
        <f>I21+K21+L21+J21</f>
        <v>62272000</v>
      </c>
      <c r="I21" s="35">
        <f>SUM(I22:I47)</f>
        <v>32508000</v>
      </c>
      <c r="J21" s="35">
        <f>SUM(J22:J47)</f>
        <v>29764000</v>
      </c>
      <c r="K21" s="35">
        <f>SUM(K22:K47)</f>
        <v>0</v>
      </c>
      <c r="L21" s="35"/>
      <c r="M21"/>
      <c r="N21"/>
      <c r="O21"/>
      <c r="P21"/>
    </row>
    <row r="22" spans="1:16" s="32" customFormat="1" ht="27" customHeight="1">
      <c r="A22" s="24"/>
      <c r="B22" s="42"/>
      <c r="C22" s="43" t="s">
        <v>75</v>
      </c>
      <c r="D22" s="56" t="s">
        <v>346</v>
      </c>
      <c r="E22" s="44" t="s">
        <v>117</v>
      </c>
      <c r="F22" s="45">
        <v>14330464</v>
      </c>
      <c r="G22" s="160">
        <f>6857919+2193000</f>
        <v>9050919</v>
      </c>
      <c r="H22" s="143">
        <f>+I22+K22+L22+J22</f>
        <v>5195000</v>
      </c>
      <c r="I22" s="127">
        <f>1910000+290000</f>
        <v>2200000</v>
      </c>
      <c r="J22" s="46">
        <v>2995000</v>
      </c>
      <c r="K22" s="46"/>
      <c r="L22" s="46"/>
      <c r="M22"/>
      <c r="N22"/>
      <c r="O22"/>
      <c r="P22"/>
    </row>
    <row r="23" spans="1:16" s="32" customFormat="1" ht="29.25" customHeight="1">
      <c r="A23" s="24"/>
      <c r="B23" s="24"/>
      <c r="C23" s="49" t="s">
        <v>80</v>
      </c>
      <c r="D23" s="56" t="s">
        <v>308</v>
      </c>
      <c r="E23" s="44" t="s">
        <v>203</v>
      </c>
      <c r="F23" s="45">
        <v>55613700</v>
      </c>
      <c r="G23" s="112">
        <f>17329066+4700000+1212832+30810112</f>
        <v>54052010</v>
      </c>
      <c r="H23" s="143">
        <f>+I23+K23+L23</f>
        <v>600000</v>
      </c>
      <c r="I23" s="49">
        <v>600000</v>
      </c>
      <c r="J23" s="49"/>
      <c r="K23" s="49"/>
      <c r="L23" s="49"/>
      <c r="M23"/>
      <c r="N23"/>
      <c r="O23"/>
      <c r="P23"/>
    </row>
    <row r="24" spans="1:16" s="32" customFormat="1" ht="29.25" customHeight="1">
      <c r="A24" s="24"/>
      <c r="B24" s="24"/>
      <c r="C24" s="49" t="s">
        <v>118</v>
      </c>
      <c r="D24" s="56" t="s">
        <v>196</v>
      </c>
      <c r="E24" s="44" t="s">
        <v>119</v>
      </c>
      <c r="F24" s="55">
        <v>43531000</v>
      </c>
      <c r="G24" s="110">
        <f>18656800+3500000</f>
        <v>22156800</v>
      </c>
      <c r="H24" s="147">
        <f aca="true" t="shared" si="0" ref="H24:H31">I24+K24+L24</f>
        <v>5000000</v>
      </c>
      <c r="I24" s="49">
        <v>5000000</v>
      </c>
      <c r="J24" s="49"/>
      <c r="K24" s="49"/>
      <c r="L24" s="49"/>
      <c r="M24"/>
      <c r="N24"/>
      <c r="O24"/>
      <c r="P24"/>
    </row>
    <row r="25" spans="1:16" s="32" customFormat="1" ht="21" customHeight="1">
      <c r="A25" s="24"/>
      <c r="B25" s="24"/>
      <c r="C25" s="49" t="s">
        <v>197</v>
      </c>
      <c r="D25" s="56" t="s">
        <v>309</v>
      </c>
      <c r="E25" s="44" t="s">
        <v>243</v>
      </c>
      <c r="F25" s="55">
        <v>77000000</v>
      </c>
      <c r="G25" s="110"/>
      <c r="H25" s="147">
        <f t="shared" si="0"/>
        <v>250000</v>
      </c>
      <c r="I25" s="49">
        <v>250000</v>
      </c>
      <c r="J25" s="49"/>
      <c r="K25" s="49"/>
      <c r="L25" s="49"/>
      <c r="M25"/>
      <c r="N25"/>
      <c r="O25"/>
      <c r="P25"/>
    </row>
    <row r="26" spans="1:16" s="32" customFormat="1" ht="30.75" customHeight="1">
      <c r="A26" s="24"/>
      <c r="B26" s="24"/>
      <c r="C26" s="47" t="s">
        <v>79</v>
      </c>
      <c r="D26" s="56" t="s">
        <v>121</v>
      </c>
      <c r="E26" s="44" t="s">
        <v>122</v>
      </c>
      <c r="F26" s="45">
        <v>70000000</v>
      </c>
      <c r="G26" s="112">
        <f>46548620+140000</f>
        <v>46688620</v>
      </c>
      <c r="H26" s="147">
        <f t="shared" si="0"/>
        <v>2100000</v>
      </c>
      <c r="I26" s="49">
        <v>2100000</v>
      </c>
      <c r="J26" s="49"/>
      <c r="K26" s="49"/>
      <c r="L26" s="49"/>
      <c r="M26"/>
      <c r="N26"/>
      <c r="O26"/>
      <c r="P26"/>
    </row>
    <row r="27" spans="1:16" s="32" customFormat="1" ht="57.75" customHeight="1">
      <c r="A27" s="24"/>
      <c r="B27" s="24"/>
      <c r="C27" s="47" t="s">
        <v>116</v>
      </c>
      <c r="D27" s="56" t="s">
        <v>198</v>
      </c>
      <c r="E27" s="44" t="s">
        <v>123</v>
      </c>
      <c r="F27" s="55">
        <v>18602284</v>
      </c>
      <c r="G27" s="110">
        <f>2819883+2000000</f>
        <v>4819883</v>
      </c>
      <c r="H27" s="147">
        <f t="shared" si="0"/>
        <v>3500000</v>
      </c>
      <c r="I27" s="49">
        <v>3500000</v>
      </c>
      <c r="J27" s="49"/>
      <c r="K27" s="49"/>
      <c r="L27" s="49"/>
      <c r="M27"/>
      <c r="N27"/>
      <c r="O27"/>
      <c r="P27"/>
    </row>
    <row r="28" spans="1:16" s="32" customFormat="1" ht="30" customHeight="1">
      <c r="A28" s="24"/>
      <c r="B28" s="24"/>
      <c r="C28" s="47" t="s">
        <v>163</v>
      </c>
      <c r="D28" s="56" t="s">
        <v>199</v>
      </c>
      <c r="E28" s="44" t="s">
        <v>200</v>
      </c>
      <c r="F28" s="45">
        <v>35806210</v>
      </c>
      <c r="G28" s="110">
        <f>6167210+2101466</f>
        <v>8268676</v>
      </c>
      <c r="H28" s="147">
        <f t="shared" si="0"/>
        <v>2000000</v>
      </c>
      <c r="I28" s="49">
        <v>2000000</v>
      </c>
      <c r="J28" s="49"/>
      <c r="K28" s="49"/>
      <c r="L28" s="49"/>
      <c r="M28"/>
      <c r="N28"/>
      <c r="O28"/>
      <c r="P28"/>
    </row>
    <row r="29" spans="1:16" s="32" customFormat="1" ht="27.75" customHeight="1">
      <c r="A29" s="24"/>
      <c r="B29" s="24"/>
      <c r="C29" s="212" t="s">
        <v>175</v>
      </c>
      <c r="D29" s="56" t="s">
        <v>93</v>
      </c>
      <c r="E29" s="44" t="s">
        <v>83</v>
      </c>
      <c r="F29" s="45">
        <v>32212726</v>
      </c>
      <c r="G29" s="110">
        <f>1354178+1029928</f>
        <v>2384106</v>
      </c>
      <c r="H29" s="147">
        <f t="shared" si="0"/>
        <v>800000</v>
      </c>
      <c r="I29" s="49">
        <v>800000</v>
      </c>
      <c r="J29" s="49"/>
      <c r="K29" s="49"/>
      <c r="L29" s="49"/>
      <c r="M29"/>
      <c r="N29"/>
      <c r="O29"/>
      <c r="P29"/>
    </row>
    <row r="30" spans="1:16" s="32" customFormat="1" ht="30" customHeight="1">
      <c r="A30" s="24"/>
      <c r="B30" s="24"/>
      <c r="C30" s="47" t="s">
        <v>307</v>
      </c>
      <c r="D30" s="56" t="s">
        <v>93</v>
      </c>
      <c r="E30" s="44" t="s">
        <v>201</v>
      </c>
      <c r="F30" s="45">
        <v>220000000</v>
      </c>
      <c r="G30" s="110">
        <f>769665+3600000</f>
        <v>4369665</v>
      </c>
      <c r="H30" s="147">
        <f t="shared" si="0"/>
        <v>700000</v>
      </c>
      <c r="I30" s="49">
        <v>700000</v>
      </c>
      <c r="J30" s="49"/>
      <c r="K30" s="49"/>
      <c r="L30" s="49"/>
      <c r="M30"/>
      <c r="N30"/>
      <c r="O30"/>
      <c r="P30"/>
    </row>
    <row r="31" spans="1:16" s="32" customFormat="1" ht="27.75" customHeight="1">
      <c r="A31" s="24"/>
      <c r="B31" s="24"/>
      <c r="C31" s="212" t="s">
        <v>176</v>
      </c>
      <c r="D31" s="56" t="s">
        <v>93</v>
      </c>
      <c r="E31" s="44" t="s">
        <v>202</v>
      </c>
      <c r="F31" s="45">
        <v>40000000</v>
      </c>
      <c r="G31" s="110">
        <v>1000000</v>
      </c>
      <c r="H31" s="147">
        <f t="shared" si="0"/>
        <v>700000</v>
      </c>
      <c r="I31" s="49">
        <v>700000</v>
      </c>
      <c r="J31" s="49"/>
      <c r="K31" s="49"/>
      <c r="L31" s="49"/>
      <c r="M31"/>
      <c r="N31"/>
      <c r="O31"/>
      <c r="P31"/>
    </row>
    <row r="32" spans="1:16" s="32" customFormat="1" ht="30" customHeight="1">
      <c r="A32" s="36"/>
      <c r="B32" s="36"/>
      <c r="C32" s="82" t="s">
        <v>162</v>
      </c>
      <c r="D32" s="248" t="s">
        <v>125</v>
      </c>
      <c r="E32" s="242" t="s">
        <v>103</v>
      </c>
      <c r="F32" s="251">
        <v>7287800</v>
      </c>
      <c r="G32" s="342">
        <f>104800+10000</f>
        <v>114800</v>
      </c>
      <c r="H32" s="343">
        <f aca="true" t="shared" si="1" ref="H32:H43">I32+K32+L32+J32</f>
        <v>7173000</v>
      </c>
      <c r="I32" s="51">
        <v>1891000</v>
      </c>
      <c r="J32" s="51">
        <v>5282000</v>
      </c>
      <c r="K32" s="51"/>
      <c r="L32" s="51"/>
      <c r="M32"/>
      <c r="N32"/>
      <c r="O32"/>
      <c r="P32"/>
    </row>
    <row r="33" spans="1:16" s="32" customFormat="1" ht="27.75" customHeight="1">
      <c r="A33" s="24"/>
      <c r="B33" s="24"/>
      <c r="C33" s="70" t="s">
        <v>177</v>
      </c>
      <c r="D33" s="50" t="s">
        <v>127</v>
      </c>
      <c r="E33" s="53" t="s">
        <v>103</v>
      </c>
      <c r="F33" s="54">
        <f>20232700+6000</f>
        <v>20238700</v>
      </c>
      <c r="G33" s="113">
        <f>158700+475000+6000</f>
        <v>639700</v>
      </c>
      <c r="H33" s="340">
        <f t="shared" si="1"/>
        <v>19599000</v>
      </c>
      <c r="I33" s="52">
        <v>4909000</v>
      </c>
      <c r="J33" s="341">
        <v>14690000</v>
      </c>
      <c r="K33" s="52"/>
      <c r="L33" s="52"/>
      <c r="M33"/>
      <c r="N33"/>
      <c r="O33"/>
      <c r="P33"/>
    </row>
    <row r="34" spans="1:16" s="32" customFormat="1" ht="28.5" customHeight="1">
      <c r="A34" s="24"/>
      <c r="B34" s="24"/>
      <c r="C34" s="47" t="s">
        <v>182</v>
      </c>
      <c r="D34" s="56" t="s">
        <v>128</v>
      </c>
      <c r="E34" s="44" t="s">
        <v>103</v>
      </c>
      <c r="F34" s="45">
        <v>5513667</v>
      </c>
      <c r="G34" s="110">
        <f>57667+10000</f>
        <v>67667</v>
      </c>
      <c r="H34" s="320">
        <f t="shared" si="1"/>
        <v>5446000</v>
      </c>
      <c r="I34" s="49">
        <v>1444000</v>
      </c>
      <c r="J34" s="49">
        <v>4002000</v>
      </c>
      <c r="K34" s="49"/>
      <c r="L34" s="49"/>
      <c r="M34"/>
      <c r="N34"/>
      <c r="O34"/>
      <c r="P34"/>
    </row>
    <row r="35" spans="1:16" s="32" customFormat="1" ht="27.75" customHeight="1">
      <c r="A35" s="24"/>
      <c r="B35" s="24"/>
      <c r="C35" s="212" t="s">
        <v>178</v>
      </c>
      <c r="D35" s="56" t="s">
        <v>129</v>
      </c>
      <c r="E35" s="44" t="s">
        <v>103</v>
      </c>
      <c r="F35" s="45">
        <v>3862133</v>
      </c>
      <c r="G35" s="110">
        <f>46133+10000</f>
        <v>56133</v>
      </c>
      <c r="H35" s="320">
        <f t="shared" si="1"/>
        <v>3806000</v>
      </c>
      <c r="I35" s="49">
        <v>1011000</v>
      </c>
      <c r="J35" s="49">
        <v>2795000</v>
      </c>
      <c r="K35" s="49"/>
      <c r="L35" s="49"/>
      <c r="M35"/>
      <c r="N35"/>
      <c r="O35"/>
      <c r="P35"/>
    </row>
    <row r="36" spans="1:16" s="32" customFormat="1" ht="42" customHeight="1">
      <c r="A36" s="24"/>
      <c r="B36" s="24"/>
      <c r="C36" s="47" t="s">
        <v>0</v>
      </c>
      <c r="D36" s="56" t="s">
        <v>205</v>
      </c>
      <c r="E36" s="44" t="s">
        <v>124</v>
      </c>
      <c r="F36" s="45">
        <v>5498000</v>
      </c>
      <c r="G36" s="110">
        <v>103700</v>
      </c>
      <c r="H36" s="320">
        <f t="shared" si="1"/>
        <v>127000</v>
      </c>
      <c r="I36" s="49">
        <v>127000</v>
      </c>
      <c r="J36" s="49"/>
      <c r="K36" s="49"/>
      <c r="L36" s="49"/>
      <c r="M36"/>
      <c r="N36"/>
      <c r="O36"/>
      <c r="P36"/>
    </row>
    <row r="37" spans="1:16" s="32" customFormat="1" ht="43.5" customHeight="1">
      <c r="A37" s="24"/>
      <c r="B37" s="24"/>
      <c r="C37" s="47" t="s">
        <v>206</v>
      </c>
      <c r="D37" s="56" t="s">
        <v>1</v>
      </c>
      <c r="E37" s="44" t="s">
        <v>124</v>
      </c>
      <c r="F37" s="45">
        <v>7024000</v>
      </c>
      <c r="G37" s="110">
        <v>98820</v>
      </c>
      <c r="H37" s="320">
        <f t="shared" si="1"/>
        <v>748000</v>
      </c>
      <c r="I37" s="49">
        <v>748000</v>
      </c>
      <c r="J37" s="302"/>
      <c r="K37" s="49"/>
      <c r="L37" s="49"/>
      <c r="M37"/>
      <c r="N37"/>
      <c r="O37"/>
      <c r="P37"/>
    </row>
    <row r="38" spans="1:16" s="32" customFormat="1" ht="28.5" customHeight="1">
      <c r="A38" s="24"/>
      <c r="B38" s="24"/>
      <c r="C38" s="47" t="s">
        <v>373</v>
      </c>
      <c r="D38" s="56" t="s">
        <v>207</v>
      </c>
      <c r="E38" s="44" t="s">
        <v>124</v>
      </c>
      <c r="F38" s="45">
        <v>5610000</v>
      </c>
      <c r="G38" s="110">
        <v>122000</v>
      </c>
      <c r="H38" s="320">
        <f t="shared" si="1"/>
        <v>818000</v>
      </c>
      <c r="I38" s="49">
        <v>818000</v>
      </c>
      <c r="J38" s="49"/>
      <c r="K38" s="49"/>
      <c r="L38" s="49"/>
      <c r="M38"/>
      <c r="N38"/>
      <c r="O38"/>
      <c r="P38"/>
    </row>
    <row r="39" spans="1:16" s="32" customFormat="1" ht="44.25" customHeight="1">
      <c r="A39" s="24"/>
      <c r="B39" s="24"/>
      <c r="C39" s="212" t="s">
        <v>7</v>
      </c>
      <c r="D39" s="56" t="s">
        <v>208</v>
      </c>
      <c r="E39" s="44" t="s">
        <v>209</v>
      </c>
      <c r="F39" s="45">
        <v>47500000</v>
      </c>
      <c r="G39" s="110">
        <v>82106</v>
      </c>
      <c r="H39" s="320">
        <f t="shared" si="1"/>
        <v>560000</v>
      </c>
      <c r="I39" s="49">
        <v>560000</v>
      </c>
      <c r="J39" s="49"/>
      <c r="K39" s="49"/>
      <c r="L39" s="49"/>
      <c r="M39"/>
      <c r="N39"/>
      <c r="O39"/>
      <c r="P39"/>
    </row>
    <row r="40" spans="1:16" s="32" customFormat="1" ht="27.75" customHeight="1" hidden="1">
      <c r="A40" s="24"/>
      <c r="B40" s="24"/>
      <c r="C40" s="301" t="s">
        <v>210</v>
      </c>
      <c r="D40" s="50" t="s">
        <v>211</v>
      </c>
      <c r="E40" s="53" t="s">
        <v>119</v>
      </c>
      <c r="F40" s="54">
        <v>8414394</v>
      </c>
      <c r="G40" s="113"/>
      <c r="H40" s="318">
        <f t="shared" si="1"/>
        <v>0</v>
      </c>
      <c r="I40" s="52"/>
      <c r="J40" s="52"/>
      <c r="K40" s="52"/>
      <c r="L40" s="52"/>
      <c r="M40"/>
      <c r="N40"/>
      <c r="O40"/>
      <c r="P40"/>
    </row>
    <row r="41" spans="1:16" s="32" customFormat="1" ht="29.25" customHeight="1">
      <c r="A41" s="24"/>
      <c r="B41" s="24"/>
      <c r="C41" s="316" t="s">
        <v>9</v>
      </c>
      <c r="D41" s="50" t="s">
        <v>211</v>
      </c>
      <c r="E41" s="53" t="s">
        <v>119</v>
      </c>
      <c r="F41" s="54">
        <v>8414394</v>
      </c>
      <c r="G41" s="113">
        <f>414394+100000+10000</f>
        <v>524394</v>
      </c>
      <c r="H41" s="320">
        <f t="shared" si="1"/>
        <v>500000</v>
      </c>
      <c r="I41" s="52">
        <v>500000</v>
      </c>
      <c r="J41" s="52"/>
      <c r="K41" s="52"/>
      <c r="L41" s="52"/>
      <c r="M41"/>
      <c r="N41"/>
      <c r="O41"/>
      <c r="P41"/>
    </row>
    <row r="42" spans="1:16" s="32" customFormat="1" ht="31.5" customHeight="1">
      <c r="A42" s="24"/>
      <c r="B42" s="24"/>
      <c r="C42" s="317" t="s">
        <v>10</v>
      </c>
      <c r="D42" s="50" t="s">
        <v>274</v>
      </c>
      <c r="E42" s="53" t="s">
        <v>243</v>
      </c>
      <c r="F42" s="54">
        <v>5000000</v>
      </c>
      <c r="G42" s="113"/>
      <c r="H42" s="320">
        <f t="shared" si="1"/>
        <v>200000</v>
      </c>
      <c r="I42" s="52">
        <v>200000</v>
      </c>
      <c r="J42" s="52"/>
      <c r="K42" s="52"/>
      <c r="L42" s="52"/>
      <c r="M42"/>
      <c r="N42"/>
      <c r="O42"/>
      <c r="P42"/>
    </row>
    <row r="43" spans="1:16" s="32" customFormat="1" ht="29.25" customHeight="1">
      <c r="A43" s="24"/>
      <c r="B43" s="24"/>
      <c r="C43" s="317" t="s">
        <v>275</v>
      </c>
      <c r="D43" s="50" t="s">
        <v>276</v>
      </c>
      <c r="E43" s="53" t="s">
        <v>233</v>
      </c>
      <c r="F43" s="54">
        <v>300000</v>
      </c>
      <c r="G43" s="113"/>
      <c r="H43" s="320">
        <f t="shared" si="1"/>
        <v>200000</v>
      </c>
      <c r="I43" s="52">
        <v>200000</v>
      </c>
      <c r="J43" s="52"/>
      <c r="K43" s="52"/>
      <c r="L43" s="52"/>
      <c r="M43"/>
      <c r="N43"/>
      <c r="O43"/>
      <c r="P43"/>
    </row>
    <row r="44" spans="1:16" s="32" customFormat="1" ht="50.25" customHeight="1">
      <c r="A44" s="24"/>
      <c r="B44" s="24"/>
      <c r="C44" s="212" t="s">
        <v>130</v>
      </c>
      <c r="D44" s="50" t="s">
        <v>2</v>
      </c>
      <c r="E44" s="53" t="s">
        <v>233</v>
      </c>
      <c r="F44" s="380">
        <v>2900000</v>
      </c>
      <c r="G44" s="113"/>
      <c r="H44" s="152">
        <f>I44+K44+L44</f>
        <v>1000000</v>
      </c>
      <c r="I44" s="128">
        <v>1000000</v>
      </c>
      <c r="J44" s="52"/>
      <c r="K44" s="52"/>
      <c r="L44" s="52"/>
      <c r="M44"/>
      <c r="N44"/>
      <c r="O44"/>
      <c r="P44"/>
    </row>
    <row r="45" spans="1:16" s="32" customFormat="1" ht="31.5" customHeight="1">
      <c r="A45" s="24"/>
      <c r="B45" s="24"/>
      <c r="C45" s="70" t="s">
        <v>266</v>
      </c>
      <c r="D45" s="50" t="s">
        <v>8</v>
      </c>
      <c r="E45" s="275">
        <v>2006</v>
      </c>
      <c r="F45" s="369"/>
      <c r="G45" s="113"/>
      <c r="H45" s="152">
        <f>I45+K45+L45</f>
        <v>350000</v>
      </c>
      <c r="I45" s="128">
        <v>350000</v>
      </c>
      <c r="J45" s="52"/>
      <c r="K45" s="52"/>
      <c r="L45" s="52"/>
      <c r="M45"/>
      <c r="N45"/>
      <c r="O45"/>
      <c r="P45"/>
    </row>
    <row r="46" spans="1:16" s="32" customFormat="1" ht="39" customHeight="1">
      <c r="A46" s="24"/>
      <c r="B46" s="24"/>
      <c r="C46" s="47" t="s">
        <v>204</v>
      </c>
      <c r="D46" s="81" t="s">
        <v>267</v>
      </c>
      <c r="E46" s="217" t="s">
        <v>233</v>
      </c>
      <c r="F46" s="48">
        <v>1000000</v>
      </c>
      <c r="G46" s="110">
        <v>50000</v>
      </c>
      <c r="H46" s="147">
        <f>I46+K46+L46</f>
        <v>500000</v>
      </c>
      <c r="I46" s="129">
        <v>500000</v>
      </c>
      <c r="J46" s="49"/>
      <c r="K46" s="49"/>
      <c r="L46" s="49"/>
      <c r="M46"/>
      <c r="N46"/>
      <c r="O46"/>
      <c r="P46"/>
    </row>
    <row r="47" spans="1:16" s="32" customFormat="1" ht="18.75" customHeight="1">
      <c r="A47" s="24"/>
      <c r="B47" s="24"/>
      <c r="C47" s="49" t="s">
        <v>65</v>
      </c>
      <c r="D47" s="81"/>
      <c r="E47" s="217">
        <v>2006</v>
      </c>
      <c r="F47" s="48"/>
      <c r="G47" s="110"/>
      <c r="H47" s="147">
        <f>SUM(I47:L47)</f>
        <v>400000</v>
      </c>
      <c r="I47" s="129">
        <v>400000</v>
      </c>
      <c r="J47" s="49" t="s">
        <v>89</v>
      </c>
      <c r="K47" s="49" t="s">
        <v>89</v>
      </c>
      <c r="L47" s="49"/>
      <c r="M47"/>
      <c r="N47"/>
      <c r="O47"/>
      <c r="P47"/>
    </row>
    <row r="48" spans="1:16" s="29" customFormat="1" ht="20.25" customHeight="1">
      <c r="A48" s="40"/>
      <c r="B48" s="34">
        <v>60016</v>
      </c>
      <c r="C48" s="35" t="s">
        <v>49</v>
      </c>
      <c r="D48" s="60"/>
      <c r="E48" s="57"/>
      <c r="F48" s="87"/>
      <c r="G48" s="109">
        <f>SUM(G49:G58)</f>
        <v>10719577</v>
      </c>
      <c r="H48" s="142">
        <f>I48+K48+L48</f>
        <v>2586000</v>
      </c>
      <c r="I48" s="126">
        <f>SUM(I49:I59)</f>
        <v>2586000</v>
      </c>
      <c r="J48" s="126"/>
      <c r="K48" s="126"/>
      <c r="L48" s="35"/>
      <c r="M48"/>
      <c r="N48"/>
      <c r="O48"/>
      <c r="P48"/>
    </row>
    <row r="49" spans="1:16" s="32" customFormat="1" ht="72.75" customHeight="1">
      <c r="A49" s="24"/>
      <c r="B49" s="24"/>
      <c r="C49" s="377" t="s">
        <v>214</v>
      </c>
      <c r="D49" s="81" t="s">
        <v>3</v>
      </c>
      <c r="E49" s="378" t="s">
        <v>200</v>
      </c>
      <c r="F49" s="379">
        <v>5037795</v>
      </c>
      <c r="G49" s="396">
        <f>229991+2760000+618774</f>
        <v>3608765</v>
      </c>
      <c r="H49" s="397">
        <f>I49+K49+L49</f>
        <v>500000</v>
      </c>
      <c r="I49" s="398">
        <v>500000</v>
      </c>
      <c r="J49" s="49"/>
      <c r="K49" s="49"/>
      <c r="L49" s="49"/>
      <c r="M49"/>
      <c r="N49"/>
      <c r="O49"/>
      <c r="P49"/>
    </row>
    <row r="50" spans="1:16" s="32" customFormat="1" ht="30" customHeight="1">
      <c r="A50" s="24"/>
      <c r="B50" s="24"/>
      <c r="C50" s="47" t="s">
        <v>179</v>
      </c>
      <c r="D50" s="81" t="s">
        <v>310</v>
      </c>
      <c r="E50" s="209" t="s">
        <v>94</v>
      </c>
      <c r="F50" s="400">
        <f>2410717+50000</f>
        <v>2460717</v>
      </c>
      <c r="G50" s="110">
        <f>453504+2122000</f>
        <v>2575504</v>
      </c>
      <c r="H50" s="147">
        <f>I50+K50+L50</f>
        <v>50000</v>
      </c>
      <c r="I50" s="49">
        <v>50000</v>
      </c>
      <c r="J50" s="49"/>
      <c r="K50" s="49"/>
      <c r="L50" s="49"/>
      <c r="M50"/>
      <c r="N50"/>
      <c r="O50"/>
      <c r="P50"/>
    </row>
    <row r="51" spans="1:16" s="32" customFormat="1" ht="21" customHeight="1">
      <c r="A51" s="24"/>
      <c r="B51" s="24"/>
      <c r="C51" s="70" t="s">
        <v>131</v>
      </c>
      <c r="D51" s="83" t="s">
        <v>132</v>
      </c>
      <c r="E51" s="259" t="s">
        <v>233</v>
      </c>
      <c r="F51" s="260">
        <v>2220000</v>
      </c>
      <c r="G51" s="113"/>
      <c r="H51" s="147">
        <f>I51+K51+L51</f>
        <v>500000</v>
      </c>
      <c r="I51" s="52">
        <v>500000</v>
      </c>
      <c r="J51" s="52"/>
      <c r="K51" s="52"/>
      <c r="L51" s="52"/>
      <c r="M51"/>
      <c r="N51"/>
      <c r="O51"/>
      <c r="P51"/>
    </row>
    <row r="52" spans="1:16" s="32" customFormat="1" ht="21" customHeight="1" hidden="1">
      <c r="A52" s="24"/>
      <c r="B52" s="24"/>
      <c r="C52" s="70" t="s">
        <v>215</v>
      </c>
      <c r="D52" s="83" t="s">
        <v>132</v>
      </c>
      <c r="E52" s="259" t="s">
        <v>83</v>
      </c>
      <c r="F52" s="260"/>
      <c r="G52" s="113"/>
      <c r="H52" s="147">
        <f>I52+K52+L52</f>
        <v>0</v>
      </c>
      <c r="I52" s="52"/>
      <c r="J52" s="52"/>
      <c r="K52" s="52"/>
      <c r="L52" s="52"/>
      <c r="M52"/>
      <c r="N52"/>
      <c r="O52"/>
      <c r="P52"/>
    </row>
    <row r="53" spans="1:16" s="32" customFormat="1" ht="39" customHeight="1">
      <c r="A53" s="24"/>
      <c r="B53" s="24"/>
      <c r="C53" s="70" t="s">
        <v>213</v>
      </c>
      <c r="D53" s="83" t="s">
        <v>375</v>
      </c>
      <c r="E53" s="259" t="s">
        <v>158</v>
      </c>
      <c r="F53" s="341">
        <v>7200251</v>
      </c>
      <c r="G53" s="113">
        <f>200000+1000000</f>
        <v>1200000</v>
      </c>
      <c r="H53" s="152">
        <f>I53+K53</f>
        <v>611000</v>
      </c>
      <c r="I53" s="52">
        <v>611000</v>
      </c>
      <c r="J53" s="52"/>
      <c r="K53" s="52"/>
      <c r="L53" s="52"/>
      <c r="M53"/>
      <c r="N53"/>
      <c r="O53"/>
      <c r="P53"/>
    </row>
    <row r="54" spans="1:16" s="32" customFormat="1" ht="24" customHeight="1">
      <c r="A54" s="36"/>
      <c r="B54" s="36"/>
      <c r="C54" s="61" t="s">
        <v>216</v>
      </c>
      <c r="D54" s="80" t="s">
        <v>311</v>
      </c>
      <c r="E54" s="344" t="s">
        <v>124</v>
      </c>
      <c r="F54" s="345">
        <v>400000</v>
      </c>
      <c r="G54" s="346">
        <f>10000+17000</f>
        <v>27000</v>
      </c>
      <c r="H54" s="153">
        <f>I54+K54+L54</f>
        <v>300000</v>
      </c>
      <c r="I54" s="62">
        <v>300000</v>
      </c>
      <c r="J54" s="62"/>
      <c r="K54" s="62"/>
      <c r="L54" s="62"/>
      <c r="M54"/>
      <c r="N54"/>
      <c r="O54"/>
      <c r="P54"/>
    </row>
    <row r="55" spans="1:16" s="32" customFormat="1" ht="21" customHeight="1" hidden="1">
      <c r="A55" s="24"/>
      <c r="B55" s="24"/>
      <c r="C55" s="70" t="s">
        <v>218</v>
      </c>
      <c r="D55" s="83" t="s">
        <v>217</v>
      </c>
      <c r="E55" s="259" t="s">
        <v>124</v>
      </c>
      <c r="F55" s="260"/>
      <c r="G55" s="113"/>
      <c r="H55" s="152">
        <f>I55+K55+L55</f>
        <v>0</v>
      </c>
      <c r="I55" s="52"/>
      <c r="J55" s="52"/>
      <c r="K55" s="52"/>
      <c r="L55" s="52"/>
      <c r="M55"/>
      <c r="N55"/>
      <c r="O55"/>
      <c r="P55"/>
    </row>
    <row r="56" spans="1:16" s="32" customFormat="1" ht="21" customHeight="1">
      <c r="A56" s="24"/>
      <c r="B56" s="24"/>
      <c r="C56" s="47" t="s">
        <v>279</v>
      </c>
      <c r="D56" s="81" t="s">
        <v>219</v>
      </c>
      <c r="E56" s="209" t="s">
        <v>233</v>
      </c>
      <c r="F56" s="48">
        <v>850000</v>
      </c>
      <c r="G56" s="110"/>
      <c r="H56" s="147">
        <f>I56+K56+L56</f>
        <v>200000</v>
      </c>
      <c r="I56" s="49">
        <v>200000</v>
      </c>
      <c r="J56" s="49"/>
      <c r="K56" s="49"/>
      <c r="L56" s="49"/>
      <c r="M56"/>
      <c r="N56"/>
      <c r="O56"/>
      <c r="P56"/>
    </row>
    <row r="57" spans="1:16" s="32" customFormat="1" ht="21" customHeight="1">
      <c r="A57" s="24"/>
      <c r="B57" s="24"/>
      <c r="C57" s="70" t="s">
        <v>277</v>
      </c>
      <c r="D57" s="83" t="s">
        <v>278</v>
      </c>
      <c r="E57" s="259" t="s">
        <v>126</v>
      </c>
      <c r="F57" s="260">
        <f>225000+9760</f>
        <v>234760</v>
      </c>
      <c r="G57" s="113">
        <v>9760</v>
      </c>
      <c r="H57" s="152">
        <f>I57</f>
        <v>225000</v>
      </c>
      <c r="I57" s="128">
        <v>225000</v>
      </c>
      <c r="J57" s="52"/>
      <c r="K57" s="52"/>
      <c r="L57" s="52"/>
      <c r="M57"/>
      <c r="N57"/>
      <c r="O57"/>
      <c r="P57"/>
    </row>
    <row r="58" spans="1:16" s="32" customFormat="1" ht="18.75" customHeight="1">
      <c r="A58" s="24"/>
      <c r="B58" s="24"/>
      <c r="C58" s="98" t="s">
        <v>109</v>
      </c>
      <c r="D58" s="83" t="s">
        <v>11</v>
      </c>
      <c r="E58" s="157" t="s">
        <v>12</v>
      </c>
      <c r="F58" s="158">
        <v>3557168</v>
      </c>
      <c r="G58" s="159">
        <v>3298548</v>
      </c>
      <c r="H58" s="145">
        <f aca="true" t="shared" si="2" ref="H58:H65">I58+K58+L58</f>
        <v>150000</v>
      </c>
      <c r="I58" s="131">
        <v>150000</v>
      </c>
      <c r="J58" s="98"/>
      <c r="K58" s="98"/>
      <c r="L58" s="98"/>
      <c r="M58"/>
      <c r="N58"/>
      <c r="O58"/>
      <c r="P58"/>
    </row>
    <row r="59" spans="1:16" s="32" customFormat="1" ht="18.75" customHeight="1">
      <c r="A59" s="24"/>
      <c r="B59" s="24"/>
      <c r="C59" s="98" t="s">
        <v>212</v>
      </c>
      <c r="D59" s="83" t="s">
        <v>13</v>
      </c>
      <c r="E59" s="157">
        <v>2006</v>
      </c>
      <c r="F59" s="158"/>
      <c r="G59" s="159"/>
      <c r="H59" s="145">
        <f t="shared" si="2"/>
        <v>50000</v>
      </c>
      <c r="I59" s="131">
        <v>50000</v>
      </c>
      <c r="J59" s="98"/>
      <c r="K59" s="98"/>
      <c r="L59" s="98"/>
      <c r="M59"/>
      <c r="N59"/>
      <c r="O59"/>
      <c r="P59"/>
    </row>
    <row r="60" spans="1:16" s="29" customFormat="1" ht="20.25" customHeight="1">
      <c r="A60" s="40"/>
      <c r="B60" s="34">
        <v>60017</v>
      </c>
      <c r="C60" s="35" t="s">
        <v>220</v>
      </c>
      <c r="D60" s="60"/>
      <c r="E60" s="57"/>
      <c r="F60" s="87"/>
      <c r="G60" s="109">
        <f>G62</f>
        <v>6100</v>
      </c>
      <c r="H60" s="142">
        <f t="shared" si="2"/>
        <v>220000</v>
      </c>
      <c r="I60" s="126">
        <f>I61+I63+I62</f>
        <v>220000</v>
      </c>
      <c r="J60" s="35"/>
      <c r="K60" s="35"/>
      <c r="L60" s="35"/>
      <c r="M60"/>
      <c r="N60"/>
      <c r="O60"/>
      <c r="P60"/>
    </row>
    <row r="61" spans="1:16" s="32" customFormat="1" ht="21" customHeight="1" hidden="1">
      <c r="A61" s="24"/>
      <c r="B61" s="24"/>
      <c r="C61" s="47" t="s">
        <v>109</v>
      </c>
      <c r="D61" s="81" t="s">
        <v>221</v>
      </c>
      <c r="E61" s="209">
        <v>2006</v>
      </c>
      <c r="F61" s="48"/>
      <c r="G61" s="110"/>
      <c r="H61" s="147">
        <f t="shared" si="2"/>
        <v>0</v>
      </c>
      <c r="I61" s="129"/>
      <c r="J61" s="49"/>
      <c r="K61" s="49"/>
      <c r="L61" s="49"/>
      <c r="M61"/>
      <c r="N61"/>
      <c r="O61"/>
      <c r="P61"/>
    </row>
    <row r="62" spans="1:16" s="32" customFormat="1" ht="36" customHeight="1">
      <c r="A62" s="24"/>
      <c r="B62" s="24"/>
      <c r="C62" s="47" t="s">
        <v>374</v>
      </c>
      <c r="D62" s="81" t="s">
        <v>339</v>
      </c>
      <c r="E62" s="209" t="s">
        <v>126</v>
      </c>
      <c r="F62" s="48">
        <f>120000+6100</f>
        <v>126100</v>
      </c>
      <c r="G62" s="110">
        <v>6100</v>
      </c>
      <c r="H62" s="147">
        <f t="shared" si="2"/>
        <v>120000</v>
      </c>
      <c r="I62" s="129">
        <v>120000</v>
      </c>
      <c r="J62" s="49"/>
      <c r="K62" s="49"/>
      <c r="L62" s="49"/>
      <c r="M62"/>
      <c r="N62"/>
      <c r="O62"/>
      <c r="P62"/>
    </row>
    <row r="63" spans="1:16" s="32" customFormat="1" ht="27" customHeight="1">
      <c r="A63" s="24"/>
      <c r="B63" s="24"/>
      <c r="C63" s="319" t="s">
        <v>273</v>
      </c>
      <c r="D63" s="50" t="s">
        <v>332</v>
      </c>
      <c r="E63" s="209">
        <v>2006</v>
      </c>
      <c r="F63" s="48"/>
      <c r="G63" s="110"/>
      <c r="H63" s="147">
        <f t="shared" si="2"/>
        <v>100000</v>
      </c>
      <c r="I63" s="129">
        <v>100000</v>
      </c>
      <c r="J63" s="49"/>
      <c r="K63" s="49"/>
      <c r="L63" s="49"/>
      <c r="M63"/>
      <c r="N63"/>
      <c r="O63"/>
      <c r="P63"/>
    </row>
    <row r="64" spans="1:16" s="32" customFormat="1" ht="19.5" customHeight="1" hidden="1">
      <c r="A64" s="30">
        <v>630</v>
      </c>
      <c r="B64" s="30"/>
      <c r="C64" s="31" t="s">
        <v>222</v>
      </c>
      <c r="D64" s="184"/>
      <c r="E64" s="198"/>
      <c r="F64" s="59"/>
      <c r="G64" s="132">
        <f>G65</f>
        <v>0</v>
      </c>
      <c r="H64" s="146">
        <f t="shared" si="2"/>
        <v>0</v>
      </c>
      <c r="I64" s="132">
        <f>I65</f>
        <v>0</v>
      </c>
      <c r="J64" s="132"/>
      <c r="K64" s="132"/>
      <c r="L64" s="132"/>
      <c r="M64"/>
      <c r="N64"/>
      <c r="O64"/>
      <c r="P64"/>
    </row>
    <row r="65" spans="1:16" s="29" customFormat="1" ht="21.75" customHeight="1" hidden="1">
      <c r="A65" s="40"/>
      <c r="B65" s="34">
        <v>63003</v>
      </c>
      <c r="C65" s="35" t="s">
        <v>223</v>
      </c>
      <c r="D65" s="183"/>
      <c r="E65" s="197"/>
      <c r="F65" s="35"/>
      <c r="G65" s="126">
        <f>G66</f>
        <v>0</v>
      </c>
      <c r="H65" s="142">
        <f t="shared" si="2"/>
        <v>0</v>
      </c>
      <c r="I65" s="126">
        <f>I66</f>
        <v>0</v>
      </c>
      <c r="J65" s="126"/>
      <c r="K65" s="126"/>
      <c r="L65" s="126"/>
      <c r="M65"/>
      <c r="N65"/>
      <c r="O65"/>
      <c r="P65"/>
    </row>
    <row r="66" spans="1:16" s="32" customFormat="1" ht="27.75" customHeight="1" hidden="1">
      <c r="A66" s="36"/>
      <c r="B66" s="37"/>
      <c r="C66" s="38" t="s">
        <v>224</v>
      </c>
      <c r="D66" s="60" t="s">
        <v>225</v>
      </c>
      <c r="E66" s="168" t="s">
        <v>126</v>
      </c>
      <c r="F66" s="39">
        <v>728000</v>
      </c>
      <c r="G66" s="119"/>
      <c r="H66" s="150">
        <f>I66</f>
        <v>0</v>
      </c>
      <c r="I66" s="135"/>
      <c r="J66" s="39"/>
      <c r="K66" s="39"/>
      <c r="L66" s="39"/>
      <c r="M66"/>
      <c r="N66"/>
      <c r="O66"/>
      <c r="P66"/>
    </row>
    <row r="67" spans="1:16" s="32" customFormat="1" ht="19.5" customHeight="1">
      <c r="A67" s="30">
        <v>700</v>
      </c>
      <c r="B67" s="30"/>
      <c r="C67" s="59" t="s">
        <v>51</v>
      </c>
      <c r="D67" s="184"/>
      <c r="E67" s="198"/>
      <c r="F67" s="59"/>
      <c r="G67" s="132">
        <f>G68+G72</f>
        <v>7905447</v>
      </c>
      <c r="H67" s="146">
        <f>I67+K67+L67</f>
        <v>6500000</v>
      </c>
      <c r="I67" s="132">
        <f>I72+I68+I70</f>
        <v>6500000</v>
      </c>
      <c r="J67" s="132"/>
      <c r="K67" s="132"/>
      <c r="L67" s="132"/>
      <c r="M67"/>
      <c r="N67"/>
      <c r="O67"/>
      <c r="P67"/>
    </row>
    <row r="68" spans="1:16" s="29" customFormat="1" ht="21.75" customHeight="1">
      <c r="A68" s="40"/>
      <c r="B68" s="34">
        <v>70001</v>
      </c>
      <c r="C68" s="35" t="s">
        <v>226</v>
      </c>
      <c r="D68" s="183"/>
      <c r="E68" s="197"/>
      <c r="F68" s="35"/>
      <c r="G68" s="126">
        <f>G69</f>
        <v>700000</v>
      </c>
      <c r="H68" s="142">
        <f>I68+K68+L68</f>
        <v>1500000</v>
      </c>
      <c r="I68" s="126">
        <f>I69</f>
        <v>1500000</v>
      </c>
      <c r="J68" s="126"/>
      <c r="K68" s="126"/>
      <c r="L68" s="126"/>
      <c r="M68"/>
      <c r="N68"/>
      <c r="O68"/>
      <c r="P68"/>
    </row>
    <row r="69" spans="1:16" s="32" customFormat="1" ht="32.25" customHeight="1">
      <c r="A69" s="24"/>
      <c r="B69" s="37"/>
      <c r="C69" s="38" t="s">
        <v>84</v>
      </c>
      <c r="D69" s="60" t="s">
        <v>14</v>
      </c>
      <c r="E69" s="168" t="s">
        <v>126</v>
      </c>
      <c r="F69" s="39">
        <v>2200000</v>
      </c>
      <c r="G69" s="119">
        <v>700000</v>
      </c>
      <c r="H69" s="150">
        <f>I69</f>
        <v>1500000</v>
      </c>
      <c r="I69" s="135">
        <v>1500000</v>
      </c>
      <c r="J69" s="39"/>
      <c r="K69" s="39"/>
      <c r="L69" s="39"/>
      <c r="M69"/>
      <c r="N69"/>
      <c r="O69"/>
      <c r="P69"/>
    </row>
    <row r="70" spans="1:16" s="29" customFormat="1" ht="21.75" customHeight="1">
      <c r="A70" s="40"/>
      <c r="B70" s="34">
        <v>70021</v>
      </c>
      <c r="C70" s="35" t="s">
        <v>227</v>
      </c>
      <c r="D70" s="183"/>
      <c r="E70" s="197"/>
      <c r="F70" s="35"/>
      <c r="G70" s="126"/>
      <c r="H70" s="142">
        <f>I70+K70+L70</f>
        <v>1000000</v>
      </c>
      <c r="I70" s="126">
        <f>I71</f>
        <v>1000000</v>
      </c>
      <c r="J70" s="126"/>
      <c r="K70" s="126"/>
      <c r="L70" s="126"/>
      <c r="M70"/>
      <c r="N70"/>
      <c r="O70"/>
      <c r="P70"/>
    </row>
    <row r="71" spans="1:16" s="32" customFormat="1" ht="27.75" customHeight="1">
      <c r="A71" s="24"/>
      <c r="B71" s="37"/>
      <c r="C71" s="38" t="s">
        <v>228</v>
      </c>
      <c r="D71" s="60" t="s">
        <v>229</v>
      </c>
      <c r="E71" s="168">
        <v>2006</v>
      </c>
      <c r="F71" s="39"/>
      <c r="G71" s="119"/>
      <c r="H71" s="150">
        <f>I71</f>
        <v>1000000</v>
      </c>
      <c r="I71" s="135">
        <v>1000000</v>
      </c>
      <c r="J71" s="39"/>
      <c r="K71" s="39"/>
      <c r="L71" s="39"/>
      <c r="M71"/>
      <c r="N71"/>
      <c r="O71"/>
      <c r="P71"/>
    </row>
    <row r="72" spans="1:16" s="29" customFormat="1" ht="21" customHeight="1">
      <c r="A72" s="40"/>
      <c r="B72" s="34">
        <v>70095</v>
      </c>
      <c r="C72" s="35" t="s">
        <v>46</v>
      </c>
      <c r="D72" s="183"/>
      <c r="E72" s="197"/>
      <c r="F72" s="35"/>
      <c r="G72" s="126">
        <f>G73</f>
        <v>7205447</v>
      </c>
      <c r="H72" s="142">
        <f>I72+K72+L72</f>
        <v>4000000</v>
      </c>
      <c r="I72" s="126">
        <f>I73</f>
        <v>4000000</v>
      </c>
      <c r="J72" s="126"/>
      <c r="K72" s="126"/>
      <c r="L72" s="126"/>
      <c r="M72"/>
      <c r="N72"/>
      <c r="O72"/>
      <c r="P72"/>
    </row>
    <row r="73" spans="1:16" s="32" customFormat="1" ht="37.5" customHeight="1">
      <c r="A73" s="36"/>
      <c r="B73" s="37"/>
      <c r="C73" s="38" t="s">
        <v>76</v>
      </c>
      <c r="D73" s="60" t="s">
        <v>312</v>
      </c>
      <c r="E73" s="168" t="s">
        <v>94</v>
      </c>
      <c r="F73" s="39">
        <f>8798967+2300000</f>
        <v>11098967</v>
      </c>
      <c r="G73" s="119">
        <f>2505447+4700000</f>
        <v>7205447</v>
      </c>
      <c r="H73" s="150">
        <f>I73</f>
        <v>4000000</v>
      </c>
      <c r="I73" s="135">
        <v>4000000</v>
      </c>
      <c r="J73" s="39"/>
      <c r="K73" s="39"/>
      <c r="L73" s="39"/>
      <c r="M73"/>
      <c r="N73"/>
      <c r="O73"/>
      <c r="P73"/>
    </row>
    <row r="74" spans="1:16" s="32" customFormat="1" ht="20.25" customHeight="1">
      <c r="A74" s="30">
        <v>710</v>
      </c>
      <c r="B74" s="30"/>
      <c r="C74" s="59" t="s">
        <v>114</v>
      </c>
      <c r="D74" s="184"/>
      <c r="E74" s="198"/>
      <c r="F74" s="59"/>
      <c r="G74" s="132"/>
      <c r="H74" s="146">
        <f aca="true" t="shared" si="3" ref="H74:H83">I74+K74+L74</f>
        <v>400000</v>
      </c>
      <c r="I74" s="132">
        <f>I75</f>
        <v>400000</v>
      </c>
      <c r="J74" s="132"/>
      <c r="K74" s="132"/>
      <c r="L74" s="132"/>
      <c r="M74"/>
      <c r="N74"/>
      <c r="O74"/>
      <c r="P74"/>
    </row>
    <row r="75" spans="1:16" s="29" customFormat="1" ht="21" customHeight="1">
      <c r="A75" s="40"/>
      <c r="B75" s="34">
        <v>71035</v>
      </c>
      <c r="C75" s="35" t="s">
        <v>135</v>
      </c>
      <c r="D75" s="183"/>
      <c r="E75" s="197"/>
      <c r="F75" s="35"/>
      <c r="G75" s="126"/>
      <c r="H75" s="142">
        <f t="shared" si="3"/>
        <v>400000</v>
      </c>
      <c r="I75" s="126">
        <f>SUM(I76:I76)</f>
        <v>400000</v>
      </c>
      <c r="J75" s="126"/>
      <c r="K75" s="126"/>
      <c r="L75" s="126"/>
      <c r="M75"/>
      <c r="N75"/>
      <c r="O75"/>
      <c r="P75"/>
    </row>
    <row r="76" spans="1:16" s="32" customFormat="1" ht="26.25" customHeight="1">
      <c r="A76" s="24"/>
      <c r="B76" s="42"/>
      <c r="C76" s="38" t="s">
        <v>136</v>
      </c>
      <c r="D76" s="63" t="s">
        <v>333</v>
      </c>
      <c r="E76" s="165">
        <v>2006</v>
      </c>
      <c r="F76" s="46"/>
      <c r="G76" s="115"/>
      <c r="H76" s="144">
        <f t="shared" si="3"/>
        <v>400000</v>
      </c>
      <c r="I76" s="127">
        <v>400000</v>
      </c>
      <c r="J76" s="46"/>
      <c r="K76" s="46"/>
      <c r="L76" s="46"/>
      <c r="M76"/>
      <c r="N76"/>
      <c r="O76"/>
      <c r="P76"/>
    </row>
    <row r="77" spans="1:16" s="32" customFormat="1" ht="21.75" customHeight="1">
      <c r="A77" s="30">
        <v>750</v>
      </c>
      <c r="B77" s="30"/>
      <c r="C77" s="59" t="s">
        <v>52</v>
      </c>
      <c r="D77" s="184"/>
      <c r="E77" s="198"/>
      <c r="F77" s="59"/>
      <c r="G77" s="132">
        <f>G78</f>
        <v>795770</v>
      </c>
      <c r="H77" s="146">
        <f t="shared" si="3"/>
        <v>3734000</v>
      </c>
      <c r="I77" s="132">
        <f>I78</f>
        <v>3734000</v>
      </c>
      <c r="J77" s="132"/>
      <c r="K77" s="132"/>
      <c r="L77" s="132"/>
      <c r="M77"/>
      <c r="N77"/>
      <c r="O77"/>
      <c r="P77"/>
    </row>
    <row r="78" spans="1:16" s="29" customFormat="1" ht="21" customHeight="1">
      <c r="A78" s="33"/>
      <c r="B78" s="34">
        <v>75023</v>
      </c>
      <c r="C78" s="41" t="s">
        <v>77</v>
      </c>
      <c r="D78" s="183"/>
      <c r="E78" s="197"/>
      <c r="F78" s="35"/>
      <c r="G78" s="126">
        <f>SUM(G79:G85)</f>
        <v>795770</v>
      </c>
      <c r="H78" s="142">
        <f t="shared" si="3"/>
        <v>3734000</v>
      </c>
      <c r="I78" s="126">
        <f>SUM(I79:I85)</f>
        <v>3734000</v>
      </c>
      <c r="J78" s="126"/>
      <c r="K78" s="126"/>
      <c r="L78" s="126"/>
      <c r="M78"/>
      <c r="N78"/>
      <c r="O78"/>
      <c r="P78"/>
    </row>
    <row r="79" spans="1:16" s="32" customFormat="1" ht="41.25" customHeight="1">
      <c r="A79" s="25"/>
      <c r="B79" s="230"/>
      <c r="C79" s="52" t="s">
        <v>84</v>
      </c>
      <c r="D79" s="83" t="s">
        <v>347</v>
      </c>
      <c r="E79" s="169">
        <v>2006</v>
      </c>
      <c r="F79" s="46"/>
      <c r="H79" s="152">
        <f t="shared" si="3"/>
        <v>1342000</v>
      </c>
      <c r="I79" s="128">
        <f>800000+600000-58000</f>
        <v>1342000</v>
      </c>
      <c r="J79" s="52"/>
      <c r="K79" s="52"/>
      <c r="L79" s="52"/>
      <c r="M79"/>
      <c r="N79"/>
      <c r="O79"/>
      <c r="P79"/>
    </row>
    <row r="80" spans="1:16" s="32" customFormat="1" ht="26.25" customHeight="1">
      <c r="A80" s="24"/>
      <c r="B80" s="24"/>
      <c r="C80" s="52" t="s">
        <v>231</v>
      </c>
      <c r="D80" s="83" t="s">
        <v>329</v>
      </c>
      <c r="E80" s="169">
        <v>2006</v>
      </c>
      <c r="F80" s="52"/>
      <c r="G80" s="337"/>
      <c r="H80" s="152">
        <f t="shared" si="3"/>
        <v>150000</v>
      </c>
      <c r="I80" s="128">
        <v>150000</v>
      </c>
      <c r="J80" s="52"/>
      <c r="K80" s="52"/>
      <c r="L80" s="52"/>
      <c r="M80"/>
      <c r="N80"/>
      <c r="O80"/>
      <c r="P80"/>
    </row>
    <row r="81" spans="1:16" s="32" customFormat="1" ht="24.75" customHeight="1">
      <c r="A81" s="24"/>
      <c r="B81" s="24"/>
      <c r="C81" s="52" t="s">
        <v>232</v>
      </c>
      <c r="D81" s="83" t="s">
        <v>328</v>
      </c>
      <c r="E81" s="169" t="s">
        <v>124</v>
      </c>
      <c r="F81" s="52">
        <v>2400000</v>
      </c>
      <c r="G81" s="120">
        <f>21960+600000</f>
        <v>621960</v>
      </c>
      <c r="H81" s="152">
        <f t="shared" si="3"/>
        <v>327000</v>
      </c>
      <c r="I81" s="128">
        <v>327000</v>
      </c>
      <c r="J81" s="52"/>
      <c r="K81" s="52"/>
      <c r="L81" s="52"/>
      <c r="M81"/>
      <c r="N81"/>
      <c r="O81"/>
      <c r="P81"/>
    </row>
    <row r="82" spans="1:16" s="32" customFormat="1" ht="39.75" customHeight="1">
      <c r="A82" s="24"/>
      <c r="B82" s="24"/>
      <c r="C82" s="70" t="s">
        <v>348</v>
      </c>
      <c r="D82" s="83" t="s">
        <v>330</v>
      </c>
      <c r="E82" s="169" t="s">
        <v>126</v>
      </c>
      <c r="F82" s="52">
        <v>2025000</v>
      </c>
      <c r="G82" s="120">
        <v>100000</v>
      </c>
      <c r="H82" s="152">
        <f t="shared" si="3"/>
        <v>407000</v>
      </c>
      <c r="I82" s="128">
        <v>407000</v>
      </c>
      <c r="J82" s="52"/>
      <c r="K82" s="52"/>
      <c r="L82" s="52"/>
      <c r="M82"/>
      <c r="N82"/>
      <c r="O82"/>
      <c r="P82"/>
    </row>
    <row r="83" spans="1:16" s="32" customFormat="1" ht="25.5" customHeight="1">
      <c r="A83" s="24"/>
      <c r="B83" s="24"/>
      <c r="C83" s="52" t="s">
        <v>280</v>
      </c>
      <c r="D83" s="83" t="s">
        <v>376</v>
      </c>
      <c r="E83" s="169" t="s">
        <v>124</v>
      </c>
      <c r="F83" s="52">
        <f>73810+6976100+2174000</f>
        <v>9223910</v>
      </c>
      <c r="G83" s="120">
        <v>73810</v>
      </c>
      <c r="H83" s="152">
        <f t="shared" si="3"/>
        <v>708000</v>
      </c>
      <c r="I83" s="128">
        <v>708000</v>
      </c>
      <c r="J83" s="52"/>
      <c r="K83" s="52"/>
      <c r="L83" s="52"/>
      <c r="M83"/>
      <c r="N83"/>
      <c r="O83"/>
      <c r="P83"/>
    </row>
    <row r="84" spans="1:16" s="32" customFormat="1" ht="42.75" customHeight="1">
      <c r="A84" s="24"/>
      <c r="B84" s="24"/>
      <c r="C84" s="70" t="s">
        <v>281</v>
      </c>
      <c r="D84" s="83" t="s">
        <v>255</v>
      </c>
      <c r="E84" s="169" t="s">
        <v>243</v>
      </c>
      <c r="F84" s="52">
        <v>2500000</v>
      </c>
      <c r="G84" s="120"/>
      <c r="H84" s="152">
        <f>I84</f>
        <v>200000</v>
      </c>
      <c r="I84" s="128">
        <v>200000</v>
      </c>
      <c r="J84" s="52"/>
      <c r="K84" s="52"/>
      <c r="L84" s="52"/>
      <c r="M84"/>
      <c r="N84"/>
      <c r="O84"/>
      <c r="P84"/>
    </row>
    <row r="85" spans="1:16" s="32" customFormat="1" ht="21.75" customHeight="1">
      <c r="A85" s="36"/>
      <c r="B85" s="36"/>
      <c r="C85" s="62" t="s">
        <v>50</v>
      </c>
      <c r="D85" s="80" t="s">
        <v>137</v>
      </c>
      <c r="E85" s="170">
        <v>2006</v>
      </c>
      <c r="F85" s="62"/>
      <c r="G85" s="117"/>
      <c r="H85" s="148">
        <f>I85+K85+L85</f>
        <v>600000</v>
      </c>
      <c r="I85" s="133">
        <v>600000</v>
      </c>
      <c r="J85" s="62"/>
      <c r="K85" s="62"/>
      <c r="L85" s="62"/>
      <c r="M85"/>
      <c r="N85"/>
      <c r="O85"/>
      <c r="P85"/>
    </row>
    <row r="86" spans="1:16" s="32" customFormat="1" ht="31.5" customHeight="1">
      <c r="A86" s="93">
        <v>754</v>
      </c>
      <c r="B86" s="30"/>
      <c r="C86" s="64" t="s">
        <v>53</v>
      </c>
      <c r="D86" s="184"/>
      <c r="E86" s="198"/>
      <c r="F86" s="59"/>
      <c r="G86" s="221"/>
      <c r="H86" s="146">
        <f>H89+H93+H91+H87</f>
        <v>300000</v>
      </c>
      <c r="I86" s="132">
        <f>I89+I93+I91+I87</f>
        <v>300000</v>
      </c>
      <c r="J86" s="132"/>
      <c r="K86" s="132"/>
      <c r="L86" s="132"/>
      <c r="M86"/>
      <c r="N86"/>
      <c r="O86"/>
      <c r="P86"/>
    </row>
    <row r="87" spans="1:16" s="29" customFormat="1" ht="20.25" customHeight="1" hidden="1">
      <c r="A87" s="40"/>
      <c r="B87" s="69">
        <v>75405</v>
      </c>
      <c r="C87" s="65" t="s">
        <v>139</v>
      </c>
      <c r="D87" s="185"/>
      <c r="E87" s="199"/>
      <c r="F87" s="58"/>
      <c r="G87" s="134"/>
      <c r="H87" s="149">
        <f aca="true" t="shared" si="4" ref="H87:H94">I87+K87+L87</f>
        <v>0</v>
      </c>
      <c r="I87" s="134">
        <f>I88</f>
        <v>0</v>
      </c>
      <c r="J87" s="134"/>
      <c r="K87" s="134"/>
      <c r="L87" s="134"/>
      <c r="M87"/>
      <c r="N87"/>
      <c r="O87"/>
      <c r="P87"/>
    </row>
    <row r="88" spans="1:16" s="32" customFormat="1" ht="24" customHeight="1" hidden="1">
      <c r="A88" s="24"/>
      <c r="B88" s="261"/>
      <c r="C88" s="38" t="s">
        <v>184</v>
      </c>
      <c r="D88" s="60" t="s">
        <v>185</v>
      </c>
      <c r="E88" s="168">
        <v>2005</v>
      </c>
      <c r="F88" s="39"/>
      <c r="G88" s="119"/>
      <c r="H88" s="150">
        <f t="shared" si="4"/>
        <v>0</v>
      </c>
      <c r="I88" s="135"/>
      <c r="J88" s="39"/>
      <c r="K88" s="39"/>
      <c r="L88" s="39"/>
      <c r="M88"/>
      <c r="N88"/>
      <c r="O88"/>
      <c r="P88"/>
    </row>
    <row r="89" spans="1:16" s="29" customFormat="1" ht="30" customHeight="1" hidden="1">
      <c r="A89" s="40"/>
      <c r="B89" s="69">
        <v>75411</v>
      </c>
      <c r="C89" s="65" t="s">
        <v>54</v>
      </c>
      <c r="D89" s="185"/>
      <c r="E89" s="199"/>
      <c r="F89" s="58"/>
      <c r="G89" s="134"/>
      <c r="H89" s="149">
        <f t="shared" si="4"/>
        <v>0</v>
      </c>
      <c r="I89" s="134">
        <f>I90</f>
        <v>0</v>
      </c>
      <c r="J89" s="134"/>
      <c r="K89" s="134"/>
      <c r="L89" s="134"/>
      <c r="M89"/>
      <c r="N89"/>
      <c r="O89"/>
      <c r="P89"/>
    </row>
    <row r="90" spans="1:16" s="32" customFormat="1" ht="24" customHeight="1" hidden="1">
      <c r="A90" s="24"/>
      <c r="B90" s="37"/>
      <c r="C90" s="38" t="s">
        <v>82</v>
      </c>
      <c r="D90" s="60" t="s">
        <v>180</v>
      </c>
      <c r="E90" s="168">
        <v>2005</v>
      </c>
      <c r="F90" s="39"/>
      <c r="G90" s="119"/>
      <c r="H90" s="150">
        <f t="shared" si="4"/>
        <v>0</v>
      </c>
      <c r="I90" s="135"/>
      <c r="J90" s="39"/>
      <c r="K90" s="39"/>
      <c r="L90" s="39"/>
      <c r="M90"/>
      <c r="N90"/>
      <c r="O90"/>
      <c r="P90"/>
    </row>
    <row r="91" spans="1:16" s="29" customFormat="1" ht="20.25" customHeight="1">
      <c r="A91" s="40"/>
      <c r="B91" s="69">
        <v>75416</v>
      </c>
      <c r="C91" s="65" t="s">
        <v>138</v>
      </c>
      <c r="D91" s="185"/>
      <c r="E91" s="168"/>
      <c r="F91" s="58"/>
      <c r="G91" s="134"/>
      <c r="H91" s="149">
        <f t="shared" si="4"/>
        <v>100000</v>
      </c>
      <c r="I91" s="134">
        <f>I92</f>
        <v>100000</v>
      </c>
      <c r="J91" s="134"/>
      <c r="K91" s="134"/>
      <c r="L91" s="134"/>
      <c r="M91"/>
      <c r="N91"/>
      <c r="O91"/>
      <c r="P91"/>
    </row>
    <row r="92" spans="1:16" s="32" customFormat="1" ht="21" customHeight="1">
      <c r="A92" s="24"/>
      <c r="B92" s="36"/>
      <c r="C92" s="61" t="s">
        <v>50</v>
      </c>
      <c r="D92" s="80" t="s">
        <v>349</v>
      </c>
      <c r="E92" s="168">
        <v>2006</v>
      </c>
      <c r="F92" s="62"/>
      <c r="G92" s="117"/>
      <c r="H92" s="148">
        <f t="shared" si="4"/>
        <v>100000</v>
      </c>
      <c r="I92" s="133">
        <v>100000</v>
      </c>
      <c r="J92" s="62"/>
      <c r="K92" s="62"/>
      <c r="L92" s="62"/>
      <c r="M92"/>
      <c r="N92"/>
      <c r="O92"/>
      <c r="P92"/>
    </row>
    <row r="93" spans="1:16" s="29" customFormat="1" ht="21" customHeight="1">
      <c r="A93" s="40"/>
      <c r="B93" s="69">
        <v>75495</v>
      </c>
      <c r="C93" s="65" t="s">
        <v>46</v>
      </c>
      <c r="D93" s="185"/>
      <c r="E93" s="199"/>
      <c r="F93" s="58"/>
      <c r="G93" s="134"/>
      <c r="H93" s="149">
        <f t="shared" si="4"/>
        <v>200000</v>
      </c>
      <c r="I93" s="134">
        <f>I94</f>
        <v>200000</v>
      </c>
      <c r="J93" s="134"/>
      <c r="K93" s="134"/>
      <c r="L93" s="134"/>
      <c r="M93"/>
      <c r="N93"/>
      <c r="O93"/>
      <c r="P93"/>
    </row>
    <row r="94" spans="1:16" s="32" customFormat="1" ht="20.25" customHeight="1">
      <c r="A94" s="36"/>
      <c r="B94" s="36"/>
      <c r="C94" s="61" t="s">
        <v>81</v>
      </c>
      <c r="D94" s="80" t="s">
        <v>338</v>
      </c>
      <c r="E94" s="170">
        <v>2006</v>
      </c>
      <c r="F94" s="62"/>
      <c r="G94" s="117"/>
      <c r="H94" s="148">
        <f t="shared" si="4"/>
        <v>200000</v>
      </c>
      <c r="I94" s="133">
        <v>200000</v>
      </c>
      <c r="J94" s="62"/>
      <c r="K94" s="62"/>
      <c r="L94" s="62"/>
      <c r="M94"/>
      <c r="N94"/>
      <c r="O94"/>
      <c r="P94"/>
    </row>
    <row r="95" spans="1:16" s="32" customFormat="1" ht="21.75" customHeight="1">
      <c r="A95" s="93">
        <v>758</v>
      </c>
      <c r="B95" s="30"/>
      <c r="C95" s="64" t="s">
        <v>140</v>
      </c>
      <c r="D95" s="184"/>
      <c r="E95" s="198"/>
      <c r="F95" s="59"/>
      <c r="G95" s="221"/>
      <c r="H95" s="146">
        <f>H96</f>
        <v>4400000</v>
      </c>
      <c r="I95" s="132">
        <f>I96</f>
        <v>4400000</v>
      </c>
      <c r="J95" s="132"/>
      <c r="K95" s="132"/>
      <c r="L95" s="132"/>
      <c r="M95"/>
      <c r="N95"/>
      <c r="O95"/>
      <c r="P95"/>
    </row>
    <row r="96" spans="1:16" s="29" customFormat="1" ht="21" customHeight="1">
      <c r="A96" s="40"/>
      <c r="B96" s="69">
        <v>75818</v>
      </c>
      <c r="C96" s="65" t="s">
        <v>141</v>
      </c>
      <c r="D96" s="185"/>
      <c r="E96" s="199"/>
      <c r="F96" s="58"/>
      <c r="G96" s="134"/>
      <c r="H96" s="149">
        <f>I96+K96+L96</f>
        <v>4400000</v>
      </c>
      <c r="I96" s="134">
        <f>I97</f>
        <v>4400000</v>
      </c>
      <c r="J96" s="134"/>
      <c r="K96" s="134"/>
      <c r="L96" s="134"/>
      <c r="M96"/>
      <c r="N96"/>
      <c r="O96"/>
      <c r="P96"/>
    </row>
    <row r="97" spans="1:16" s="32" customFormat="1" ht="30" customHeight="1">
      <c r="A97" s="36"/>
      <c r="B97" s="261"/>
      <c r="C97" s="38" t="s">
        <v>230</v>
      </c>
      <c r="D97" s="60"/>
      <c r="E97" s="168">
        <v>2006</v>
      </c>
      <c r="F97" s="39"/>
      <c r="G97" s="119"/>
      <c r="H97" s="150">
        <f>I97+K97+L97</f>
        <v>4400000</v>
      </c>
      <c r="I97" s="135">
        <v>4400000</v>
      </c>
      <c r="J97" s="39"/>
      <c r="K97" s="39"/>
      <c r="L97" s="39"/>
      <c r="M97"/>
      <c r="N97"/>
      <c r="O97"/>
      <c r="P97"/>
    </row>
    <row r="98" spans="1:16" s="32" customFormat="1" ht="21" customHeight="1">
      <c r="A98" s="93">
        <v>801</v>
      </c>
      <c r="B98" s="66"/>
      <c r="C98" s="67" t="s">
        <v>55</v>
      </c>
      <c r="D98" s="186"/>
      <c r="E98" s="196"/>
      <c r="F98" s="31"/>
      <c r="G98" s="125">
        <f>G99+G109+G113+G116+G106</f>
        <v>77854122</v>
      </c>
      <c r="H98" s="151">
        <f>I98+K98+L98+J98</f>
        <v>27479535</v>
      </c>
      <c r="I98" s="125">
        <f>I99+I109+I113+I116+I106</f>
        <v>26079535</v>
      </c>
      <c r="J98" s="125"/>
      <c r="K98" s="125">
        <f>K99+K109+K113+K116+K106</f>
        <v>0</v>
      </c>
      <c r="L98" s="125">
        <f>L99+L116</f>
        <v>1400000</v>
      </c>
      <c r="M98"/>
      <c r="N98"/>
      <c r="O98"/>
      <c r="P98"/>
    </row>
    <row r="99" spans="1:16" s="29" customFormat="1" ht="21" customHeight="1">
      <c r="A99" s="33"/>
      <c r="B99" s="68">
        <v>80101</v>
      </c>
      <c r="C99" s="41" t="s">
        <v>56</v>
      </c>
      <c r="D99" s="183"/>
      <c r="E99" s="197"/>
      <c r="F99" s="35"/>
      <c r="G99" s="126">
        <f>SUM(G100:G105)</f>
        <v>38154901</v>
      </c>
      <c r="H99" s="142">
        <f>I99+K99+L99+J99</f>
        <v>12394130</v>
      </c>
      <c r="I99" s="126">
        <f>SUM(I100:I105)</f>
        <v>11794130</v>
      </c>
      <c r="J99" s="126"/>
      <c r="K99" s="126">
        <f>SUM(K100:K105)</f>
        <v>0</v>
      </c>
      <c r="L99" s="126">
        <f>L105</f>
        <v>600000</v>
      </c>
      <c r="M99"/>
      <c r="N99"/>
      <c r="O99"/>
      <c r="P99"/>
    </row>
    <row r="100" spans="1:16" s="32" customFormat="1" ht="21" customHeight="1">
      <c r="A100" s="24"/>
      <c r="B100" s="24"/>
      <c r="C100" s="90" t="s">
        <v>169</v>
      </c>
      <c r="D100" s="100" t="s">
        <v>142</v>
      </c>
      <c r="E100" s="44" t="s">
        <v>236</v>
      </c>
      <c r="F100" s="45">
        <v>7400000</v>
      </c>
      <c r="G100" s="112">
        <f>1004730+1400000</f>
        <v>2404730</v>
      </c>
      <c r="H100" s="147">
        <f>L100+K100+I100</f>
        <v>2000000</v>
      </c>
      <c r="I100" s="129">
        <v>2000000</v>
      </c>
      <c r="J100" s="49"/>
      <c r="K100" s="49"/>
      <c r="L100" s="49"/>
      <c r="M100"/>
      <c r="N100"/>
      <c r="O100"/>
      <c r="P100"/>
    </row>
    <row r="101" spans="1:16" s="32" customFormat="1" ht="21.75" customHeight="1">
      <c r="A101" s="24"/>
      <c r="B101" s="24"/>
      <c r="C101" s="47" t="s">
        <v>170</v>
      </c>
      <c r="D101" s="81" t="s">
        <v>313</v>
      </c>
      <c r="E101" s="162" t="s">
        <v>236</v>
      </c>
      <c r="F101" s="173">
        <v>5283078</v>
      </c>
      <c r="G101" s="174">
        <f>884089+1798989</f>
        <v>2683078</v>
      </c>
      <c r="H101" s="143">
        <f>I101+K101+L101</f>
        <v>1200000</v>
      </c>
      <c r="I101" s="130">
        <v>1200000</v>
      </c>
      <c r="J101" s="25"/>
      <c r="K101" s="25"/>
      <c r="L101" s="25"/>
      <c r="M101"/>
      <c r="N101"/>
      <c r="O101"/>
      <c r="P101"/>
    </row>
    <row r="102" spans="1:16" s="32" customFormat="1" ht="21" customHeight="1">
      <c r="A102" s="24"/>
      <c r="B102" s="24"/>
      <c r="C102" s="47" t="s">
        <v>171</v>
      </c>
      <c r="D102" s="56" t="s">
        <v>111</v>
      </c>
      <c r="E102" s="44" t="s">
        <v>235</v>
      </c>
      <c r="F102" s="45">
        <v>29031000</v>
      </c>
      <c r="G102" s="112">
        <f>15823989+2190000</f>
        <v>18013989</v>
      </c>
      <c r="H102" s="147">
        <f>I102+K102+L102</f>
        <v>4300000</v>
      </c>
      <c r="I102" s="129">
        <v>4300000</v>
      </c>
      <c r="J102" s="49"/>
      <c r="K102" s="49"/>
      <c r="L102" s="49"/>
      <c r="M102"/>
      <c r="N102"/>
      <c r="O102"/>
      <c r="P102"/>
    </row>
    <row r="103" spans="1:16" s="32" customFormat="1" ht="21" customHeight="1">
      <c r="A103" s="24"/>
      <c r="B103" s="24"/>
      <c r="C103" s="70" t="s">
        <v>172</v>
      </c>
      <c r="D103" s="56" t="s">
        <v>234</v>
      </c>
      <c r="E103" s="53" t="s">
        <v>123</v>
      </c>
      <c r="F103" s="54">
        <v>12401550</v>
      </c>
      <c r="G103" s="111">
        <f>10101550+2200000</f>
        <v>12301550</v>
      </c>
      <c r="H103" s="152">
        <f>L103+K103+I103</f>
        <v>100000</v>
      </c>
      <c r="I103" s="128">
        <v>100000</v>
      </c>
      <c r="J103" s="52"/>
      <c r="K103" s="52"/>
      <c r="L103" s="52"/>
      <c r="M103"/>
      <c r="N103"/>
      <c r="O103"/>
      <c r="P103"/>
    </row>
    <row r="104" spans="1:16" s="32" customFormat="1" ht="27.75" customHeight="1">
      <c r="A104" s="24"/>
      <c r="B104" s="24"/>
      <c r="C104" s="90" t="s">
        <v>191</v>
      </c>
      <c r="D104" s="81" t="s">
        <v>314</v>
      </c>
      <c r="E104" s="162" t="s">
        <v>103</v>
      </c>
      <c r="F104" s="370">
        <v>2463000</v>
      </c>
      <c r="G104" s="174">
        <f>343450+1200000</f>
        <v>1543450</v>
      </c>
      <c r="H104" s="152">
        <f>L104+K104+I104</f>
        <v>400000</v>
      </c>
      <c r="I104" s="123">
        <v>400000</v>
      </c>
      <c r="J104" s="25"/>
      <c r="K104" s="25"/>
      <c r="L104" s="25"/>
      <c r="M104"/>
      <c r="N104"/>
      <c r="O104"/>
      <c r="P104"/>
    </row>
    <row r="105" spans="1:16" s="32" customFormat="1" ht="18.75" customHeight="1">
      <c r="A105" s="24"/>
      <c r="B105" s="24"/>
      <c r="C105" s="74" t="s">
        <v>144</v>
      </c>
      <c r="D105" s="100" t="s">
        <v>350</v>
      </c>
      <c r="E105" s="101" t="s">
        <v>158</v>
      </c>
      <c r="F105" s="163">
        <f>12299330+149304</f>
        <v>12448634</v>
      </c>
      <c r="G105" s="164">
        <f>149304+1058800</f>
        <v>1208104</v>
      </c>
      <c r="H105" s="147">
        <f>I105+K105+L105+J105</f>
        <v>4394130</v>
      </c>
      <c r="I105" s="130">
        <f>1889130+1905000</f>
        <v>3794130</v>
      </c>
      <c r="J105" s="75"/>
      <c r="K105" s="75"/>
      <c r="L105" s="75">
        <v>600000</v>
      </c>
      <c r="M105"/>
      <c r="N105"/>
      <c r="O105"/>
      <c r="P105"/>
    </row>
    <row r="106" spans="1:16" s="29" customFormat="1" ht="21" customHeight="1">
      <c r="A106" s="40"/>
      <c r="B106" s="68">
        <v>80104</v>
      </c>
      <c r="C106" s="41" t="s">
        <v>143</v>
      </c>
      <c r="D106" s="183"/>
      <c r="E106" s="197"/>
      <c r="F106" s="35"/>
      <c r="G106" s="126">
        <f>G107</f>
        <v>248480</v>
      </c>
      <c r="H106" s="142">
        <f>I106+K106+L106+J106</f>
        <v>1053805</v>
      </c>
      <c r="I106" s="321">
        <f>I107+I108</f>
        <v>1053805</v>
      </c>
      <c r="J106" s="126"/>
      <c r="K106" s="126">
        <f>K107</f>
        <v>0</v>
      </c>
      <c r="L106" s="126"/>
      <c r="M106"/>
      <c r="N106"/>
      <c r="O106"/>
      <c r="P106"/>
    </row>
    <row r="107" spans="1:16" s="32" customFormat="1" ht="24.75" customHeight="1">
      <c r="A107" s="24"/>
      <c r="B107" s="24"/>
      <c r="C107" s="74" t="s">
        <v>144</v>
      </c>
      <c r="D107" s="100" t="s">
        <v>26</v>
      </c>
      <c r="E107" s="101" t="s">
        <v>103</v>
      </c>
      <c r="F107" s="163">
        <f>1082305+10980</f>
        <v>1093285</v>
      </c>
      <c r="G107" s="164">
        <f>10980+237500</f>
        <v>248480</v>
      </c>
      <c r="H107" s="147">
        <f>I107+K107+L107</f>
        <v>853805</v>
      </c>
      <c r="I107" s="130">
        <f>9000+844805</f>
        <v>853805</v>
      </c>
      <c r="J107" s="75"/>
      <c r="K107" s="75"/>
      <c r="L107" s="75"/>
      <c r="M107"/>
      <c r="N107"/>
      <c r="O107"/>
      <c r="P107"/>
    </row>
    <row r="108" spans="1:16" s="32" customFormat="1" ht="18.75" customHeight="1">
      <c r="A108" s="24"/>
      <c r="B108" s="24"/>
      <c r="C108" s="74" t="s">
        <v>59</v>
      </c>
      <c r="D108" s="100" t="s">
        <v>299</v>
      </c>
      <c r="E108" s="101">
        <v>2006</v>
      </c>
      <c r="F108" s="163"/>
      <c r="G108" s="164"/>
      <c r="H108" s="147">
        <f>I108+K108+L108</f>
        <v>200000</v>
      </c>
      <c r="I108" s="130">
        <v>200000</v>
      </c>
      <c r="J108" s="75"/>
      <c r="K108" s="75"/>
      <c r="L108" s="75"/>
      <c r="M108"/>
      <c r="N108"/>
      <c r="O108"/>
      <c r="P108"/>
    </row>
    <row r="109" spans="1:16" s="29" customFormat="1" ht="18.75" customHeight="1">
      <c r="A109" s="40"/>
      <c r="B109" s="68">
        <v>80110</v>
      </c>
      <c r="C109" s="41" t="s">
        <v>57</v>
      </c>
      <c r="D109" s="41"/>
      <c r="E109" s="197"/>
      <c r="F109" s="35"/>
      <c r="G109" s="109">
        <f>SUM(G110:G112)</f>
        <v>1380629</v>
      </c>
      <c r="H109" s="142">
        <f>I109+K109+L109</f>
        <v>3083300</v>
      </c>
      <c r="I109" s="126">
        <f>SUM(I110:I112)</f>
        <v>3083300</v>
      </c>
      <c r="J109" s="126"/>
      <c r="K109" s="126"/>
      <c r="L109" s="126"/>
      <c r="M109"/>
      <c r="N109"/>
      <c r="O109"/>
      <c r="P109"/>
    </row>
    <row r="110" spans="1:16" s="32" customFormat="1" ht="18.75" customHeight="1">
      <c r="A110" s="24"/>
      <c r="B110" s="24"/>
      <c r="C110" s="52" t="s">
        <v>108</v>
      </c>
      <c r="D110" s="81" t="s">
        <v>315</v>
      </c>
      <c r="E110" s="161" t="s">
        <v>83</v>
      </c>
      <c r="F110" s="48">
        <v>4372581</v>
      </c>
      <c r="G110" s="120">
        <f>743301+500000</f>
        <v>1243301</v>
      </c>
      <c r="H110" s="147">
        <f>I110+K110+L110</f>
        <v>2000000</v>
      </c>
      <c r="I110" s="128">
        <v>2000000</v>
      </c>
      <c r="J110" s="52"/>
      <c r="K110" s="52"/>
      <c r="L110" s="52"/>
      <c r="M110"/>
      <c r="N110"/>
      <c r="O110"/>
      <c r="P110"/>
    </row>
    <row r="111" spans="1:16" s="32" customFormat="1" ht="24" customHeight="1">
      <c r="A111" s="24"/>
      <c r="B111" s="24"/>
      <c r="C111" s="25" t="s">
        <v>91</v>
      </c>
      <c r="D111" s="322" t="s">
        <v>351</v>
      </c>
      <c r="E111" s="338">
        <v>2006</v>
      </c>
      <c r="F111" s="323"/>
      <c r="G111" s="107"/>
      <c r="H111" s="143">
        <f>I111</f>
        <v>80000</v>
      </c>
      <c r="I111" s="123">
        <v>80000</v>
      </c>
      <c r="J111" s="25"/>
      <c r="K111" s="25"/>
      <c r="L111" s="25"/>
      <c r="M111"/>
      <c r="N111"/>
      <c r="O111"/>
      <c r="P111"/>
    </row>
    <row r="112" spans="1:16" s="32" customFormat="1" ht="18.75" customHeight="1">
      <c r="A112" s="24"/>
      <c r="B112" s="36"/>
      <c r="C112" s="82" t="s">
        <v>144</v>
      </c>
      <c r="D112" s="248" t="s">
        <v>239</v>
      </c>
      <c r="E112" s="242" t="s">
        <v>158</v>
      </c>
      <c r="F112" s="251">
        <f>6420900+52143</f>
        <v>6473043</v>
      </c>
      <c r="G112" s="251">
        <f>52143+85185</f>
        <v>137328</v>
      </c>
      <c r="H112" s="153">
        <f>I112+K112+L112</f>
        <v>1003300</v>
      </c>
      <c r="I112" s="136">
        <v>1003300</v>
      </c>
      <c r="J112" s="51"/>
      <c r="K112" s="51"/>
      <c r="L112" s="51"/>
      <c r="M112"/>
      <c r="N112"/>
      <c r="O112"/>
      <c r="P112"/>
    </row>
    <row r="113" spans="1:16" s="32" customFormat="1" ht="18.75" customHeight="1">
      <c r="A113" s="24"/>
      <c r="B113" s="176">
        <v>80120</v>
      </c>
      <c r="C113" s="77" t="s">
        <v>90</v>
      </c>
      <c r="D113" s="249"/>
      <c r="E113" s="250"/>
      <c r="F113" s="77"/>
      <c r="G113" s="177">
        <f>G115+G114</f>
        <v>714161</v>
      </c>
      <c r="H113" s="149">
        <f>I113+K113+L113</f>
        <v>1074000</v>
      </c>
      <c r="I113" s="177">
        <f>I115+I114</f>
        <v>1074000</v>
      </c>
      <c r="J113" s="177"/>
      <c r="K113" s="177"/>
      <c r="L113" s="177"/>
      <c r="M113"/>
      <c r="N113"/>
      <c r="O113"/>
      <c r="P113"/>
    </row>
    <row r="114" spans="1:16" s="32" customFormat="1" ht="42" customHeight="1">
      <c r="A114" s="24"/>
      <c r="B114" s="24"/>
      <c r="C114" s="74" t="s">
        <v>186</v>
      </c>
      <c r="D114" s="100" t="s">
        <v>316</v>
      </c>
      <c r="E114" s="101" t="s">
        <v>103</v>
      </c>
      <c r="F114" s="163">
        <v>496727</v>
      </c>
      <c r="G114" s="163">
        <f>29661+165000</f>
        <v>194661</v>
      </c>
      <c r="H114" s="143">
        <f>I114+K114+L114</f>
        <v>267000</v>
      </c>
      <c r="I114" s="130">
        <v>267000</v>
      </c>
      <c r="J114" s="75"/>
      <c r="K114" s="75"/>
      <c r="L114" s="75"/>
      <c r="M114"/>
      <c r="N114"/>
      <c r="O114"/>
      <c r="P114"/>
    </row>
    <row r="115" spans="1:16" s="32" customFormat="1" ht="18.75" customHeight="1">
      <c r="A115" s="24"/>
      <c r="B115" s="36"/>
      <c r="C115" s="82" t="s">
        <v>168</v>
      </c>
      <c r="D115" s="248" t="s">
        <v>27</v>
      </c>
      <c r="E115" s="242" t="s">
        <v>103</v>
      </c>
      <c r="F115" s="251">
        <f>2804849+19500</f>
        <v>2824349</v>
      </c>
      <c r="G115" s="251">
        <f>19500+500000</f>
        <v>519500</v>
      </c>
      <c r="H115" s="153">
        <f>I115+K115+L115</f>
        <v>807000</v>
      </c>
      <c r="I115" s="136">
        <v>807000</v>
      </c>
      <c r="J115" s="51"/>
      <c r="K115" s="51"/>
      <c r="L115" s="51"/>
      <c r="M115"/>
      <c r="N115"/>
      <c r="O115"/>
      <c r="P115"/>
    </row>
    <row r="116" spans="1:16" s="29" customFormat="1" ht="18.75" customHeight="1">
      <c r="A116" s="40"/>
      <c r="B116" s="68">
        <v>80130</v>
      </c>
      <c r="C116" s="41" t="s">
        <v>72</v>
      </c>
      <c r="D116" s="41"/>
      <c r="E116" s="197"/>
      <c r="F116" s="35"/>
      <c r="G116" s="109">
        <f>SUM(G117:G119)</f>
        <v>37355951</v>
      </c>
      <c r="H116" s="142">
        <f>I116+K116+L116+J116</f>
        <v>9874300</v>
      </c>
      <c r="I116" s="126">
        <f>SUM(I117:I119)</f>
        <v>9074300</v>
      </c>
      <c r="J116" s="126"/>
      <c r="K116" s="126">
        <f>K119</f>
        <v>0</v>
      </c>
      <c r="L116" s="126">
        <f>L119</f>
        <v>800000</v>
      </c>
      <c r="M116"/>
      <c r="N116"/>
      <c r="O116"/>
      <c r="P116"/>
    </row>
    <row r="117" spans="1:16" s="245" customFormat="1" ht="18.75" customHeight="1">
      <c r="A117" s="243"/>
      <c r="B117" s="244"/>
      <c r="C117" s="252" t="s">
        <v>173</v>
      </c>
      <c r="D117" s="253" t="s">
        <v>187</v>
      </c>
      <c r="E117" s="254" t="s">
        <v>352</v>
      </c>
      <c r="F117" s="255">
        <v>10473416</v>
      </c>
      <c r="G117" s="256">
        <f>6973416+800000</f>
        <v>7773416</v>
      </c>
      <c r="H117" s="257">
        <f>SUM(I117:L117)</f>
        <v>2500000</v>
      </c>
      <c r="I117" s="258">
        <v>2500000</v>
      </c>
      <c r="J117" s="258"/>
      <c r="K117" s="258"/>
      <c r="L117" s="258"/>
      <c r="M117" s="4"/>
      <c r="N117" s="4"/>
      <c r="O117" s="4"/>
      <c r="P117" s="4"/>
    </row>
    <row r="118" spans="1:16" s="32" customFormat="1" ht="26.25" customHeight="1">
      <c r="A118" s="36"/>
      <c r="B118" s="36"/>
      <c r="C118" s="62" t="s">
        <v>174</v>
      </c>
      <c r="D118" s="92" t="s">
        <v>318</v>
      </c>
      <c r="E118" s="84" t="s">
        <v>317</v>
      </c>
      <c r="F118" s="347">
        <v>32591335</v>
      </c>
      <c r="G118" s="117">
        <f>26691335+2635000</f>
        <v>29326335</v>
      </c>
      <c r="H118" s="148">
        <f>SUM(I118:L118)</f>
        <v>2000000</v>
      </c>
      <c r="I118" s="133">
        <v>2000000</v>
      </c>
      <c r="J118" s="133"/>
      <c r="K118" s="133"/>
      <c r="L118" s="62"/>
      <c r="M118"/>
      <c r="N118"/>
      <c r="O118"/>
      <c r="P118"/>
    </row>
    <row r="119" spans="1:16" s="32" customFormat="1" ht="55.5" customHeight="1">
      <c r="A119" s="42"/>
      <c r="B119" s="37"/>
      <c r="C119" s="38" t="s">
        <v>168</v>
      </c>
      <c r="D119" s="91" t="s">
        <v>341</v>
      </c>
      <c r="E119" s="72" t="s">
        <v>124</v>
      </c>
      <c r="F119" s="73">
        <f>16873200+256200</f>
        <v>17129400</v>
      </c>
      <c r="G119" s="73">
        <f>140300+115900</f>
        <v>256200</v>
      </c>
      <c r="H119" s="150">
        <f>I119+K119+L119+J119</f>
        <v>5374300</v>
      </c>
      <c r="I119" s="135">
        <f>2590900+1983400</f>
        <v>4574300</v>
      </c>
      <c r="J119" s="39"/>
      <c r="K119" s="39"/>
      <c r="L119" s="39">
        <v>800000</v>
      </c>
      <c r="M119"/>
      <c r="N119"/>
      <c r="O119"/>
      <c r="P119"/>
    </row>
    <row r="120" spans="1:16" s="29" customFormat="1" ht="48.75" customHeight="1" hidden="1">
      <c r="A120" s="40"/>
      <c r="B120" s="68">
        <v>80140</v>
      </c>
      <c r="C120" s="41" t="s">
        <v>238</v>
      </c>
      <c r="D120" s="41"/>
      <c r="E120" s="197"/>
      <c r="F120" s="35"/>
      <c r="G120" s="109">
        <f>SUM(G121:G121)</f>
        <v>0</v>
      </c>
      <c r="H120" s="142">
        <f>I120+K120+L120</f>
        <v>0</v>
      </c>
      <c r="I120" s="126">
        <f>SUM(I121:I121)</f>
        <v>0</v>
      </c>
      <c r="J120" s="126"/>
      <c r="K120" s="126"/>
      <c r="L120" s="126"/>
      <c r="M120"/>
      <c r="N120"/>
      <c r="O120"/>
      <c r="P120"/>
    </row>
    <row r="121" spans="1:16" s="245" customFormat="1" ht="27" customHeight="1" hidden="1">
      <c r="A121" s="243"/>
      <c r="B121" s="244"/>
      <c r="C121" s="252" t="s">
        <v>147</v>
      </c>
      <c r="D121" s="248" t="s">
        <v>240</v>
      </c>
      <c r="E121" s="254" t="s">
        <v>120</v>
      </c>
      <c r="F121" s="255">
        <v>3300000</v>
      </c>
      <c r="G121" s="256"/>
      <c r="H121" s="257">
        <f>SUM(I121:L121)</f>
        <v>0</v>
      </c>
      <c r="I121" s="258"/>
      <c r="J121" s="258"/>
      <c r="K121" s="258"/>
      <c r="L121" s="258"/>
      <c r="M121" s="4"/>
      <c r="N121" s="4"/>
      <c r="O121" s="4"/>
      <c r="P121" s="4"/>
    </row>
    <row r="122" spans="1:16" s="32" customFormat="1" ht="24" customHeight="1">
      <c r="A122" s="30">
        <v>851</v>
      </c>
      <c r="B122" s="30"/>
      <c r="C122" s="59" t="s">
        <v>58</v>
      </c>
      <c r="D122" s="64"/>
      <c r="E122" s="198"/>
      <c r="F122" s="132"/>
      <c r="G122" s="132"/>
      <c r="H122" s="146">
        <f>I122+K122+L122</f>
        <v>765000</v>
      </c>
      <c r="I122" s="132">
        <f>I125+I123</f>
        <v>765000</v>
      </c>
      <c r="J122" s="132"/>
      <c r="K122" s="132"/>
      <c r="L122" s="132"/>
      <c r="M122"/>
      <c r="N122"/>
      <c r="O122"/>
      <c r="P122"/>
    </row>
    <row r="123" spans="1:16" s="32" customFormat="1" ht="18.75" customHeight="1" hidden="1">
      <c r="A123" s="24" t="s">
        <v>89</v>
      </c>
      <c r="B123" s="176">
        <v>85121</v>
      </c>
      <c r="C123" s="193" t="s">
        <v>145</v>
      </c>
      <c r="D123" s="80"/>
      <c r="E123" s="99"/>
      <c r="F123" s="177"/>
      <c r="G123" s="177"/>
      <c r="H123" s="142">
        <f>I123+K123+L123</f>
        <v>0</v>
      </c>
      <c r="I123" s="177">
        <f>SUM(I124:I124)</f>
        <v>0</v>
      </c>
      <c r="J123" s="177"/>
      <c r="K123" s="177"/>
      <c r="L123" s="177"/>
      <c r="M123"/>
      <c r="N123"/>
      <c r="O123"/>
      <c r="P123"/>
    </row>
    <row r="124" spans="1:16" s="32" customFormat="1" ht="18.75" customHeight="1" hidden="1">
      <c r="A124" s="24"/>
      <c r="B124" s="42"/>
      <c r="C124" s="237" t="s">
        <v>164</v>
      </c>
      <c r="D124" s="239" t="s">
        <v>181</v>
      </c>
      <c r="E124" s="240">
        <v>2005</v>
      </c>
      <c r="F124" s="230"/>
      <c r="G124" s="227"/>
      <c r="H124" s="228">
        <f>I124+K124+L124</f>
        <v>0</v>
      </c>
      <c r="I124" s="229"/>
      <c r="J124" s="229"/>
      <c r="K124" s="229"/>
      <c r="L124" s="229"/>
      <c r="M124"/>
      <c r="N124"/>
      <c r="O124"/>
      <c r="P124"/>
    </row>
    <row r="125" spans="1:16" s="32" customFormat="1" ht="27" customHeight="1">
      <c r="A125" s="24" t="s">
        <v>89</v>
      </c>
      <c r="B125" s="103">
        <v>85154</v>
      </c>
      <c r="C125" s="104" t="s">
        <v>97</v>
      </c>
      <c r="D125" s="60"/>
      <c r="E125" s="264"/>
      <c r="F125" s="137"/>
      <c r="G125" s="137"/>
      <c r="H125" s="142">
        <f>I125+K125+L125</f>
        <v>765000</v>
      </c>
      <c r="I125" s="137">
        <f>SUM(I126:I128)</f>
        <v>765000</v>
      </c>
      <c r="J125" s="137"/>
      <c r="K125" s="137"/>
      <c r="L125" s="137"/>
      <c r="M125"/>
      <c r="N125"/>
      <c r="O125"/>
      <c r="P125"/>
    </row>
    <row r="126" spans="1:16" s="32" customFormat="1" ht="24" customHeight="1">
      <c r="A126" s="24"/>
      <c r="B126" s="42"/>
      <c r="C126" s="43" t="s">
        <v>91</v>
      </c>
      <c r="D126" s="63" t="s">
        <v>386</v>
      </c>
      <c r="E126" s="165">
        <v>2006</v>
      </c>
      <c r="F126" s="46"/>
      <c r="G126" s="115"/>
      <c r="H126" s="228">
        <f>I126+K126+L126</f>
        <v>700000</v>
      </c>
      <c r="I126" s="127">
        <f>600000+100000</f>
        <v>700000</v>
      </c>
      <c r="J126" s="127"/>
      <c r="K126" s="127"/>
      <c r="L126" s="127"/>
      <c r="M126"/>
      <c r="N126"/>
      <c r="O126"/>
      <c r="P126"/>
    </row>
    <row r="127" spans="1:16" s="32" customFormat="1" ht="21.75" customHeight="1" hidden="1">
      <c r="A127" s="24"/>
      <c r="B127" s="24"/>
      <c r="C127" s="329" t="s">
        <v>296</v>
      </c>
      <c r="D127" s="156" t="s">
        <v>255</v>
      </c>
      <c r="E127" s="263">
        <v>2006</v>
      </c>
      <c r="F127" s="123"/>
      <c r="G127" s="26"/>
      <c r="H127" s="143">
        <f>I127</f>
        <v>0</v>
      </c>
      <c r="I127" s="123"/>
      <c r="J127" s="123"/>
      <c r="K127" s="123"/>
      <c r="L127" s="123"/>
      <c r="M127"/>
      <c r="N127"/>
      <c r="O127"/>
      <c r="P127"/>
    </row>
    <row r="128" spans="1:16" s="32" customFormat="1" ht="26.25" customHeight="1">
      <c r="A128" s="24"/>
      <c r="B128" s="24"/>
      <c r="C128" s="82" t="s">
        <v>50</v>
      </c>
      <c r="D128" s="171" t="s">
        <v>337</v>
      </c>
      <c r="E128" s="327">
        <v>2006</v>
      </c>
      <c r="F128" s="136"/>
      <c r="G128" s="328"/>
      <c r="H128" s="153">
        <f>I128</f>
        <v>65000</v>
      </c>
      <c r="I128" s="136">
        <v>65000</v>
      </c>
      <c r="J128" s="136"/>
      <c r="K128" s="136"/>
      <c r="L128" s="136"/>
      <c r="M128"/>
      <c r="N128"/>
      <c r="O128"/>
      <c r="P128"/>
    </row>
    <row r="129" spans="1:16" s="32" customFormat="1" ht="24.75" customHeight="1">
      <c r="A129" s="30">
        <v>852</v>
      </c>
      <c r="B129" s="30"/>
      <c r="C129" s="59" t="s">
        <v>92</v>
      </c>
      <c r="D129" s="64"/>
      <c r="E129" s="198"/>
      <c r="F129" s="132"/>
      <c r="G129" s="132">
        <f>G130+G134</f>
        <v>1366611</v>
      </c>
      <c r="H129" s="146">
        <f>I129+K129+L129</f>
        <v>3456495</v>
      </c>
      <c r="I129" s="192">
        <f>I134+I140+I130+I142</f>
        <v>3456495</v>
      </c>
      <c r="J129" s="192"/>
      <c r="K129" s="192">
        <f>K134</f>
        <v>0</v>
      </c>
      <c r="L129" s="192"/>
      <c r="M129"/>
      <c r="N129"/>
      <c r="O129"/>
      <c r="P129"/>
    </row>
    <row r="130" spans="1:16" s="29" customFormat="1" ht="25.5" customHeight="1">
      <c r="A130" s="40"/>
      <c r="B130" s="27">
        <v>85201</v>
      </c>
      <c r="C130" s="58" t="s">
        <v>146</v>
      </c>
      <c r="D130" s="65"/>
      <c r="E130" s="199"/>
      <c r="F130" s="134"/>
      <c r="G130" s="134">
        <f>G131</f>
        <v>200000</v>
      </c>
      <c r="H130" s="149">
        <f>I130+K130+L130</f>
        <v>980000</v>
      </c>
      <c r="I130" s="134">
        <f>SUM(I131:I133)</f>
        <v>980000</v>
      </c>
      <c r="J130" s="134"/>
      <c r="K130" s="134"/>
      <c r="L130" s="134"/>
      <c r="M130"/>
      <c r="N130"/>
      <c r="O130"/>
      <c r="P130"/>
    </row>
    <row r="131" spans="1:16" s="29" customFormat="1" ht="42.75" customHeight="1">
      <c r="A131" s="40"/>
      <c r="B131" s="33"/>
      <c r="C131" s="266" t="s">
        <v>59</v>
      </c>
      <c r="D131" s="63" t="s">
        <v>378</v>
      </c>
      <c r="E131" s="222" t="s">
        <v>126</v>
      </c>
      <c r="F131" s="258">
        <f>364532+23000</f>
        <v>387532</v>
      </c>
      <c r="G131" s="271">
        <v>200000</v>
      </c>
      <c r="H131" s="257">
        <f>I131</f>
        <v>163000</v>
      </c>
      <c r="I131" s="258">
        <v>163000</v>
      </c>
      <c r="J131" s="265"/>
      <c r="K131" s="265"/>
      <c r="L131" s="265"/>
      <c r="M131"/>
      <c r="N131"/>
      <c r="O131"/>
      <c r="P131"/>
    </row>
    <row r="132" spans="1:16" s="29" customFormat="1" ht="32.25" customHeight="1">
      <c r="A132" s="40"/>
      <c r="B132" s="40"/>
      <c r="C132" s="330" t="s">
        <v>297</v>
      </c>
      <c r="D132" s="81" t="s">
        <v>16</v>
      </c>
      <c r="E132" s="217">
        <v>2006</v>
      </c>
      <c r="F132" s="331"/>
      <c r="G132" s="332"/>
      <c r="H132" s="333">
        <f>I132</f>
        <v>800000</v>
      </c>
      <c r="I132" s="334">
        <v>800000</v>
      </c>
      <c r="J132" s="331"/>
      <c r="K132" s="331"/>
      <c r="L132" s="331"/>
      <c r="M132"/>
      <c r="N132"/>
      <c r="O132"/>
      <c r="P132"/>
    </row>
    <row r="133" spans="1:16" s="89" customFormat="1" ht="28.5" customHeight="1">
      <c r="A133" s="24"/>
      <c r="B133" s="36"/>
      <c r="C133" s="62" t="s">
        <v>50</v>
      </c>
      <c r="D133" s="80" t="s">
        <v>353</v>
      </c>
      <c r="E133" s="170">
        <v>2006</v>
      </c>
      <c r="F133" s="62"/>
      <c r="G133" s="117"/>
      <c r="H133" s="148">
        <f>I133+K133+L133</f>
        <v>17000</v>
      </c>
      <c r="I133" s="133">
        <v>17000</v>
      </c>
      <c r="J133" s="62"/>
      <c r="K133" s="62"/>
      <c r="L133" s="62"/>
      <c r="M133"/>
      <c r="N133"/>
      <c r="O133"/>
      <c r="P133"/>
    </row>
    <row r="134" spans="1:16" s="29" customFormat="1" ht="24.75" customHeight="1">
      <c r="A134" s="40"/>
      <c r="B134" s="27">
        <v>85202</v>
      </c>
      <c r="C134" s="58" t="s">
        <v>60</v>
      </c>
      <c r="D134" s="65"/>
      <c r="E134" s="199"/>
      <c r="F134" s="134"/>
      <c r="G134" s="134">
        <f>G137+G135</f>
        <v>1166611</v>
      </c>
      <c r="H134" s="149">
        <f>I134+K134+L134</f>
        <v>2476495</v>
      </c>
      <c r="I134" s="134">
        <f>SUM(I135:I139)</f>
        <v>2476495</v>
      </c>
      <c r="J134" s="134"/>
      <c r="K134" s="134">
        <f>K137</f>
        <v>0</v>
      </c>
      <c r="L134" s="134"/>
      <c r="M134"/>
      <c r="N134"/>
      <c r="O134"/>
      <c r="P134"/>
    </row>
    <row r="135" spans="1:16" s="89" customFormat="1" ht="48" customHeight="1">
      <c r="A135" s="24"/>
      <c r="B135" s="42"/>
      <c r="C135" s="381" t="s">
        <v>354</v>
      </c>
      <c r="D135" s="63" t="s">
        <v>15</v>
      </c>
      <c r="E135" s="165" t="s">
        <v>126</v>
      </c>
      <c r="F135" s="46">
        <v>293859</v>
      </c>
      <c r="G135" s="115">
        <v>8100</v>
      </c>
      <c r="H135" s="144">
        <f>I135+K135+L135</f>
        <v>188300</v>
      </c>
      <c r="I135" s="127">
        <v>188300</v>
      </c>
      <c r="J135" s="46"/>
      <c r="K135" s="46"/>
      <c r="L135" s="46"/>
      <c r="M135"/>
      <c r="N135"/>
      <c r="O135"/>
      <c r="P135"/>
    </row>
    <row r="136" spans="1:16" s="89" customFormat="1" ht="32.25" customHeight="1">
      <c r="A136" s="24"/>
      <c r="B136" s="24"/>
      <c r="C136" s="382" t="s">
        <v>18</v>
      </c>
      <c r="D136" s="83" t="s">
        <v>17</v>
      </c>
      <c r="E136" s="169">
        <v>2006</v>
      </c>
      <c r="F136" s="52"/>
      <c r="G136" s="120"/>
      <c r="H136" s="152">
        <f>I136+K136+L136</f>
        <v>100000</v>
      </c>
      <c r="I136" s="128">
        <v>100000</v>
      </c>
      <c r="J136" s="52"/>
      <c r="K136" s="52"/>
      <c r="L136" s="52"/>
      <c r="M136"/>
      <c r="N136"/>
      <c r="O136"/>
      <c r="P136"/>
    </row>
    <row r="137" spans="1:16" s="26" customFormat="1" ht="33" customHeight="1">
      <c r="A137" s="24"/>
      <c r="B137" s="24"/>
      <c r="C137" s="90" t="s">
        <v>19</v>
      </c>
      <c r="D137" s="156" t="s">
        <v>20</v>
      </c>
      <c r="E137" s="263" t="s">
        <v>158</v>
      </c>
      <c r="F137" s="25">
        <f>3492001+187427</f>
        <v>3679428</v>
      </c>
      <c r="G137" s="26">
        <f>187427+971084</f>
        <v>1158511</v>
      </c>
      <c r="H137" s="139">
        <f>I137+K137+L137</f>
        <v>1888195</v>
      </c>
      <c r="I137" s="123">
        <f>1010000+878195</f>
        <v>1888195</v>
      </c>
      <c r="J137" s="123"/>
      <c r="K137" s="123"/>
      <c r="L137" s="123"/>
      <c r="M137"/>
      <c r="N137"/>
      <c r="O137"/>
      <c r="P137"/>
    </row>
    <row r="138" spans="1:16" s="26" customFormat="1" ht="25.5" customHeight="1">
      <c r="A138" s="24"/>
      <c r="B138" s="24"/>
      <c r="C138" s="47" t="s">
        <v>241</v>
      </c>
      <c r="D138" s="81" t="s">
        <v>242</v>
      </c>
      <c r="E138" s="303" t="s">
        <v>243</v>
      </c>
      <c r="F138" s="129">
        <v>9578000</v>
      </c>
      <c r="G138" s="304"/>
      <c r="H138" s="147">
        <f>I138</f>
        <v>300000</v>
      </c>
      <c r="I138" s="129">
        <v>300000</v>
      </c>
      <c r="J138" s="129"/>
      <c r="K138" s="129"/>
      <c r="L138" s="129"/>
      <c r="M138"/>
      <c r="N138"/>
      <c r="O138"/>
      <c r="P138"/>
    </row>
    <row r="139" spans="1:16" s="29" customFormat="1" ht="27.75" customHeight="1" hidden="1">
      <c r="A139" s="40"/>
      <c r="B139" s="27"/>
      <c r="C139" s="267" t="s">
        <v>59</v>
      </c>
      <c r="D139" s="171" t="s">
        <v>336</v>
      </c>
      <c r="E139" s="172">
        <v>2006</v>
      </c>
      <c r="F139" s="268"/>
      <c r="G139" s="269"/>
      <c r="H139" s="270">
        <f>I139</f>
        <v>0</v>
      </c>
      <c r="I139" s="241"/>
      <c r="J139" s="268"/>
      <c r="K139" s="268"/>
      <c r="L139" s="268"/>
      <c r="M139"/>
      <c r="N139"/>
      <c r="O139"/>
      <c r="P139"/>
    </row>
    <row r="140" spans="1:16" s="26" customFormat="1" ht="21.75" customHeight="1" hidden="1">
      <c r="A140" s="24"/>
      <c r="B140" s="34">
        <v>85203</v>
      </c>
      <c r="C140" s="35" t="s">
        <v>73</v>
      </c>
      <c r="D140" s="60"/>
      <c r="E140" s="168"/>
      <c r="F140" s="39"/>
      <c r="G140" s="137"/>
      <c r="H140" s="154">
        <f aca="true" t="shared" si="5" ref="H140:H145">I140+K140+L140</f>
        <v>0</v>
      </c>
      <c r="I140" s="137">
        <f>SUM(I141:I141)</f>
        <v>0</v>
      </c>
      <c r="J140" s="137"/>
      <c r="K140" s="137"/>
      <c r="L140" s="137"/>
      <c r="M140"/>
      <c r="N140"/>
      <c r="O140"/>
      <c r="P140"/>
    </row>
    <row r="141" spans="1:16" s="26" customFormat="1" ht="24" customHeight="1" hidden="1">
      <c r="A141" s="24"/>
      <c r="B141" s="42"/>
      <c r="C141" s="230" t="s">
        <v>59</v>
      </c>
      <c r="D141" s="239" t="s">
        <v>282</v>
      </c>
      <c r="E141" s="240">
        <v>2006</v>
      </c>
      <c r="F141" s="230"/>
      <c r="G141" s="227"/>
      <c r="H141" s="228">
        <f t="shared" si="5"/>
        <v>0</v>
      </c>
      <c r="I141" s="229"/>
      <c r="J141" s="229"/>
      <c r="K141" s="229"/>
      <c r="L141" s="229"/>
      <c r="M141"/>
      <c r="N141"/>
      <c r="O141"/>
      <c r="P141"/>
    </row>
    <row r="142" spans="1:16" s="26" customFormat="1" ht="20.25" customHeight="1" hidden="1">
      <c r="A142" s="24"/>
      <c r="B142" s="34">
        <v>85219</v>
      </c>
      <c r="C142" s="35" t="s">
        <v>106</v>
      </c>
      <c r="D142" s="60"/>
      <c r="E142" s="168"/>
      <c r="F142" s="39"/>
      <c r="G142" s="137"/>
      <c r="H142" s="154">
        <f t="shared" si="5"/>
        <v>0</v>
      </c>
      <c r="I142" s="137">
        <f>SUM(I143:I143)</f>
        <v>0</v>
      </c>
      <c r="J142" s="137"/>
      <c r="K142" s="137"/>
      <c r="L142" s="137"/>
      <c r="M142"/>
      <c r="N142"/>
      <c r="O142"/>
      <c r="P142"/>
    </row>
    <row r="143" spans="1:16" s="26" customFormat="1" ht="19.5" customHeight="1" hidden="1">
      <c r="A143" s="24"/>
      <c r="B143" s="42"/>
      <c r="C143" s="230" t="s">
        <v>50</v>
      </c>
      <c r="D143" s="239" t="s">
        <v>148</v>
      </c>
      <c r="E143" s="240">
        <v>2006</v>
      </c>
      <c r="F143" s="230"/>
      <c r="G143" s="227"/>
      <c r="H143" s="228">
        <f t="shared" si="5"/>
        <v>0</v>
      </c>
      <c r="I143" s="229"/>
      <c r="J143" s="229"/>
      <c r="K143" s="229"/>
      <c r="L143" s="229"/>
      <c r="M143"/>
      <c r="N143"/>
      <c r="O143"/>
      <c r="P143"/>
    </row>
    <row r="144" spans="1:16" s="32" customFormat="1" ht="24.75" customHeight="1">
      <c r="A144" s="30">
        <v>853</v>
      </c>
      <c r="B144" s="30"/>
      <c r="C144" s="64" t="s">
        <v>110</v>
      </c>
      <c r="D144" s="64"/>
      <c r="E144" s="198"/>
      <c r="F144" s="132"/>
      <c r="G144" s="132">
        <f>G148</f>
        <v>379803</v>
      </c>
      <c r="H144" s="146">
        <f t="shared" si="5"/>
        <v>610250</v>
      </c>
      <c r="I144" s="192">
        <f>I145+I148</f>
        <v>610250</v>
      </c>
      <c r="J144" s="192"/>
      <c r="K144" s="192">
        <f>K149</f>
        <v>0</v>
      </c>
      <c r="L144" s="192"/>
      <c r="M144"/>
      <c r="N144"/>
      <c r="O144"/>
      <c r="P144"/>
    </row>
    <row r="145" spans="1:16" s="29" customFormat="1" ht="24.75" customHeight="1">
      <c r="A145" s="40"/>
      <c r="B145" s="27">
        <v>85305</v>
      </c>
      <c r="C145" s="58" t="s">
        <v>149</v>
      </c>
      <c r="D145" s="65"/>
      <c r="E145" s="199"/>
      <c r="F145" s="134"/>
      <c r="G145" s="134"/>
      <c r="H145" s="149">
        <f t="shared" si="5"/>
        <v>300000</v>
      </c>
      <c r="I145" s="134">
        <f>I147+I146</f>
        <v>300000</v>
      </c>
      <c r="J145" s="134"/>
      <c r="K145" s="134"/>
      <c r="L145" s="134"/>
      <c r="M145"/>
      <c r="N145"/>
      <c r="O145"/>
      <c r="P145"/>
    </row>
    <row r="146" spans="1:16" s="26" customFormat="1" ht="24.75" customHeight="1">
      <c r="A146" s="24"/>
      <c r="B146" s="24"/>
      <c r="C146" s="74" t="s">
        <v>168</v>
      </c>
      <c r="D146" s="156" t="s">
        <v>377</v>
      </c>
      <c r="E146" s="305">
        <v>2006</v>
      </c>
      <c r="F146" s="130"/>
      <c r="G146" s="232"/>
      <c r="H146" s="143">
        <f>I146</f>
        <v>300000</v>
      </c>
      <c r="I146" s="130">
        <v>300000</v>
      </c>
      <c r="J146" s="130"/>
      <c r="K146" s="130"/>
      <c r="L146" s="130"/>
      <c r="M146"/>
      <c r="N146"/>
      <c r="O146"/>
      <c r="P146"/>
    </row>
    <row r="147" spans="1:16" s="29" customFormat="1" ht="24.75" customHeight="1" hidden="1">
      <c r="A147" s="40"/>
      <c r="B147" s="27"/>
      <c r="C147" s="267" t="s">
        <v>50</v>
      </c>
      <c r="D147" s="171"/>
      <c r="E147" s="172">
        <v>2006</v>
      </c>
      <c r="F147" s="268"/>
      <c r="G147" s="269"/>
      <c r="H147" s="270">
        <f>I147</f>
        <v>0</v>
      </c>
      <c r="I147" s="241"/>
      <c r="J147" s="268"/>
      <c r="K147" s="268"/>
      <c r="L147" s="268"/>
      <c r="M147"/>
      <c r="N147"/>
      <c r="O147"/>
      <c r="P147"/>
    </row>
    <row r="148" spans="1:16" s="29" customFormat="1" ht="25.5" customHeight="1">
      <c r="A148" s="40"/>
      <c r="B148" s="34">
        <v>85333</v>
      </c>
      <c r="C148" s="35" t="s">
        <v>150</v>
      </c>
      <c r="D148" s="41"/>
      <c r="E148" s="197"/>
      <c r="F148" s="126"/>
      <c r="G148" s="126">
        <f>G149</f>
        <v>379803</v>
      </c>
      <c r="H148" s="142">
        <f>I148+K148+L148</f>
        <v>310250</v>
      </c>
      <c r="I148" s="126">
        <f>I149</f>
        <v>310250</v>
      </c>
      <c r="J148" s="126"/>
      <c r="K148" s="126">
        <f>K149</f>
        <v>0</v>
      </c>
      <c r="L148" s="126"/>
      <c r="M148"/>
      <c r="N148"/>
      <c r="O148"/>
      <c r="P148"/>
    </row>
    <row r="149" spans="1:16" s="29" customFormat="1" ht="25.5" customHeight="1">
      <c r="A149" s="40"/>
      <c r="B149" s="33"/>
      <c r="C149" s="266" t="s">
        <v>147</v>
      </c>
      <c r="D149" s="63" t="s">
        <v>335</v>
      </c>
      <c r="E149" s="222" t="s">
        <v>103</v>
      </c>
      <c r="F149" s="258">
        <f>651429+35624</f>
        <v>687053</v>
      </c>
      <c r="G149" s="271">
        <f>35624+344179</f>
        <v>379803</v>
      </c>
      <c r="H149" s="257">
        <f>I149+K149</f>
        <v>310250</v>
      </c>
      <c r="I149" s="258">
        <f>62750+247500</f>
        <v>310250</v>
      </c>
      <c r="J149" s="258"/>
      <c r="K149" s="258"/>
      <c r="L149" s="265"/>
      <c r="M149"/>
      <c r="N149"/>
      <c r="O149"/>
      <c r="P149"/>
    </row>
    <row r="150" spans="1:16" s="32" customFormat="1" ht="25.5" customHeight="1">
      <c r="A150" s="30">
        <v>854</v>
      </c>
      <c r="B150" s="30"/>
      <c r="C150" s="64" t="s">
        <v>244</v>
      </c>
      <c r="D150" s="64"/>
      <c r="E150" s="198"/>
      <c r="F150" s="132"/>
      <c r="G150" s="132"/>
      <c r="H150" s="146">
        <f>I150+K150+L150</f>
        <v>100000</v>
      </c>
      <c r="I150" s="192">
        <f>I151+I154</f>
        <v>100000</v>
      </c>
      <c r="J150" s="192"/>
      <c r="K150" s="192"/>
      <c r="L150" s="192"/>
      <c r="M150"/>
      <c r="N150"/>
      <c r="O150"/>
      <c r="P150"/>
    </row>
    <row r="151" spans="1:16" s="29" customFormat="1" ht="25.5" customHeight="1">
      <c r="A151" s="40"/>
      <c r="B151" s="27">
        <v>85403</v>
      </c>
      <c r="C151" s="58" t="s">
        <v>245</v>
      </c>
      <c r="D151" s="65"/>
      <c r="E151" s="199"/>
      <c r="F151" s="134"/>
      <c r="G151" s="134"/>
      <c r="H151" s="149">
        <f>I151+K151+L151</f>
        <v>100000</v>
      </c>
      <c r="I151" s="134">
        <f>I152</f>
        <v>100000</v>
      </c>
      <c r="J151" s="134"/>
      <c r="K151" s="134"/>
      <c r="L151" s="134"/>
      <c r="M151"/>
      <c r="N151"/>
      <c r="O151"/>
      <c r="P151"/>
    </row>
    <row r="152" spans="1:16" s="26" customFormat="1" ht="25.5" customHeight="1">
      <c r="A152" s="36"/>
      <c r="B152" s="37"/>
      <c r="C152" s="38" t="s">
        <v>147</v>
      </c>
      <c r="D152" s="60" t="s">
        <v>355</v>
      </c>
      <c r="E152" s="168" t="s">
        <v>243</v>
      </c>
      <c r="F152" s="135">
        <v>6200000</v>
      </c>
      <c r="G152" s="310"/>
      <c r="H152" s="150">
        <f>I152</f>
        <v>100000</v>
      </c>
      <c r="I152" s="135">
        <v>100000</v>
      </c>
      <c r="J152" s="135"/>
      <c r="K152" s="135"/>
      <c r="L152" s="135"/>
      <c r="M152"/>
      <c r="N152"/>
      <c r="O152"/>
      <c r="P152"/>
    </row>
    <row r="153" spans="1:16" s="29" customFormat="1" ht="24.75" customHeight="1" hidden="1">
      <c r="A153" s="34"/>
      <c r="B153" s="34"/>
      <c r="C153" s="311" t="s">
        <v>50</v>
      </c>
      <c r="D153" s="60" t="s">
        <v>188</v>
      </c>
      <c r="E153" s="312">
        <v>2005</v>
      </c>
      <c r="F153" s="126"/>
      <c r="G153" s="313"/>
      <c r="H153" s="314">
        <f>I153</f>
        <v>0</v>
      </c>
      <c r="I153" s="315"/>
      <c r="J153" s="126"/>
      <c r="K153" s="126"/>
      <c r="L153" s="126"/>
      <c r="M153"/>
      <c r="N153"/>
      <c r="O153"/>
      <c r="P153"/>
    </row>
    <row r="154" spans="1:16" s="29" customFormat="1" ht="24.75" customHeight="1" hidden="1">
      <c r="A154" s="34"/>
      <c r="B154" s="34">
        <v>85410</v>
      </c>
      <c r="C154" s="35" t="s">
        <v>268</v>
      </c>
      <c r="D154" s="41"/>
      <c r="E154" s="197"/>
      <c r="F154" s="126"/>
      <c r="G154" s="126"/>
      <c r="H154" s="142">
        <f>I154+K154+L154</f>
        <v>0</v>
      </c>
      <c r="I154" s="126">
        <f>I155</f>
        <v>0</v>
      </c>
      <c r="J154" s="126"/>
      <c r="K154" s="126"/>
      <c r="L154" s="126"/>
      <c r="M154"/>
      <c r="N154"/>
      <c r="O154"/>
      <c r="P154"/>
    </row>
    <row r="155" spans="1:16" s="26" customFormat="1" ht="24.75" customHeight="1" hidden="1">
      <c r="A155" s="37"/>
      <c r="B155" s="37"/>
      <c r="C155" s="38" t="s">
        <v>147</v>
      </c>
      <c r="D155" s="60" t="s">
        <v>269</v>
      </c>
      <c r="E155" s="168">
        <v>2006</v>
      </c>
      <c r="F155" s="135">
        <v>6200000</v>
      </c>
      <c r="G155" s="310"/>
      <c r="H155" s="150">
        <f>I155</f>
        <v>0</v>
      </c>
      <c r="I155" s="135"/>
      <c r="J155" s="135"/>
      <c r="K155" s="135"/>
      <c r="L155" s="135"/>
      <c r="M155"/>
      <c r="N155"/>
      <c r="O155"/>
      <c r="P155"/>
    </row>
    <row r="156" spans="1:16" s="32" customFormat="1" ht="19.5" customHeight="1">
      <c r="A156" s="93">
        <v>900</v>
      </c>
      <c r="B156" s="30"/>
      <c r="C156" s="64" t="s">
        <v>61</v>
      </c>
      <c r="D156" s="64"/>
      <c r="E156" s="198"/>
      <c r="F156" s="59"/>
      <c r="G156" s="132">
        <f>G157+G175+G188</f>
        <v>45027109</v>
      </c>
      <c r="H156" s="146">
        <f>I156+K156+L156</f>
        <v>31708000</v>
      </c>
      <c r="I156" s="132">
        <f>I157+I175+I188+I179+I181+I186+I184</f>
        <v>31208000</v>
      </c>
      <c r="J156" s="132"/>
      <c r="K156" s="132">
        <f>K157+K175+K188</f>
        <v>0</v>
      </c>
      <c r="L156" s="132">
        <f>L157+L175+L188</f>
        <v>500000</v>
      </c>
      <c r="M156"/>
      <c r="N156"/>
      <c r="O156"/>
      <c r="P156"/>
    </row>
    <row r="157" spans="1:16" s="29" customFormat="1" ht="21.75" customHeight="1">
      <c r="A157" s="40"/>
      <c r="B157" s="69">
        <v>90001</v>
      </c>
      <c r="C157" s="65" t="s">
        <v>62</v>
      </c>
      <c r="D157" s="65"/>
      <c r="E157" s="199"/>
      <c r="F157" s="58"/>
      <c r="G157" s="134">
        <f>SUM(G158:G174)</f>
        <v>20126967</v>
      </c>
      <c r="H157" s="149">
        <f>I157+K157+L157</f>
        <v>8525000</v>
      </c>
      <c r="I157" s="134">
        <f>SUM(I158:I174)</f>
        <v>8525000</v>
      </c>
      <c r="J157" s="58"/>
      <c r="K157" s="58"/>
      <c r="L157" s="58"/>
      <c r="M157"/>
      <c r="N157"/>
      <c r="O157"/>
      <c r="P157"/>
    </row>
    <row r="158" spans="1:16" s="245" customFormat="1" ht="19.5" customHeight="1">
      <c r="A158" s="243"/>
      <c r="B158" s="272"/>
      <c r="C158" s="105" t="s">
        <v>151</v>
      </c>
      <c r="D158" s="156" t="s">
        <v>165</v>
      </c>
      <c r="E158" s="273" t="s">
        <v>152</v>
      </c>
      <c r="F158" s="106">
        <v>24797713</v>
      </c>
      <c r="G158" s="274">
        <f>16199718+55470</f>
        <v>16255188</v>
      </c>
      <c r="H158" s="155">
        <f>I158</f>
        <v>500000</v>
      </c>
      <c r="I158" s="138">
        <v>500000</v>
      </c>
      <c r="J158" s="106"/>
      <c r="K158" s="106"/>
      <c r="L158" s="106"/>
      <c r="M158" s="4"/>
      <c r="N158" s="4"/>
      <c r="O158" s="4"/>
      <c r="P158" s="4"/>
    </row>
    <row r="159" spans="1:16" s="26" customFormat="1" ht="36.75" customHeight="1">
      <c r="A159" s="24"/>
      <c r="B159" s="24"/>
      <c r="C159" s="47" t="s">
        <v>334</v>
      </c>
      <c r="D159" s="56" t="s">
        <v>319</v>
      </c>
      <c r="E159" s="44" t="s">
        <v>153</v>
      </c>
      <c r="F159" s="211">
        <v>8100000</v>
      </c>
      <c r="G159" s="116">
        <f>2298771+125530</f>
        <v>2424301</v>
      </c>
      <c r="H159" s="147">
        <f>I159</f>
        <v>1000000</v>
      </c>
      <c r="I159" s="129">
        <v>1000000</v>
      </c>
      <c r="J159" s="49"/>
      <c r="K159" s="49"/>
      <c r="L159" s="49"/>
      <c r="M159"/>
      <c r="N159"/>
      <c r="O159"/>
      <c r="P159"/>
    </row>
    <row r="160" spans="1:16" s="26" customFormat="1" ht="30.75" customHeight="1">
      <c r="A160" s="24"/>
      <c r="B160" s="24"/>
      <c r="C160" s="47" t="s">
        <v>247</v>
      </c>
      <c r="D160" s="56" t="s">
        <v>320</v>
      </c>
      <c r="E160" s="44" t="s">
        <v>124</v>
      </c>
      <c r="F160" s="211">
        <v>2000000</v>
      </c>
      <c r="G160" s="116">
        <v>300000</v>
      </c>
      <c r="H160" s="147">
        <f>I160</f>
        <v>800000</v>
      </c>
      <c r="I160" s="129">
        <v>800000</v>
      </c>
      <c r="J160" s="49"/>
      <c r="K160" s="49"/>
      <c r="L160" s="49"/>
      <c r="M160"/>
      <c r="N160"/>
      <c r="O160"/>
      <c r="P160"/>
    </row>
    <row r="161" spans="1:16" s="26" customFormat="1" ht="25.5" customHeight="1">
      <c r="A161" s="24"/>
      <c r="B161" s="24"/>
      <c r="C161" s="47" t="s">
        <v>154</v>
      </c>
      <c r="D161" s="56" t="s">
        <v>321</v>
      </c>
      <c r="E161" s="44" t="s">
        <v>237</v>
      </c>
      <c r="F161" s="211">
        <v>3600000</v>
      </c>
      <c r="G161" s="116">
        <f>47478+1000000</f>
        <v>1047478</v>
      </c>
      <c r="H161" s="147">
        <f>I161+K161</f>
        <v>1000000</v>
      </c>
      <c r="I161" s="129">
        <v>1000000</v>
      </c>
      <c r="J161" s="49"/>
      <c r="K161" s="49"/>
      <c r="L161" s="49"/>
      <c r="M161"/>
      <c r="N161"/>
      <c r="O161"/>
      <c r="P161"/>
    </row>
    <row r="162" spans="1:16" s="32" customFormat="1" ht="19.5" customHeight="1">
      <c r="A162" s="24"/>
      <c r="B162" s="24"/>
      <c r="C162" s="233" t="s">
        <v>356</v>
      </c>
      <c r="D162" s="100" t="s">
        <v>155</v>
      </c>
      <c r="E162" s="101" t="s">
        <v>124</v>
      </c>
      <c r="F162" s="234">
        <v>1020000</v>
      </c>
      <c r="G162" s="235">
        <v>100000</v>
      </c>
      <c r="H162" s="143">
        <f>I162+K162</f>
        <v>600000</v>
      </c>
      <c r="I162" s="130">
        <v>600000</v>
      </c>
      <c r="J162" s="75"/>
      <c r="K162" s="75"/>
      <c r="L162" s="75"/>
      <c r="M162"/>
      <c r="N162"/>
      <c r="O162"/>
      <c r="P162"/>
    </row>
    <row r="163" spans="1:16" s="32" customFormat="1" ht="28.5" customHeight="1">
      <c r="A163" s="24"/>
      <c r="B163" s="24"/>
      <c r="C163" s="233" t="s">
        <v>383</v>
      </c>
      <c r="D163" s="100" t="s">
        <v>246</v>
      </c>
      <c r="E163" s="101" t="s">
        <v>233</v>
      </c>
      <c r="F163" s="234">
        <f>10000000+14000000</f>
        <v>24000000</v>
      </c>
      <c r="G163" s="235"/>
      <c r="H163" s="143">
        <f>I163+K163</f>
        <v>1460000</v>
      </c>
      <c r="I163" s="130">
        <f>660000+800000</f>
        <v>1460000</v>
      </c>
      <c r="J163" s="75"/>
      <c r="K163" s="75"/>
      <c r="L163" s="75"/>
      <c r="M163"/>
      <c r="N163"/>
      <c r="O163"/>
      <c r="P163"/>
    </row>
    <row r="164" spans="1:16" s="32" customFormat="1" ht="30.75" customHeight="1" hidden="1">
      <c r="A164" s="24"/>
      <c r="B164" s="24"/>
      <c r="C164" s="233" t="s">
        <v>285</v>
      </c>
      <c r="D164" s="100" t="s">
        <v>246</v>
      </c>
      <c r="E164" s="101" t="s">
        <v>233</v>
      </c>
      <c r="F164" s="234">
        <v>14000000</v>
      </c>
      <c r="G164" s="235"/>
      <c r="H164" s="143">
        <f>I164+K164</f>
        <v>0</v>
      </c>
      <c r="I164" s="130"/>
      <c r="J164" s="75"/>
      <c r="K164" s="75"/>
      <c r="L164" s="75"/>
      <c r="M164"/>
      <c r="N164"/>
      <c r="O164"/>
      <c r="P164"/>
    </row>
    <row r="165" spans="1:16" s="32" customFormat="1" ht="27.75" customHeight="1">
      <c r="A165" s="24"/>
      <c r="B165" s="24"/>
      <c r="C165" s="47" t="s">
        <v>156</v>
      </c>
      <c r="D165" s="81" t="s">
        <v>157</v>
      </c>
      <c r="E165" s="325" t="s">
        <v>233</v>
      </c>
      <c r="F165" s="48">
        <v>1000000</v>
      </c>
      <c r="G165" s="116"/>
      <c r="H165" s="147">
        <f>I165+K165+L165</f>
        <v>570000</v>
      </c>
      <c r="I165" s="129">
        <v>570000</v>
      </c>
      <c r="J165" s="49"/>
      <c r="K165" s="49"/>
      <c r="L165" s="49"/>
      <c r="M165"/>
      <c r="N165"/>
      <c r="O165"/>
      <c r="P165"/>
    </row>
    <row r="166" spans="1:16" s="26" customFormat="1" ht="43.5" customHeight="1">
      <c r="A166" s="24"/>
      <c r="B166" s="24"/>
      <c r="C166" s="70" t="s">
        <v>357</v>
      </c>
      <c r="D166" s="50" t="s">
        <v>283</v>
      </c>
      <c r="E166" s="53" t="s">
        <v>243</v>
      </c>
      <c r="F166" s="324">
        <v>2900000</v>
      </c>
      <c r="G166" s="120"/>
      <c r="H166" s="152">
        <f aca="true" t="shared" si="6" ref="H166:H174">I166</f>
        <v>800000</v>
      </c>
      <c r="I166" s="128">
        <v>800000</v>
      </c>
      <c r="J166" s="52"/>
      <c r="K166" s="52"/>
      <c r="L166" s="52"/>
      <c r="M166"/>
      <c r="N166"/>
      <c r="O166"/>
      <c r="P166"/>
    </row>
    <row r="167" spans="1:16" s="26" customFormat="1" ht="42" customHeight="1">
      <c r="A167" s="24"/>
      <c r="B167" s="24"/>
      <c r="C167" s="70" t="s">
        <v>358</v>
      </c>
      <c r="D167" s="50" t="s">
        <v>283</v>
      </c>
      <c r="E167" s="44" t="s">
        <v>233</v>
      </c>
      <c r="F167" s="211">
        <v>1500000</v>
      </c>
      <c r="G167" s="116"/>
      <c r="H167" s="147">
        <f t="shared" si="6"/>
        <v>300000</v>
      </c>
      <c r="I167" s="129">
        <v>300000</v>
      </c>
      <c r="J167" s="49"/>
      <c r="K167" s="49"/>
      <c r="L167" s="49"/>
      <c r="M167"/>
      <c r="N167"/>
      <c r="O167"/>
      <c r="P167"/>
    </row>
    <row r="168" spans="1:16" s="26" customFormat="1" ht="35.25" customHeight="1">
      <c r="A168" s="24"/>
      <c r="B168" s="24"/>
      <c r="C168" s="70" t="s">
        <v>359</v>
      </c>
      <c r="D168" s="50" t="s">
        <v>322</v>
      </c>
      <c r="E168" s="44" t="s">
        <v>233</v>
      </c>
      <c r="F168" s="211">
        <v>1300000</v>
      </c>
      <c r="G168" s="116"/>
      <c r="H168" s="147">
        <f t="shared" si="6"/>
        <v>100000</v>
      </c>
      <c r="I168" s="129">
        <v>100000</v>
      </c>
      <c r="J168" s="49"/>
      <c r="K168" s="49"/>
      <c r="L168" s="49"/>
      <c r="M168"/>
      <c r="N168"/>
      <c r="O168"/>
      <c r="P168"/>
    </row>
    <row r="169" spans="1:16" s="26" customFormat="1" ht="21" customHeight="1">
      <c r="A169" s="24"/>
      <c r="B169" s="24"/>
      <c r="C169" s="70" t="s">
        <v>284</v>
      </c>
      <c r="D169" s="50" t="s">
        <v>323</v>
      </c>
      <c r="E169" s="53">
        <v>2006</v>
      </c>
      <c r="F169" s="324">
        <v>200000</v>
      </c>
      <c r="G169" s="120"/>
      <c r="H169" s="152">
        <f t="shared" si="6"/>
        <v>200000</v>
      </c>
      <c r="I169" s="128">
        <v>200000</v>
      </c>
      <c r="J169" s="52"/>
      <c r="K169" s="52"/>
      <c r="L169" s="52"/>
      <c r="M169"/>
      <c r="N169"/>
      <c r="O169"/>
      <c r="P169"/>
    </row>
    <row r="170" spans="1:16" s="26" customFormat="1" ht="19.5" customHeight="1">
      <c r="A170" s="24"/>
      <c r="B170" s="24"/>
      <c r="C170" s="70" t="s">
        <v>286</v>
      </c>
      <c r="D170" s="50" t="s">
        <v>287</v>
      </c>
      <c r="E170" s="44">
        <v>2006</v>
      </c>
      <c r="F170" s="211">
        <v>720000</v>
      </c>
      <c r="G170" s="116"/>
      <c r="H170" s="147">
        <f t="shared" si="6"/>
        <v>720000</v>
      </c>
      <c r="I170" s="129">
        <v>720000</v>
      </c>
      <c r="J170" s="49"/>
      <c r="K170" s="49"/>
      <c r="L170" s="49"/>
      <c r="M170"/>
      <c r="N170"/>
      <c r="O170"/>
      <c r="P170"/>
    </row>
    <row r="171" spans="1:16" s="26" customFormat="1" ht="22.5" customHeight="1">
      <c r="A171" s="24"/>
      <c r="B171" s="24"/>
      <c r="C171" s="70" t="s">
        <v>288</v>
      </c>
      <c r="D171" s="50" t="s">
        <v>289</v>
      </c>
      <c r="E171" s="44">
        <v>2006</v>
      </c>
      <c r="F171" s="211">
        <v>300000</v>
      </c>
      <c r="G171" s="116"/>
      <c r="H171" s="147">
        <f t="shared" si="6"/>
        <v>300000</v>
      </c>
      <c r="I171" s="129">
        <v>300000</v>
      </c>
      <c r="J171" s="49"/>
      <c r="K171" s="49"/>
      <c r="L171" s="49"/>
      <c r="M171"/>
      <c r="N171"/>
      <c r="O171"/>
      <c r="P171"/>
    </row>
    <row r="172" spans="1:16" s="26" customFormat="1" ht="30" customHeight="1" hidden="1">
      <c r="A172" s="24"/>
      <c r="B172" s="24"/>
      <c r="C172" s="70" t="s">
        <v>290</v>
      </c>
      <c r="D172" s="50" t="s">
        <v>255</v>
      </c>
      <c r="E172" s="53" t="s">
        <v>233</v>
      </c>
      <c r="F172" s="324"/>
      <c r="G172" s="120"/>
      <c r="H172" s="152">
        <f t="shared" si="6"/>
        <v>0</v>
      </c>
      <c r="I172" s="128"/>
      <c r="J172" s="52"/>
      <c r="K172" s="52"/>
      <c r="L172" s="52"/>
      <c r="M172"/>
      <c r="N172"/>
      <c r="O172"/>
      <c r="P172"/>
    </row>
    <row r="173" spans="1:16" s="26" customFormat="1" ht="29.25" customHeight="1">
      <c r="A173" s="24"/>
      <c r="B173" s="24"/>
      <c r="C173" s="70" t="s">
        <v>291</v>
      </c>
      <c r="D173" s="50" t="s">
        <v>324</v>
      </c>
      <c r="E173" s="44">
        <v>2006</v>
      </c>
      <c r="F173" s="371"/>
      <c r="G173" s="116"/>
      <c r="H173" s="147">
        <f t="shared" si="6"/>
        <v>100000</v>
      </c>
      <c r="I173" s="129">
        <v>100000</v>
      </c>
      <c r="J173" s="49"/>
      <c r="K173" s="49"/>
      <c r="L173" s="49"/>
      <c r="M173"/>
      <c r="N173"/>
      <c r="O173"/>
      <c r="P173"/>
    </row>
    <row r="174" spans="1:16" s="26" customFormat="1" ht="30" customHeight="1">
      <c r="A174" s="24"/>
      <c r="B174" s="24"/>
      <c r="C174" s="90" t="s">
        <v>379</v>
      </c>
      <c r="D174" s="262" t="s">
        <v>292</v>
      </c>
      <c r="E174" s="101">
        <v>2006</v>
      </c>
      <c r="F174" s="234">
        <v>75000</v>
      </c>
      <c r="G174" s="235"/>
      <c r="H174" s="143">
        <f t="shared" si="6"/>
        <v>75000</v>
      </c>
      <c r="I174" s="130">
        <v>75000</v>
      </c>
      <c r="J174" s="75"/>
      <c r="K174" s="75"/>
      <c r="L174" s="75"/>
      <c r="M174"/>
      <c r="N174"/>
      <c r="O174"/>
      <c r="P174"/>
    </row>
    <row r="175" spans="1:16" s="29" customFormat="1" ht="20.25" customHeight="1">
      <c r="A175" s="40"/>
      <c r="B175" s="34">
        <v>90002</v>
      </c>
      <c r="C175" s="35" t="s">
        <v>112</v>
      </c>
      <c r="D175" s="187"/>
      <c r="E175" s="57"/>
      <c r="F175" s="87"/>
      <c r="G175" s="126">
        <f>SUM(G176:G178)</f>
        <v>24300142</v>
      </c>
      <c r="H175" s="142">
        <f>I175+K175+L175</f>
        <v>8837000</v>
      </c>
      <c r="I175" s="126">
        <f>SUM(I176:I178)</f>
        <v>8837000</v>
      </c>
      <c r="J175" s="126"/>
      <c r="K175" s="126">
        <f>K176</f>
        <v>0</v>
      </c>
      <c r="L175" s="126"/>
      <c r="M175"/>
      <c r="N175"/>
      <c r="O175"/>
      <c r="P175"/>
    </row>
    <row r="176" spans="1:16" s="102" customFormat="1" ht="35.25" customHeight="1">
      <c r="A176" s="24"/>
      <c r="B176" s="42"/>
      <c r="C176" s="223" t="s">
        <v>166</v>
      </c>
      <c r="D176" s="224" t="s">
        <v>95</v>
      </c>
      <c r="E176" s="225" t="s">
        <v>263</v>
      </c>
      <c r="F176" s="226">
        <v>30444064</v>
      </c>
      <c r="G176" s="227">
        <f>20201458+1500000</f>
        <v>21701458</v>
      </c>
      <c r="H176" s="228">
        <f>I176+K176</f>
        <v>8397600</v>
      </c>
      <c r="I176" s="229">
        <f>6897600+1500000</f>
        <v>8397600</v>
      </c>
      <c r="J176" s="230"/>
      <c r="K176" s="230"/>
      <c r="L176" s="230"/>
      <c r="M176"/>
      <c r="N176"/>
      <c r="O176"/>
      <c r="P176"/>
    </row>
    <row r="177" spans="1:16" s="26" customFormat="1" ht="28.5" customHeight="1">
      <c r="A177" s="24"/>
      <c r="B177" s="24"/>
      <c r="C177" s="74" t="s">
        <v>105</v>
      </c>
      <c r="D177" s="100" t="s">
        <v>113</v>
      </c>
      <c r="E177" s="101" t="s">
        <v>158</v>
      </c>
      <c r="F177" s="231">
        <v>83000000</v>
      </c>
      <c r="G177" s="232">
        <f>98000+300</f>
        <v>98300</v>
      </c>
      <c r="H177" s="143">
        <f>I177</f>
        <v>200000</v>
      </c>
      <c r="I177" s="130">
        <v>200000</v>
      </c>
      <c r="J177" s="130"/>
      <c r="K177" s="130"/>
      <c r="L177" s="130"/>
      <c r="M177"/>
      <c r="N177"/>
      <c r="O177"/>
      <c r="P177"/>
    </row>
    <row r="178" spans="1:16" s="26" customFormat="1" ht="25.5" customHeight="1">
      <c r="A178" s="24"/>
      <c r="B178" s="36"/>
      <c r="C178" s="82" t="s">
        <v>340</v>
      </c>
      <c r="D178" s="248" t="s">
        <v>248</v>
      </c>
      <c r="E178" s="242" t="s">
        <v>103</v>
      </c>
      <c r="F178" s="349">
        <v>3439812</v>
      </c>
      <c r="G178" s="328">
        <f>50384+2450000</f>
        <v>2500384</v>
      </c>
      <c r="H178" s="153">
        <f>I178</f>
        <v>239400</v>
      </c>
      <c r="I178" s="136">
        <v>239400</v>
      </c>
      <c r="J178" s="136"/>
      <c r="K178" s="136"/>
      <c r="L178" s="136"/>
      <c r="M178"/>
      <c r="N178"/>
      <c r="O178"/>
      <c r="P178"/>
    </row>
    <row r="179" spans="1:16" s="29" customFormat="1" ht="20.25" customHeight="1">
      <c r="A179" s="40"/>
      <c r="B179" s="27">
        <v>90003</v>
      </c>
      <c r="C179" s="58" t="s">
        <v>74</v>
      </c>
      <c r="D179" s="348"/>
      <c r="E179" s="71"/>
      <c r="F179" s="77"/>
      <c r="G179" s="134"/>
      <c r="H179" s="149">
        <f>I179+K179+L179</f>
        <v>100000</v>
      </c>
      <c r="I179" s="134">
        <f>I180</f>
        <v>100000</v>
      </c>
      <c r="J179" s="134"/>
      <c r="K179" s="134"/>
      <c r="L179" s="134"/>
      <c r="M179"/>
      <c r="N179"/>
      <c r="O179"/>
      <c r="P179"/>
    </row>
    <row r="180" spans="1:16" s="102" customFormat="1" ht="24.75" customHeight="1">
      <c r="A180" s="24"/>
      <c r="B180" s="37"/>
      <c r="C180" s="372" t="s">
        <v>360</v>
      </c>
      <c r="D180" s="91"/>
      <c r="E180" s="72">
        <v>2006</v>
      </c>
      <c r="F180" s="73"/>
      <c r="G180" s="119"/>
      <c r="H180" s="150">
        <f>I180+K180</f>
        <v>100000</v>
      </c>
      <c r="I180" s="135">
        <v>100000</v>
      </c>
      <c r="J180" s="39"/>
      <c r="K180" s="39"/>
      <c r="L180" s="39"/>
      <c r="M180"/>
      <c r="N180"/>
      <c r="O180"/>
      <c r="P180"/>
    </row>
    <row r="181" spans="1:16" s="29" customFormat="1" ht="21.75" customHeight="1">
      <c r="A181" s="40"/>
      <c r="B181" s="34">
        <v>90004</v>
      </c>
      <c r="C181" s="35" t="s">
        <v>249</v>
      </c>
      <c r="D181" s="187"/>
      <c r="E181" s="57"/>
      <c r="F181" s="87"/>
      <c r="G181" s="126"/>
      <c r="H181" s="142">
        <f>I181+K181+L181</f>
        <v>800000</v>
      </c>
      <c r="I181" s="126">
        <f>I183+I182</f>
        <v>800000</v>
      </c>
      <c r="J181" s="126"/>
      <c r="K181" s="126"/>
      <c r="L181" s="126"/>
      <c r="M181"/>
      <c r="N181"/>
      <c r="O181"/>
      <c r="P181"/>
    </row>
    <row r="182" spans="1:16" s="102" customFormat="1" ht="23.25" customHeight="1">
      <c r="A182" s="24"/>
      <c r="B182" s="24"/>
      <c r="C182" s="326" t="s">
        <v>361</v>
      </c>
      <c r="D182" s="100" t="s">
        <v>385</v>
      </c>
      <c r="E182" s="101" t="s">
        <v>243</v>
      </c>
      <c r="F182" s="163">
        <v>5000000</v>
      </c>
      <c r="G182" s="235"/>
      <c r="H182" s="143">
        <f>I182+K182</f>
        <v>500000</v>
      </c>
      <c r="I182" s="130">
        <v>500000</v>
      </c>
      <c r="J182" s="75"/>
      <c r="K182" s="75"/>
      <c r="L182" s="75"/>
      <c r="M182"/>
      <c r="N182"/>
      <c r="O182"/>
      <c r="P182"/>
    </row>
    <row r="183" spans="1:16" s="102" customFormat="1" ht="19.5" customHeight="1">
      <c r="A183" s="36"/>
      <c r="B183" s="36"/>
      <c r="C183" s="306" t="s">
        <v>250</v>
      </c>
      <c r="D183" s="248" t="s">
        <v>293</v>
      </c>
      <c r="E183" s="242" t="s">
        <v>243</v>
      </c>
      <c r="F183" s="251">
        <v>3400000</v>
      </c>
      <c r="G183" s="210"/>
      <c r="H183" s="153">
        <f>I183+K183</f>
        <v>300000</v>
      </c>
      <c r="I183" s="136">
        <v>300000</v>
      </c>
      <c r="J183" s="51"/>
      <c r="K183" s="51"/>
      <c r="L183" s="51"/>
      <c r="M183"/>
      <c r="N183"/>
      <c r="O183"/>
      <c r="P183"/>
    </row>
    <row r="184" spans="1:16" s="29" customFormat="1" ht="24" customHeight="1" hidden="1">
      <c r="A184" s="34"/>
      <c r="B184" s="34">
        <v>90013</v>
      </c>
      <c r="C184" s="35" t="s">
        <v>294</v>
      </c>
      <c r="D184" s="187"/>
      <c r="E184" s="57"/>
      <c r="F184" s="87"/>
      <c r="G184" s="109">
        <f>SUM(G185:G192)</f>
        <v>800000</v>
      </c>
      <c r="H184" s="142">
        <f>I184+K184+L184</f>
        <v>0</v>
      </c>
      <c r="I184" s="126">
        <f>I185</f>
        <v>0</v>
      </c>
      <c r="J184" s="35"/>
      <c r="K184" s="35"/>
      <c r="L184" s="35"/>
      <c r="M184"/>
      <c r="N184"/>
      <c r="O184"/>
      <c r="P184"/>
    </row>
    <row r="185" spans="1:16" s="102" customFormat="1" ht="24" customHeight="1" hidden="1">
      <c r="A185" s="37"/>
      <c r="B185" s="37"/>
      <c r="C185" s="372" t="s">
        <v>50</v>
      </c>
      <c r="D185" s="91" t="s">
        <v>295</v>
      </c>
      <c r="E185" s="72">
        <v>2006</v>
      </c>
      <c r="F185" s="73"/>
      <c r="G185" s="119"/>
      <c r="H185" s="150">
        <f>I185+K185</f>
        <v>0</v>
      </c>
      <c r="I185" s="135"/>
      <c r="J185" s="39"/>
      <c r="K185" s="39"/>
      <c r="L185" s="39"/>
      <c r="M185"/>
      <c r="N185"/>
      <c r="O185"/>
      <c r="P185"/>
    </row>
    <row r="186" spans="1:16" s="29" customFormat="1" ht="21" customHeight="1">
      <c r="A186" s="33"/>
      <c r="B186" s="34">
        <v>90015</v>
      </c>
      <c r="C186" s="35" t="s">
        <v>251</v>
      </c>
      <c r="D186" s="187"/>
      <c r="E186" s="57"/>
      <c r="F186" s="87"/>
      <c r="G186" s="109"/>
      <c r="H186" s="142">
        <f>I186+K186+L186</f>
        <v>300000</v>
      </c>
      <c r="I186" s="126">
        <f>I187</f>
        <v>300000</v>
      </c>
      <c r="J186" s="35"/>
      <c r="K186" s="35"/>
      <c r="L186" s="35"/>
      <c r="M186"/>
      <c r="N186"/>
      <c r="O186"/>
      <c r="P186"/>
    </row>
    <row r="187" spans="1:16" s="102" customFormat="1" ht="48.75" customHeight="1">
      <c r="A187" s="24"/>
      <c r="B187" s="24"/>
      <c r="C187" s="389" t="s">
        <v>252</v>
      </c>
      <c r="D187" s="248" t="s">
        <v>362</v>
      </c>
      <c r="E187" s="390">
        <v>2006</v>
      </c>
      <c r="F187" s="391"/>
      <c r="G187" s="392"/>
      <c r="H187" s="393">
        <f>I187+K187</f>
        <v>300000</v>
      </c>
      <c r="I187" s="394">
        <v>300000</v>
      </c>
      <c r="J187" s="51"/>
      <c r="K187" s="51"/>
      <c r="L187" s="51"/>
      <c r="M187"/>
      <c r="N187"/>
      <c r="O187"/>
      <c r="P187"/>
    </row>
    <row r="188" spans="1:16" s="29" customFormat="1" ht="21" customHeight="1">
      <c r="A188" s="40"/>
      <c r="B188" s="33">
        <v>90095</v>
      </c>
      <c r="C188" s="35" t="s">
        <v>46</v>
      </c>
      <c r="D188" s="60"/>
      <c r="E188" s="57"/>
      <c r="F188" s="87"/>
      <c r="G188" s="126">
        <f>SUM(G189:G195)</f>
        <v>600000</v>
      </c>
      <c r="H188" s="142">
        <f>I188+K188+L188</f>
        <v>13146000</v>
      </c>
      <c r="I188" s="126">
        <f>SUM(I189:I195)</f>
        <v>12646000</v>
      </c>
      <c r="J188" s="35"/>
      <c r="K188" s="35">
        <f>SUM(K189:K195)</f>
        <v>0</v>
      </c>
      <c r="L188" s="35">
        <f>L190</f>
        <v>500000</v>
      </c>
      <c r="M188"/>
      <c r="N188"/>
      <c r="O188"/>
      <c r="P188"/>
    </row>
    <row r="189" spans="1:16" s="32" customFormat="1" ht="20.25" customHeight="1">
      <c r="A189" s="24"/>
      <c r="B189" s="42"/>
      <c r="C189" s="46" t="s">
        <v>63</v>
      </c>
      <c r="D189" s="63"/>
      <c r="E189" s="222">
        <v>2006</v>
      </c>
      <c r="F189" s="291"/>
      <c r="G189" s="115"/>
      <c r="H189" s="144">
        <f>I189</f>
        <v>3500000</v>
      </c>
      <c r="I189" s="127">
        <v>3500000</v>
      </c>
      <c r="J189" s="46"/>
      <c r="K189" s="46"/>
      <c r="L189" s="46"/>
      <c r="M189"/>
      <c r="N189"/>
      <c r="O189"/>
      <c r="P189"/>
    </row>
    <row r="190" spans="1:16" s="32" customFormat="1" ht="28.5">
      <c r="A190" s="24"/>
      <c r="B190" s="24"/>
      <c r="C190" s="47" t="s">
        <v>363</v>
      </c>
      <c r="D190" s="81"/>
      <c r="E190" s="217">
        <v>2006</v>
      </c>
      <c r="F190" s="48"/>
      <c r="G190" s="116"/>
      <c r="H190" s="147">
        <f>I190+K190+L190</f>
        <v>4196000</v>
      </c>
      <c r="I190" s="129">
        <f>3000000+46000+650000</f>
        <v>3696000</v>
      </c>
      <c r="J190" s="49"/>
      <c r="K190" s="49"/>
      <c r="L190" s="49">
        <v>500000</v>
      </c>
      <c r="M190"/>
      <c r="N190"/>
      <c r="O190"/>
      <c r="P190"/>
    </row>
    <row r="191" spans="1:16" s="32" customFormat="1" ht="30" customHeight="1">
      <c r="A191" s="24"/>
      <c r="B191" s="24"/>
      <c r="C191" s="70" t="s">
        <v>64</v>
      </c>
      <c r="D191" s="83"/>
      <c r="E191" s="275">
        <v>2006</v>
      </c>
      <c r="F191" s="260"/>
      <c r="G191" s="120"/>
      <c r="H191" s="152">
        <f>I191</f>
        <v>2000000</v>
      </c>
      <c r="I191" s="128">
        <v>2000000</v>
      </c>
      <c r="J191" s="52"/>
      <c r="K191" s="52"/>
      <c r="L191" s="52"/>
      <c r="M191"/>
      <c r="N191"/>
      <c r="O191"/>
      <c r="P191"/>
    </row>
    <row r="192" spans="1:16" s="32" customFormat="1" ht="30" customHeight="1">
      <c r="A192" s="24"/>
      <c r="B192" s="24"/>
      <c r="C192" s="70" t="s">
        <v>88</v>
      </c>
      <c r="D192" s="83" t="s">
        <v>380</v>
      </c>
      <c r="E192" s="275" t="s">
        <v>126</v>
      </c>
      <c r="F192" s="260">
        <v>2998981</v>
      </c>
      <c r="G192" s="120">
        <v>200000</v>
      </c>
      <c r="H192" s="152">
        <f>I192</f>
        <v>2050000</v>
      </c>
      <c r="I192" s="128">
        <v>2050000</v>
      </c>
      <c r="J192" s="52"/>
      <c r="K192" s="52"/>
      <c r="L192" s="52"/>
      <c r="M192"/>
      <c r="N192"/>
      <c r="O192"/>
      <c r="P192"/>
    </row>
    <row r="193" spans="1:16" s="32" customFormat="1" ht="27.75" customHeight="1">
      <c r="A193" s="24"/>
      <c r="B193" s="24"/>
      <c r="C193" s="70" t="s">
        <v>381</v>
      </c>
      <c r="D193" s="83" t="s">
        <v>325</v>
      </c>
      <c r="E193" s="275" t="s">
        <v>124</v>
      </c>
      <c r="F193" s="260">
        <v>35000000</v>
      </c>
      <c r="G193" s="120">
        <v>400000</v>
      </c>
      <c r="H193" s="152">
        <f>I193</f>
        <v>500000</v>
      </c>
      <c r="I193" s="128">
        <v>500000</v>
      </c>
      <c r="J193" s="52"/>
      <c r="K193" s="52"/>
      <c r="L193" s="52"/>
      <c r="M193"/>
      <c r="N193"/>
      <c r="O193"/>
      <c r="P193"/>
    </row>
    <row r="194" spans="1:16" s="32" customFormat="1" ht="30.75" customHeight="1">
      <c r="A194" s="24"/>
      <c r="B194" s="24"/>
      <c r="C194" s="70" t="s">
        <v>364</v>
      </c>
      <c r="D194" s="83" t="s">
        <v>253</v>
      </c>
      <c r="E194" s="275" t="s">
        <v>365</v>
      </c>
      <c r="F194" s="260">
        <v>15250000</v>
      </c>
      <c r="G194" s="120"/>
      <c r="H194" s="152">
        <f>I194</f>
        <v>200000</v>
      </c>
      <c r="I194" s="128">
        <v>200000</v>
      </c>
      <c r="J194" s="52"/>
      <c r="K194" s="52"/>
      <c r="L194" s="52"/>
      <c r="M194"/>
      <c r="N194"/>
      <c r="O194"/>
      <c r="P194"/>
    </row>
    <row r="195" spans="1:16" s="32" customFormat="1" ht="19.5" customHeight="1">
      <c r="A195" s="24"/>
      <c r="B195" s="24"/>
      <c r="C195" s="49" t="s">
        <v>65</v>
      </c>
      <c r="D195" s="81"/>
      <c r="E195" s="217">
        <v>2006</v>
      </c>
      <c r="F195" s="48"/>
      <c r="G195" s="116"/>
      <c r="H195" s="147">
        <f>I195+K195+L195</f>
        <v>700000</v>
      </c>
      <c r="I195" s="129">
        <v>700000</v>
      </c>
      <c r="J195" s="49"/>
      <c r="K195" s="49"/>
      <c r="L195" s="49"/>
      <c r="M195"/>
      <c r="N195"/>
      <c r="O195"/>
      <c r="P195"/>
    </row>
    <row r="196" spans="1:16" s="32" customFormat="1" ht="19.5" customHeight="1">
      <c r="A196" s="93">
        <v>921</v>
      </c>
      <c r="B196" s="30"/>
      <c r="C196" s="64" t="s">
        <v>66</v>
      </c>
      <c r="D196" s="184"/>
      <c r="E196" s="198"/>
      <c r="F196" s="59"/>
      <c r="G196" s="132">
        <f>G197+G208+G204+G206</f>
        <v>604352</v>
      </c>
      <c r="H196" s="146">
        <f>I196+K196+L196</f>
        <v>540000</v>
      </c>
      <c r="I196" s="132">
        <f>I197+I204+I208+I206+I201+I199</f>
        <v>540000</v>
      </c>
      <c r="J196" s="132"/>
      <c r="K196" s="132"/>
      <c r="L196" s="132"/>
      <c r="M196"/>
      <c r="N196"/>
      <c r="O196"/>
      <c r="P196"/>
    </row>
    <row r="197" spans="1:16" s="29" customFormat="1" ht="19.5" customHeight="1" hidden="1">
      <c r="A197" s="40"/>
      <c r="B197" s="69">
        <v>92105</v>
      </c>
      <c r="C197" s="65" t="s">
        <v>67</v>
      </c>
      <c r="D197" s="185"/>
      <c r="E197" s="199"/>
      <c r="F197" s="58"/>
      <c r="G197" s="118"/>
      <c r="H197" s="149">
        <f>I197+K197+L197</f>
        <v>0</v>
      </c>
      <c r="I197" s="134"/>
      <c r="J197" s="134"/>
      <c r="K197" s="134"/>
      <c r="L197" s="134"/>
      <c r="M197"/>
      <c r="N197"/>
      <c r="O197"/>
      <c r="P197"/>
    </row>
    <row r="198" spans="1:16" s="32" customFormat="1" ht="46.5" customHeight="1" hidden="1">
      <c r="A198" s="24"/>
      <c r="B198" s="37"/>
      <c r="C198" s="39" t="s">
        <v>50</v>
      </c>
      <c r="D198" s="91" t="s">
        <v>167</v>
      </c>
      <c r="E198" s="72">
        <v>2006</v>
      </c>
      <c r="F198" s="73"/>
      <c r="G198" s="121"/>
      <c r="H198" s="150">
        <f>I198+K198+L198</f>
        <v>0</v>
      </c>
      <c r="I198" s="135"/>
      <c r="J198" s="39"/>
      <c r="K198" s="39"/>
      <c r="L198" s="39"/>
      <c r="M198"/>
      <c r="N198"/>
      <c r="O198"/>
      <c r="P198"/>
    </row>
    <row r="199" spans="1:16" s="29" customFormat="1" ht="21" customHeight="1" hidden="1">
      <c r="A199" s="40"/>
      <c r="B199" s="69">
        <v>92106</v>
      </c>
      <c r="C199" s="65" t="s">
        <v>256</v>
      </c>
      <c r="D199" s="185"/>
      <c r="E199" s="199"/>
      <c r="F199" s="58"/>
      <c r="G199" s="134"/>
      <c r="H199" s="149">
        <f>I199</f>
        <v>0</v>
      </c>
      <c r="I199" s="134">
        <f>I200</f>
        <v>0</v>
      </c>
      <c r="J199" s="134"/>
      <c r="K199" s="134"/>
      <c r="L199" s="134"/>
      <c r="M199"/>
      <c r="N199"/>
      <c r="O199"/>
      <c r="P199"/>
    </row>
    <row r="200" spans="1:16" s="32" customFormat="1" ht="28.5" customHeight="1" hidden="1">
      <c r="A200" s="24"/>
      <c r="B200" s="42"/>
      <c r="C200" s="290" t="s">
        <v>254</v>
      </c>
      <c r="D200" s="224" t="s">
        <v>255</v>
      </c>
      <c r="E200" s="225" t="s">
        <v>233</v>
      </c>
      <c r="F200" s="226">
        <v>25100000</v>
      </c>
      <c r="G200" s="238"/>
      <c r="H200" s="228">
        <f>I200+K200+L200</f>
        <v>0</v>
      </c>
      <c r="I200" s="229"/>
      <c r="J200" s="230"/>
      <c r="K200" s="230"/>
      <c r="L200" s="230"/>
      <c r="M200"/>
      <c r="N200"/>
      <c r="O200"/>
      <c r="P200"/>
    </row>
    <row r="201" spans="1:16" s="29" customFormat="1" ht="21" customHeight="1">
      <c r="A201" s="40"/>
      <c r="B201" s="68">
        <v>92109</v>
      </c>
      <c r="C201" s="41" t="s">
        <v>160</v>
      </c>
      <c r="D201" s="183"/>
      <c r="E201" s="197"/>
      <c r="F201" s="35"/>
      <c r="G201" s="126"/>
      <c r="H201" s="142">
        <f>H203+H202</f>
        <v>10000</v>
      </c>
      <c r="I201" s="126">
        <f>I203+I202</f>
        <v>10000</v>
      </c>
      <c r="J201" s="126"/>
      <c r="K201" s="126"/>
      <c r="L201" s="126"/>
      <c r="M201"/>
      <c r="N201"/>
      <c r="O201"/>
      <c r="P201"/>
    </row>
    <row r="202" spans="1:16" s="32" customFormat="1" ht="22.5" customHeight="1">
      <c r="A202" s="24"/>
      <c r="B202" s="37"/>
      <c r="C202" s="175" t="s">
        <v>190</v>
      </c>
      <c r="D202" s="91" t="s">
        <v>306</v>
      </c>
      <c r="E202" s="72">
        <v>2006</v>
      </c>
      <c r="F202" s="73"/>
      <c r="G202" s="121"/>
      <c r="H202" s="150">
        <f>I202+K202+L202</f>
        <v>10000</v>
      </c>
      <c r="I202" s="135">
        <v>10000</v>
      </c>
      <c r="J202" s="39"/>
      <c r="K202" s="39"/>
      <c r="L202" s="39"/>
      <c r="M202"/>
      <c r="N202"/>
      <c r="O202"/>
      <c r="P202"/>
    </row>
    <row r="203" spans="1:16" s="32" customFormat="1" ht="27.75" customHeight="1" hidden="1">
      <c r="A203" s="24"/>
      <c r="B203" s="37"/>
      <c r="C203" s="175" t="s">
        <v>258</v>
      </c>
      <c r="D203" s="91" t="s">
        <v>257</v>
      </c>
      <c r="E203" s="72">
        <v>2005</v>
      </c>
      <c r="F203" s="73"/>
      <c r="G203" s="121"/>
      <c r="H203" s="150">
        <f>I203+K203+L203</f>
        <v>0</v>
      </c>
      <c r="I203" s="135"/>
      <c r="J203" s="39"/>
      <c r="K203" s="39"/>
      <c r="L203" s="39"/>
      <c r="M203"/>
      <c r="N203"/>
      <c r="O203"/>
      <c r="P203"/>
    </row>
    <row r="204" spans="1:16" s="29" customFormat="1" ht="21" customHeight="1">
      <c r="A204" s="40"/>
      <c r="B204" s="68">
        <v>92113</v>
      </c>
      <c r="C204" s="41" t="s">
        <v>87</v>
      </c>
      <c r="D204" s="183"/>
      <c r="E204" s="197"/>
      <c r="F204" s="35"/>
      <c r="G204" s="126">
        <f>G205</f>
        <v>594342</v>
      </c>
      <c r="H204" s="142">
        <f>H205</f>
        <v>200000</v>
      </c>
      <c r="I204" s="126">
        <f>I205</f>
        <v>200000</v>
      </c>
      <c r="J204" s="126"/>
      <c r="K204" s="126"/>
      <c r="L204" s="126"/>
      <c r="M204"/>
      <c r="N204"/>
      <c r="O204"/>
      <c r="P204"/>
    </row>
    <row r="205" spans="1:16" s="32" customFormat="1" ht="28.5" customHeight="1">
      <c r="A205" s="24"/>
      <c r="B205" s="37"/>
      <c r="C205" s="175" t="s">
        <v>104</v>
      </c>
      <c r="D205" s="91" t="s">
        <v>366</v>
      </c>
      <c r="E205" s="72" t="s">
        <v>237</v>
      </c>
      <c r="F205" s="73">
        <v>32911000</v>
      </c>
      <c r="G205" s="121">
        <f>46342+548000</f>
        <v>594342</v>
      </c>
      <c r="H205" s="150">
        <f>I205+K205+L205</f>
        <v>200000</v>
      </c>
      <c r="I205" s="135">
        <v>200000</v>
      </c>
      <c r="J205" s="39"/>
      <c r="K205" s="39"/>
      <c r="L205" s="39"/>
      <c r="M205"/>
      <c r="N205"/>
      <c r="O205"/>
      <c r="P205"/>
    </row>
    <row r="206" spans="1:16" s="29" customFormat="1" ht="19.5" customHeight="1">
      <c r="A206" s="40"/>
      <c r="B206" s="69">
        <v>92116</v>
      </c>
      <c r="C206" s="65" t="s">
        <v>159</v>
      </c>
      <c r="D206" s="185"/>
      <c r="E206" s="199"/>
      <c r="F206" s="58"/>
      <c r="G206" s="134">
        <f>SUM(G207:G207)</f>
        <v>10010</v>
      </c>
      <c r="H206" s="149">
        <f>I206+K206+L206</f>
        <v>230000</v>
      </c>
      <c r="I206" s="134">
        <f>SUM(I207:I207)</f>
        <v>230000</v>
      </c>
      <c r="J206" s="134"/>
      <c r="K206" s="134"/>
      <c r="L206" s="134"/>
      <c r="M206"/>
      <c r="N206"/>
      <c r="O206"/>
      <c r="P206"/>
    </row>
    <row r="207" spans="1:16" s="32" customFormat="1" ht="57" customHeight="1">
      <c r="A207" s="24"/>
      <c r="B207" s="24"/>
      <c r="C207" s="90" t="s">
        <v>21</v>
      </c>
      <c r="D207" s="262" t="s">
        <v>367</v>
      </c>
      <c r="E207" s="162" t="s">
        <v>103</v>
      </c>
      <c r="F207" s="173">
        <v>948900</v>
      </c>
      <c r="G207" s="276">
        <f>8970+1040</f>
        <v>10010</v>
      </c>
      <c r="H207" s="139">
        <f>I207+K207+L207</f>
        <v>230000</v>
      </c>
      <c r="I207" s="123">
        <v>230000</v>
      </c>
      <c r="J207" s="25"/>
      <c r="K207" s="25"/>
      <c r="L207" s="25"/>
      <c r="M207"/>
      <c r="N207"/>
      <c r="O207"/>
      <c r="P207"/>
    </row>
    <row r="208" spans="1:16" s="29" customFormat="1" ht="19.5" customHeight="1">
      <c r="A208" s="40"/>
      <c r="B208" s="68">
        <v>92120</v>
      </c>
      <c r="C208" s="41" t="s">
        <v>262</v>
      </c>
      <c r="D208" s="183"/>
      <c r="E208" s="197"/>
      <c r="F208" s="35"/>
      <c r="G208" s="126"/>
      <c r="H208" s="142">
        <f>I208+K208+L208</f>
        <v>100000</v>
      </c>
      <c r="I208" s="126">
        <f>SUM(I209:I210)</f>
        <v>100000</v>
      </c>
      <c r="J208" s="126"/>
      <c r="K208" s="126"/>
      <c r="L208" s="126"/>
      <c r="M208"/>
      <c r="N208"/>
      <c r="O208"/>
      <c r="P208"/>
    </row>
    <row r="209" spans="1:16" s="32" customFormat="1" ht="29.25" customHeight="1">
      <c r="A209" s="24"/>
      <c r="B209" s="24"/>
      <c r="C209" s="90" t="s">
        <v>368</v>
      </c>
      <c r="D209" s="262" t="s">
        <v>301</v>
      </c>
      <c r="E209" s="162" t="s">
        <v>233</v>
      </c>
      <c r="F209" s="173">
        <v>150000</v>
      </c>
      <c r="G209" s="276"/>
      <c r="H209" s="139">
        <f>I209</f>
        <v>50000</v>
      </c>
      <c r="I209" s="123">
        <v>50000</v>
      </c>
      <c r="J209" s="25"/>
      <c r="K209" s="25"/>
      <c r="L209" s="25"/>
      <c r="M209"/>
      <c r="N209"/>
      <c r="O209"/>
      <c r="P209"/>
    </row>
    <row r="210" spans="1:16" s="32" customFormat="1" ht="30.75" customHeight="1">
      <c r="A210" s="24"/>
      <c r="B210" s="24"/>
      <c r="C210" s="82" t="s">
        <v>25</v>
      </c>
      <c r="D210" s="248" t="s">
        <v>259</v>
      </c>
      <c r="E210" s="242">
        <v>2006</v>
      </c>
      <c r="F210" s="251"/>
      <c r="G210" s="342"/>
      <c r="H210" s="153">
        <f aca="true" t="shared" si="7" ref="H210:H215">I210+K210+L210</f>
        <v>50000</v>
      </c>
      <c r="I210" s="136">
        <v>50000</v>
      </c>
      <c r="J210" s="51"/>
      <c r="K210" s="51"/>
      <c r="L210" s="51"/>
      <c r="M210"/>
      <c r="N210"/>
      <c r="O210"/>
      <c r="P210"/>
    </row>
    <row r="211" spans="1:16" s="32" customFormat="1" ht="22.5" customHeight="1">
      <c r="A211" s="30">
        <v>926</v>
      </c>
      <c r="B211" s="30"/>
      <c r="C211" s="59" t="s">
        <v>68</v>
      </c>
      <c r="D211" s="188"/>
      <c r="E211" s="76"/>
      <c r="F211" s="88"/>
      <c r="G211" s="114">
        <f>G212+G221</f>
        <v>34721849</v>
      </c>
      <c r="H211" s="146">
        <f t="shared" si="7"/>
        <v>7420000</v>
      </c>
      <c r="I211" s="59">
        <f>I212+I221</f>
        <v>7420000</v>
      </c>
      <c r="J211" s="59"/>
      <c r="K211" s="59"/>
      <c r="L211" s="59"/>
      <c r="M211"/>
      <c r="N211"/>
      <c r="O211"/>
      <c r="P211"/>
    </row>
    <row r="212" spans="1:16" s="29" customFormat="1" ht="23.25" customHeight="1">
      <c r="A212" s="40"/>
      <c r="B212" s="27">
        <v>92604</v>
      </c>
      <c r="C212" s="58" t="s">
        <v>69</v>
      </c>
      <c r="D212" s="80"/>
      <c r="E212" s="71"/>
      <c r="F212" s="77"/>
      <c r="G212" s="134">
        <f>SUM(G213:G220)</f>
        <v>34201909</v>
      </c>
      <c r="H212" s="149">
        <f t="shared" si="7"/>
        <v>6400000</v>
      </c>
      <c r="I212" s="134">
        <f>SUM(I213:I220)</f>
        <v>6400000</v>
      </c>
      <c r="J212" s="134"/>
      <c r="K212" s="134"/>
      <c r="L212" s="134"/>
      <c r="M212"/>
      <c r="N212"/>
      <c r="O212"/>
      <c r="P212"/>
    </row>
    <row r="213" spans="1:16" s="32" customFormat="1" ht="30" customHeight="1">
      <c r="A213" s="24"/>
      <c r="B213" s="42"/>
      <c r="C213" s="43" t="s">
        <v>271</v>
      </c>
      <c r="D213" s="253" t="s">
        <v>272</v>
      </c>
      <c r="E213" s="367" t="s">
        <v>203</v>
      </c>
      <c r="F213" s="383">
        <v>32000000</v>
      </c>
      <c r="G213" s="384">
        <f>23201909+8185000</f>
        <v>31386909</v>
      </c>
      <c r="H213" s="144">
        <f t="shared" si="7"/>
        <v>600000</v>
      </c>
      <c r="I213" s="127">
        <v>600000</v>
      </c>
      <c r="J213" s="46"/>
      <c r="K213" s="46"/>
      <c r="L213" s="46"/>
      <c r="M213"/>
      <c r="N213"/>
      <c r="O213"/>
      <c r="P213"/>
    </row>
    <row r="214" spans="1:16" s="32" customFormat="1" ht="27" customHeight="1">
      <c r="A214" s="24"/>
      <c r="B214" s="24"/>
      <c r="C214" s="47" t="s">
        <v>161</v>
      </c>
      <c r="D214" s="307" t="s">
        <v>305</v>
      </c>
      <c r="E214" s="44" t="s">
        <v>120</v>
      </c>
      <c r="F214" s="45">
        <v>21000000</v>
      </c>
      <c r="G214" s="112">
        <v>1640000</v>
      </c>
      <c r="H214" s="147">
        <f t="shared" si="7"/>
        <v>500000</v>
      </c>
      <c r="I214" s="129">
        <v>500000</v>
      </c>
      <c r="J214" s="49"/>
      <c r="K214" s="49"/>
      <c r="L214" s="49"/>
      <c r="M214"/>
      <c r="N214"/>
      <c r="O214"/>
      <c r="P214"/>
    </row>
    <row r="215" spans="1:16" s="32" customFormat="1" ht="36" customHeight="1">
      <c r="A215" s="36"/>
      <c r="B215" s="36"/>
      <c r="C215" s="61" t="s">
        <v>326</v>
      </c>
      <c r="D215" s="92" t="s">
        <v>302</v>
      </c>
      <c r="E215" s="84" t="s">
        <v>126</v>
      </c>
      <c r="F215" s="86">
        <v>5000000</v>
      </c>
      <c r="G215" s="385">
        <v>1075000</v>
      </c>
      <c r="H215" s="148">
        <f t="shared" si="7"/>
        <v>3000000</v>
      </c>
      <c r="I215" s="133">
        <v>3000000</v>
      </c>
      <c r="J215" s="62"/>
      <c r="K215" s="62"/>
      <c r="L215" s="62"/>
      <c r="M215"/>
      <c r="N215"/>
      <c r="O215"/>
      <c r="P215"/>
    </row>
    <row r="216" spans="1:16" s="32" customFormat="1" ht="38.25" customHeight="1">
      <c r="A216" s="42"/>
      <c r="B216" s="42"/>
      <c r="C216" s="43" t="s">
        <v>270</v>
      </c>
      <c r="D216" s="395" t="s">
        <v>303</v>
      </c>
      <c r="E216" s="367">
        <v>2006</v>
      </c>
      <c r="F216" s="368">
        <v>1000000</v>
      </c>
      <c r="G216" s="384"/>
      <c r="H216" s="144">
        <f>I216</f>
        <v>1000000</v>
      </c>
      <c r="I216" s="127">
        <v>1000000</v>
      </c>
      <c r="J216" s="46"/>
      <c r="K216" s="46"/>
      <c r="L216" s="46"/>
      <c r="M216"/>
      <c r="N216"/>
      <c r="O216"/>
      <c r="P216"/>
    </row>
    <row r="217" spans="1:16" s="32" customFormat="1" ht="30" customHeight="1">
      <c r="A217" s="24"/>
      <c r="B217" s="24"/>
      <c r="C217" s="47" t="s">
        <v>369</v>
      </c>
      <c r="D217" s="307" t="s">
        <v>304</v>
      </c>
      <c r="E217" s="44">
        <v>2006</v>
      </c>
      <c r="F217" s="45">
        <v>300000</v>
      </c>
      <c r="G217" s="112"/>
      <c r="H217" s="147">
        <f>I217</f>
        <v>300000</v>
      </c>
      <c r="I217" s="129">
        <v>300000</v>
      </c>
      <c r="J217" s="49"/>
      <c r="K217" s="49"/>
      <c r="L217" s="49"/>
      <c r="M217"/>
      <c r="N217"/>
      <c r="O217"/>
      <c r="P217"/>
    </row>
    <row r="218" spans="1:16" s="32" customFormat="1" ht="26.25" customHeight="1" hidden="1">
      <c r="A218" s="24"/>
      <c r="B218" s="24"/>
      <c r="C218" s="47" t="s">
        <v>260</v>
      </c>
      <c r="D218" s="307" t="s">
        <v>255</v>
      </c>
      <c r="E218" s="44" t="s">
        <v>243</v>
      </c>
      <c r="F218" s="45">
        <v>15000000</v>
      </c>
      <c r="G218" s="112"/>
      <c r="H218" s="147"/>
      <c r="I218" s="129"/>
      <c r="J218" s="49"/>
      <c r="K218" s="49"/>
      <c r="L218" s="49"/>
      <c r="M218"/>
      <c r="N218"/>
      <c r="O218"/>
      <c r="P218"/>
    </row>
    <row r="219" spans="1:16" s="32" customFormat="1" ht="30" customHeight="1">
      <c r="A219" s="24"/>
      <c r="B219" s="24"/>
      <c r="C219" s="47" t="s">
        <v>384</v>
      </c>
      <c r="D219" s="307" t="s">
        <v>370</v>
      </c>
      <c r="E219" s="44" t="s">
        <v>233</v>
      </c>
      <c r="F219" s="45">
        <v>3000000</v>
      </c>
      <c r="G219" s="112"/>
      <c r="H219" s="147">
        <f>I219</f>
        <v>750000</v>
      </c>
      <c r="I219" s="129">
        <v>750000</v>
      </c>
      <c r="J219" s="49"/>
      <c r="K219" s="49"/>
      <c r="L219" s="49"/>
      <c r="M219"/>
      <c r="N219"/>
      <c r="O219"/>
      <c r="P219"/>
    </row>
    <row r="220" spans="1:16" s="32" customFormat="1" ht="21" customHeight="1">
      <c r="A220" s="24"/>
      <c r="B220" s="24"/>
      <c r="C220" s="47" t="s">
        <v>22</v>
      </c>
      <c r="D220" s="81" t="s">
        <v>221</v>
      </c>
      <c r="E220" s="209" t="s">
        <v>120</v>
      </c>
      <c r="F220" s="48">
        <v>1000000</v>
      </c>
      <c r="G220" s="110">
        <v>100000</v>
      </c>
      <c r="H220" s="147">
        <f>I220+K220+L220</f>
        <v>250000</v>
      </c>
      <c r="I220" s="129">
        <v>250000</v>
      </c>
      <c r="J220" s="49"/>
      <c r="K220" s="49"/>
      <c r="L220" s="49"/>
      <c r="M220"/>
      <c r="N220"/>
      <c r="O220"/>
      <c r="P220"/>
    </row>
    <row r="221" spans="1:16" s="29" customFormat="1" ht="22.5" customHeight="1">
      <c r="A221" s="40"/>
      <c r="B221" s="68">
        <v>92605</v>
      </c>
      <c r="C221" s="41" t="s">
        <v>382</v>
      </c>
      <c r="D221" s="183"/>
      <c r="E221" s="197"/>
      <c r="F221" s="35"/>
      <c r="G221" s="126">
        <f>G224</f>
        <v>519940</v>
      </c>
      <c r="H221" s="142">
        <f>I221+K221+L221</f>
        <v>1020000</v>
      </c>
      <c r="I221" s="126">
        <f>SUM(I222:I224)</f>
        <v>1020000</v>
      </c>
      <c r="J221" s="35"/>
      <c r="K221" s="35"/>
      <c r="L221" s="35"/>
      <c r="M221"/>
      <c r="N221"/>
      <c r="O221"/>
      <c r="P221"/>
    </row>
    <row r="222" spans="1:16" s="29" customFormat="1" ht="23.25" customHeight="1">
      <c r="A222" s="40"/>
      <c r="B222" s="335"/>
      <c r="C222" s="252" t="s">
        <v>300</v>
      </c>
      <c r="D222" s="373"/>
      <c r="E222" s="339"/>
      <c r="F222" s="339"/>
      <c r="G222" s="271"/>
      <c r="H222" s="257">
        <f>I222</f>
        <v>700000</v>
      </c>
      <c r="I222" s="258">
        <v>700000</v>
      </c>
      <c r="J222" s="255"/>
      <c r="K222" s="255"/>
      <c r="L222" s="255"/>
      <c r="M222"/>
      <c r="N222"/>
      <c r="O222"/>
      <c r="P222"/>
    </row>
    <row r="223" spans="1:16" s="32" customFormat="1" ht="18.75" customHeight="1">
      <c r="A223" s="24"/>
      <c r="B223" s="24"/>
      <c r="C223" s="70" t="s">
        <v>91</v>
      </c>
      <c r="D223" s="83" t="s">
        <v>371</v>
      </c>
      <c r="E223" s="336" t="s">
        <v>261</v>
      </c>
      <c r="F223" s="52"/>
      <c r="G223" s="120"/>
      <c r="H223" s="152">
        <f>I223</f>
        <v>100000</v>
      </c>
      <c r="I223" s="128">
        <v>100000</v>
      </c>
      <c r="J223" s="52"/>
      <c r="K223" s="52"/>
      <c r="L223" s="52"/>
      <c r="M223"/>
      <c r="N223"/>
      <c r="O223"/>
      <c r="P223"/>
    </row>
    <row r="224" spans="1:16" s="32" customFormat="1" ht="18.75" customHeight="1">
      <c r="A224" s="24"/>
      <c r="B224" s="24"/>
      <c r="C224" s="82" t="s">
        <v>115</v>
      </c>
      <c r="D224" s="171" t="s">
        <v>327</v>
      </c>
      <c r="E224" s="355" t="s">
        <v>94</v>
      </c>
      <c r="F224" s="51">
        <v>739940</v>
      </c>
      <c r="G224" s="210">
        <f>129940+390000</f>
        <v>519940</v>
      </c>
      <c r="H224" s="153">
        <f>I224+K224+L224</f>
        <v>220000</v>
      </c>
      <c r="I224" s="136">
        <v>220000</v>
      </c>
      <c r="J224" s="51"/>
      <c r="K224" s="51"/>
      <c r="L224" s="51"/>
      <c r="M224"/>
      <c r="N224"/>
      <c r="O224"/>
      <c r="P224"/>
    </row>
    <row r="225" spans="1:16" s="32" customFormat="1" ht="35.25" customHeight="1" hidden="1" thickBot="1">
      <c r="A225" s="24"/>
      <c r="B225" s="24"/>
      <c r="C225" s="356" t="s">
        <v>85</v>
      </c>
      <c r="D225" s="166"/>
      <c r="E225" s="167"/>
      <c r="F225" s="87"/>
      <c r="G225" s="137">
        <f>SUM(G226,G229)</f>
        <v>0</v>
      </c>
      <c r="H225" s="154">
        <f>I225+K225+L225</f>
        <v>0</v>
      </c>
      <c r="I225" s="137">
        <f>SUM(I226,I229)</f>
        <v>0</v>
      </c>
      <c r="J225" s="137">
        <f>SUM(J226,J229)</f>
        <v>0</v>
      </c>
      <c r="K225" s="137">
        <f>SUM(K226,K229)</f>
        <v>0</v>
      </c>
      <c r="L225" s="137">
        <f>SUM(L226,L229)</f>
        <v>0</v>
      </c>
      <c r="M225"/>
      <c r="N225"/>
      <c r="O225"/>
      <c r="P225"/>
    </row>
    <row r="226" spans="1:16" s="32" customFormat="1" ht="30" customHeight="1" hidden="1" thickTop="1">
      <c r="A226" s="350">
        <v>754</v>
      </c>
      <c r="B226" s="351"/>
      <c r="C226" s="64" t="s">
        <v>53</v>
      </c>
      <c r="D226" s="357"/>
      <c r="E226" s="358"/>
      <c r="F226" s="88"/>
      <c r="G226" s="359"/>
      <c r="H226" s="360"/>
      <c r="I226" s="192"/>
      <c r="J226" s="192"/>
      <c r="K226" s="192"/>
      <c r="L226" s="192"/>
      <c r="M226"/>
      <c r="N226"/>
      <c r="O226"/>
      <c r="P226"/>
    </row>
    <row r="227" spans="1:16" s="32" customFormat="1" ht="29.25" customHeight="1" hidden="1">
      <c r="A227" s="24"/>
      <c r="B227" s="352">
        <v>75411</v>
      </c>
      <c r="C227" s="41" t="s">
        <v>54</v>
      </c>
      <c r="D227" s="166"/>
      <c r="E227" s="167"/>
      <c r="F227" s="87"/>
      <c r="G227" s="122"/>
      <c r="H227" s="154"/>
      <c r="I227" s="137"/>
      <c r="J227" s="137"/>
      <c r="K227" s="137"/>
      <c r="L227" s="137"/>
      <c r="M227"/>
      <c r="N227"/>
      <c r="O227"/>
      <c r="P227"/>
    </row>
    <row r="228" spans="1:16" s="32" customFormat="1" ht="28.5" customHeight="1" hidden="1">
      <c r="A228" s="24"/>
      <c r="B228" s="24"/>
      <c r="C228" s="38" t="s">
        <v>96</v>
      </c>
      <c r="D228" s="166"/>
      <c r="E228" s="167"/>
      <c r="F228" s="87"/>
      <c r="G228" s="122"/>
      <c r="H228" s="154"/>
      <c r="I228" s="137"/>
      <c r="J228" s="137"/>
      <c r="K228" s="137"/>
      <c r="L228" s="137"/>
      <c r="M228"/>
      <c r="N228"/>
      <c r="O228"/>
      <c r="P228"/>
    </row>
    <row r="229" spans="1:16" s="32" customFormat="1" ht="30" customHeight="1" hidden="1">
      <c r="A229" s="353">
        <v>900</v>
      </c>
      <c r="B229" s="351"/>
      <c r="C229" s="64" t="s">
        <v>61</v>
      </c>
      <c r="D229" s="64"/>
      <c r="E229" s="198"/>
      <c r="F229" s="59"/>
      <c r="G229" s="114"/>
      <c r="H229" s="146">
        <f>I229+K229+L229</f>
        <v>0</v>
      </c>
      <c r="I229" s="132">
        <f>I230</f>
        <v>0</v>
      </c>
      <c r="J229" s="132">
        <f>J230</f>
        <v>0</v>
      </c>
      <c r="K229" s="132">
        <f>K230</f>
        <v>0</v>
      </c>
      <c r="L229" s="132">
        <f>L230</f>
        <v>0</v>
      </c>
      <c r="M229"/>
      <c r="N229"/>
      <c r="O229"/>
      <c r="P229"/>
    </row>
    <row r="230" spans="1:16" s="32" customFormat="1" ht="21.75" customHeight="1" hidden="1">
      <c r="A230" s="24"/>
      <c r="B230" s="354">
        <v>90003</v>
      </c>
      <c r="C230" s="104" t="s">
        <v>74</v>
      </c>
      <c r="D230" s="166"/>
      <c r="E230" s="167"/>
      <c r="F230" s="87"/>
      <c r="G230" s="122"/>
      <c r="H230" s="154">
        <f>I230+K230+L230</f>
        <v>0</v>
      </c>
      <c r="I230" s="137">
        <f>I231</f>
        <v>0</v>
      </c>
      <c r="J230" s="137"/>
      <c r="K230" s="137"/>
      <c r="L230" s="137">
        <f>L231</f>
        <v>0</v>
      </c>
      <c r="M230"/>
      <c r="N230"/>
      <c r="O230"/>
      <c r="P230"/>
    </row>
    <row r="231" spans="1:16" s="32" customFormat="1" ht="0.75" customHeight="1">
      <c r="A231" s="24"/>
      <c r="B231" s="24"/>
      <c r="C231" s="38" t="s">
        <v>88</v>
      </c>
      <c r="D231" s="91"/>
      <c r="E231" s="72">
        <v>2004</v>
      </c>
      <c r="F231" s="73"/>
      <c r="G231" s="119"/>
      <c r="H231" s="150">
        <f>I231+L231</f>
        <v>0</v>
      </c>
      <c r="I231" s="135"/>
      <c r="J231" s="310"/>
      <c r="K231" s="310"/>
      <c r="L231" s="39"/>
      <c r="M231"/>
      <c r="N231"/>
      <c r="O231"/>
      <c r="P231"/>
    </row>
    <row r="232" spans="1:16" s="29" customFormat="1" ht="21.75" customHeight="1" thickBot="1">
      <c r="A232" s="40"/>
      <c r="B232" s="40"/>
      <c r="C232" s="361" t="s">
        <v>70</v>
      </c>
      <c r="D232" s="362"/>
      <c r="E232" s="363"/>
      <c r="F232" s="361"/>
      <c r="G232" s="364"/>
      <c r="H232" s="365">
        <f>I232+K232+L232</f>
        <v>84000</v>
      </c>
      <c r="I232" s="366"/>
      <c r="J232" s="361"/>
      <c r="K232" s="361"/>
      <c r="L232" s="361">
        <f>L234+L238</f>
        <v>84000</v>
      </c>
      <c r="M232"/>
      <c r="N232"/>
      <c r="O232"/>
      <c r="P232"/>
    </row>
    <row r="233" spans="1:16" s="26" customFormat="1" ht="15.75" customHeight="1" thickTop="1">
      <c r="A233" s="24"/>
      <c r="B233" s="24"/>
      <c r="C233" s="284" t="s">
        <v>31</v>
      </c>
      <c r="D233" s="285"/>
      <c r="E233" s="286"/>
      <c r="F233" s="284"/>
      <c r="G233" s="287"/>
      <c r="H233" s="288"/>
      <c r="I233" s="289"/>
      <c r="J233" s="284"/>
      <c r="K233" s="284"/>
      <c r="L233" s="284"/>
      <c r="M233"/>
      <c r="N233"/>
      <c r="O233"/>
      <c r="P233"/>
    </row>
    <row r="234" spans="1:16" s="79" customFormat="1" ht="20.25" customHeight="1">
      <c r="A234" s="78"/>
      <c r="B234" s="78"/>
      <c r="C234" s="277" t="s">
        <v>298</v>
      </c>
      <c r="D234" s="278"/>
      <c r="E234" s="279"/>
      <c r="F234" s="280"/>
      <c r="G234" s="281"/>
      <c r="H234" s="282">
        <f aca="true" t="shared" si="8" ref="H234:H244">I234+K234+L234</f>
        <v>35000</v>
      </c>
      <c r="I234" s="283"/>
      <c r="J234" s="280"/>
      <c r="K234" s="280"/>
      <c r="L234" s="280">
        <f>L235</f>
        <v>35000</v>
      </c>
      <c r="M234"/>
      <c r="N234"/>
      <c r="O234"/>
      <c r="P234"/>
    </row>
    <row r="235" spans="1:16" s="32" customFormat="1" ht="19.5" customHeight="1">
      <c r="A235" s="93">
        <v>852</v>
      </c>
      <c r="B235" s="30"/>
      <c r="C235" s="64" t="s">
        <v>92</v>
      </c>
      <c r="D235" s="184"/>
      <c r="E235" s="198"/>
      <c r="F235" s="59"/>
      <c r="G235" s="114"/>
      <c r="H235" s="146">
        <f t="shared" si="8"/>
        <v>35000</v>
      </c>
      <c r="I235" s="132"/>
      <c r="J235" s="59"/>
      <c r="K235" s="59"/>
      <c r="L235" s="59">
        <f>L236</f>
        <v>35000</v>
      </c>
      <c r="M235"/>
      <c r="N235"/>
      <c r="O235"/>
      <c r="P235"/>
    </row>
    <row r="236" spans="1:16" s="29" customFormat="1" ht="23.25" customHeight="1">
      <c r="A236" s="40"/>
      <c r="B236" s="69">
        <v>85203</v>
      </c>
      <c r="C236" s="65" t="s">
        <v>73</v>
      </c>
      <c r="D236" s="185"/>
      <c r="E236" s="199"/>
      <c r="F236" s="58"/>
      <c r="G236" s="118"/>
      <c r="H236" s="149">
        <f t="shared" si="8"/>
        <v>35000</v>
      </c>
      <c r="I236" s="134"/>
      <c r="J236" s="58"/>
      <c r="K236" s="58"/>
      <c r="L236" s="58">
        <f>L237</f>
        <v>35000</v>
      </c>
      <c r="M236"/>
      <c r="N236"/>
      <c r="O236"/>
      <c r="P236"/>
    </row>
    <row r="237" spans="1:16" s="32" customFormat="1" ht="50.25" customHeight="1">
      <c r="A237" s="24"/>
      <c r="B237" s="24"/>
      <c r="C237" s="399" t="s">
        <v>50</v>
      </c>
      <c r="D237" s="80" t="s">
        <v>23</v>
      </c>
      <c r="E237" s="85">
        <v>2006</v>
      </c>
      <c r="F237" s="62"/>
      <c r="G237" s="117"/>
      <c r="H237" s="148">
        <f t="shared" si="8"/>
        <v>35000</v>
      </c>
      <c r="I237" s="133"/>
      <c r="J237" s="62"/>
      <c r="K237" s="62"/>
      <c r="L237" s="62">
        <v>35000</v>
      </c>
      <c r="M237"/>
      <c r="N237"/>
      <c r="O237"/>
      <c r="P237"/>
    </row>
    <row r="238" spans="1:16" s="79" customFormat="1" ht="28.5" customHeight="1">
      <c r="A238" s="78"/>
      <c r="B238" s="78"/>
      <c r="C238" s="277" t="s">
        <v>71</v>
      </c>
      <c r="D238" s="278"/>
      <c r="E238" s="279"/>
      <c r="F238" s="280"/>
      <c r="G238" s="281"/>
      <c r="H238" s="282">
        <f t="shared" si="8"/>
        <v>49000</v>
      </c>
      <c r="I238" s="283"/>
      <c r="J238" s="280"/>
      <c r="K238" s="280"/>
      <c r="L238" s="280">
        <f>L242+L239</f>
        <v>49000</v>
      </c>
      <c r="M238"/>
      <c r="N238"/>
      <c r="O238"/>
      <c r="P238"/>
    </row>
    <row r="239" spans="1:16" s="32" customFormat="1" ht="22.5" customHeight="1">
      <c r="A239" s="93">
        <v>852</v>
      </c>
      <c r="B239" s="30"/>
      <c r="C239" s="64" t="s">
        <v>92</v>
      </c>
      <c r="D239" s="184"/>
      <c r="E239" s="198"/>
      <c r="F239" s="59"/>
      <c r="G239" s="114"/>
      <c r="H239" s="146">
        <f t="shared" si="8"/>
        <v>25000</v>
      </c>
      <c r="I239" s="132"/>
      <c r="J239" s="59"/>
      <c r="K239" s="59"/>
      <c r="L239" s="59">
        <f>L240</f>
        <v>25000</v>
      </c>
      <c r="M239"/>
      <c r="N239"/>
      <c r="O239"/>
      <c r="P239"/>
    </row>
    <row r="240" spans="1:16" s="29" customFormat="1" ht="23.25" customHeight="1">
      <c r="A240" s="40"/>
      <c r="B240" s="69">
        <v>85203</v>
      </c>
      <c r="C240" s="65" t="s">
        <v>73</v>
      </c>
      <c r="D240" s="185"/>
      <c r="E240" s="199"/>
      <c r="F240" s="58"/>
      <c r="G240" s="118"/>
      <c r="H240" s="149">
        <f t="shared" si="8"/>
        <v>25000</v>
      </c>
      <c r="I240" s="134"/>
      <c r="J240" s="58"/>
      <c r="K240" s="58"/>
      <c r="L240" s="58">
        <f>L241</f>
        <v>25000</v>
      </c>
      <c r="M240"/>
      <c r="N240"/>
      <c r="O240"/>
      <c r="P240"/>
    </row>
    <row r="241" spans="1:16" s="32" customFormat="1" ht="27" customHeight="1">
      <c r="A241" s="36"/>
      <c r="B241" s="36"/>
      <c r="C241" s="61" t="s">
        <v>50</v>
      </c>
      <c r="D241" s="80" t="s">
        <v>24</v>
      </c>
      <c r="E241" s="85">
        <v>2006</v>
      </c>
      <c r="F241" s="62"/>
      <c r="G241" s="117"/>
      <c r="H241" s="148">
        <f t="shared" si="8"/>
        <v>25000</v>
      </c>
      <c r="I241" s="133"/>
      <c r="J241" s="62"/>
      <c r="K241" s="62"/>
      <c r="L241" s="62">
        <v>25000</v>
      </c>
      <c r="M241"/>
      <c r="N241"/>
      <c r="O241"/>
      <c r="P241"/>
    </row>
    <row r="242" spans="1:16" s="32" customFormat="1" ht="31.5" customHeight="1">
      <c r="A242" s="93">
        <v>853</v>
      </c>
      <c r="B242" s="30"/>
      <c r="C242" s="64" t="s">
        <v>110</v>
      </c>
      <c r="D242" s="184"/>
      <c r="E242" s="198"/>
      <c r="F242" s="59"/>
      <c r="G242" s="114"/>
      <c r="H242" s="146">
        <f t="shared" si="8"/>
        <v>24000</v>
      </c>
      <c r="I242" s="132"/>
      <c r="J242" s="59"/>
      <c r="K242" s="59"/>
      <c r="L242" s="59">
        <f>L243</f>
        <v>24000</v>
      </c>
      <c r="M242"/>
      <c r="N242"/>
      <c r="O242"/>
      <c r="P242"/>
    </row>
    <row r="243" spans="1:16" s="29" customFormat="1" ht="31.5" customHeight="1">
      <c r="A243" s="40"/>
      <c r="B243" s="69">
        <v>85321</v>
      </c>
      <c r="C243" s="65" t="s">
        <v>107</v>
      </c>
      <c r="D243" s="185"/>
      <c r="E243" s="199"/>
      <c r="F243" s="58"/>
      <c r="G243" s="118"/>
      <c r="H243" s="149">
        <f t="shared" si="8"/>
        <v>24000</v>
      </c>
      <c r="I243" s="134"/>
      <c r="J243" s="58"/>
      <c r="K243" s="58"/>
      <c r="L243" s="58">
        <f>L244</f>
        <v>24000</v>
      </c>
      <c r="M243"/>
      <c r="N243"/>
      <c r="O243"/>
      <c r="P243"/>
    </row>
    <row r="244" spans="1:16" s="32" customFormat="1" ht="21.75" customHeight="1">
      <c r="A244" s="36"/>
      <c r="B244" s="36"/>
      <c r="C244" s="61" t="s">
        <v>50</v>
      </c>
      <c r="D244" s="80" t="s">
        <v>372</v>
      </c>
      <c r="E244" s="85">
        <v>2006</v>
      </c>
      <c r="F244" s="62"/>
      <c r="G244" s="117"/>
      <c r="H244" s="148">
        <f t="shared" si="8"/>
        <v>24000</v>
      </c>
      <c r="I244" s="133"/>
      <c r="J244" s="62"/>
      <c r="K244" s="62"/>
      <c r="L244" s="62">
        <v>24000</v>
      </c>
      <c r="M244"/>
      <c r="N244"/>
      <c r="O244"/>
      <c r="P244"/>
    </row>
    <row r="245" ht="12.75">
      <c r="D245" s="189"/>
    </row>
    <row r="246" ht="12.75">
      <c r="D246" s="189"/>
    </row>
    <row r="247" ht="12.75">
      <c r="D247" s="189"/>
    </row>
    <row r="248" spans="3:4" ht="14.25">
      <c r="C248" s="401" t="s">
        <v>387</v>
      </c>
      <c r="D248" s="189"/>
    </row>
    <row r="249" spans="3:4" ht="14.25">
      <c r="C249" s="401" t="s">
        <v>388</v>
      </c>
      <c r="D249" s="189"/>
    </row>
    <row r="250" spans="3:4" ht="14.25">
      <c r="C250" s="401" t="s">
        <v>389</v>
      </c>
      <c r="D250" s="189"/>
    </row>
    <row r="251" ht="12.75">
      <c r="D251" s="189"/>
    </row>
    <row r="252" ht="12.75">
      <c r="D252" s="189"/>
    </row>
    <row r="253" ht="12.75">
      <c r="D253" s="189"/>
    </row>
    <row r="254" ht="12.75">
      <c r="D254" s="189"/>
    </row>
    <row r="255" ht="12.75">
      <c r="D255" s="189"/>
    </row>
    <row r="256" ht="12.75">
      <c r="D256" s="189"/>
    </row>
    <row r="257" ht="12.75">
      <c r="D257" s="189"/>
    </row>
    <row r="258" ht="12.75">
      <c r="D258" s="189"/>
    </row>
    <row r="259" ht="12.75">
      <c r="D259" s="189"/>
    </row>
    <row r="260" ht="12.75">
      <c r="D260" s="189"/>
    </row>
    <row r="261" ht="12.75">
      <c r="D261" s="189"/>
    </row>
    <row r="262" ht="12.75">
      <c r="D262" s="189"/>
    </row>
    <row r="263" ht="12.75">
      <c r="D263" s="189"/>
    </row>
    <row r="264" ht="12.75">
      <c r="D264" s="189"/>
    </row>
    <row r="265" ht="12.75">
      <c r="D265" s="189"/>
    </row>
    <row r="266" ht="12.75">
      <c r="D266" s="189"/>
    </row>
    <row r="267" ht="12.75">
      <c r="D267" s="189"/>
    </row>
    <row r="268" ht="12.75">
      <c r="D268" s="189"/>
    </row>
    <row r="269" ht="12.75">
      <c r="D269" s="189"/>
    </row>
    <row r="270" ht="12.75">
      <c r="D270" s="189"/>
    </row>
    <row r="271" ht="12.75">
      <c r="D271" s="189"/>
    </row>
    <row r="272" ht="12.75">
      <c r="D272" s="189"/>
    </row>
    <row r="273" ht="12.75">
      <c r="D273" s="189"/>
    </row>
    <row r="274" ht="12.75">
      <c r="D274" s="189"/>
    </row>
    <row r="275" ht="12.75">
      <c r="D275" s="189"/>
    </row>
    <row r="276" ht="12.75">
      <c r="D276" s="189"/>
    </row>
    <row r="277" ht="12.75">
      <c r="D277" s="189"/>
    </row>
    <row r="278" ht="12.75">
      <c r="D278" s="189"/>
    </row>
  </sheetData>
  <printOptions horizontalCentered="1"/>
  <pageMargins left="0.3937007874015748" right="0.3937007874015748" top="0.4724409448818898" bottom="0.6692913385826772" header="0.5118110236220472" footer="0.5118110236220472"/>
  <pageSetup firstPageNumber="46" useFirstPageNumber="1" horizontalDpi="300" verticalDpi="300" orientation="landscape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2005-11-10T07:26:05Z</cp:lastPrinted>
  <dcterms:created xsi:type="dcterms:W3CDTF">2001-09-17T12:27:57Z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