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 - projekt" sheetId="1" r:id="rId1"/>
  </sheets>
  <definedNames>
    <definedName name="_xlnm.Print_Titles" localSheetId="0">'wydatki - projekt'!$10:$10</definedName>
  </definedNames>
  <calcPr fullCalcOnLoad="1"/>
</workbook>
</file>

<file path=xl/sharedStrings.xml><?xml version="1.0" encoding="utf-8"?>
<sst xmlns="http://schemas.openxmlformats.org/spreadsheetml/2006/main" count="621" uniqueCount="360">
  <si>
    <t>Treść</t>
  </si>
  <si>
    <t xml:space="preserve">Przewidywane </t>
  </si>
  <si>
    <t>%</t>
  </si>
  <si>
    <t>Rozdz.</t>
  </si>
  <si>
    <t>Pozostała działalność</t>
  </si>
  <si>
    <t>porządkowanie targowisk, handlu ulicznego</t>
  </si>
  <si>
    <t>inwestycje</t>
  </si>
  <si>
    <t xml:space="preserve">Handel </t>
  </si>
  <si>
    <t>Plan</t>
  </si>
  <si>
    <t>z tego:</t>
  </si>
  <si>
    <t>ogółem</t>
  </si>
  <si>
    <t>w tym: remonty</t>
  </si>
  <si>
    <t>wydatki</t>
  </si>
  <si>
    <t>majątkowe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</si>
  <si>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</si>
  <si>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</si>
  <si>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</si>
  <si>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</si>
  <si>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</si>
  <si>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</si>
  <si>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</si>
  <si>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</si>
  <si>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</si>
  <si>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</si>
  <si>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</si>
  <si>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</si>
  <si>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</si>
  <si>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</si>
  <si>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</si>
  <si>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</si>
  <si>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</si>
  <si>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</si>
  <si>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</si>
  <si>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</si>
  <si>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</si>
  <si>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</si>
  <si>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</si>
  <si>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</si>
  <si>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</si>
  <si>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</si>
  <si>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</si>
  <si>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</si>
  <si>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</si>
  <si>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</si>
  <si>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</si>
  <si>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</si>
  <si>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</si>
  <si>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</si>
  <si>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</si>
  <si>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</si>
  <si>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</si>
  <si>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</si>
  <si>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</si>
  <si>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</si>
  <si>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</si>
  <si>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</si>
  <si>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</si>
  <si>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</si>
  <si>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</si>
  <si>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</si>
  <si>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</si>
  <si>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</si>
  <si>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</si>
  <si>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</si>
  <si>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</si>
  <si>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</si>
  <si>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</si>
  <si>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</si>
  <si>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</si>
  <si>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</si>
  <si>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</si>
  <si>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</si>
  <si>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</si>
  <si>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Teatry dramatyczne i lalkowe</t>
  </si>
  <si>
    <t>Domy i ośrodki kultury, świetlice i kluby</t>
  </si>
  <si>
    <t>Galerie i biura wystaw artystycznych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</si>
  <si>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</si>
  <si>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</si>
  <si>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</si>
  <si>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</si>
  <si>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</si>
  <si>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</si>
  <si>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</si>
  <si>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</si>
  <si>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</si>
  <si>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</si>
  <si>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</si>
  <si>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</si>
  <si>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</si>
  <si>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</si>
  <si>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</si>
  <si>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</si>
  <si>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</si>
  <si>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</si>
  <si>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</si>
  <si>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(nazwa działu, rozdziału, zadania)</t>
  </si>
  <si>
    <t>z dnia</t>
  </si>
  <si>
    <t>usługi opiekuńcze</t>
  </si>
  <si>
    <t>dodatki mieszkaniowe</t>
  </si>
  <si>
    <t>5:4</t>
  </si>
  <si>
    <t>usługi komunikacyjne w zakresie transportu zbiorowego</t>
  </si>
  <si>
    <t>wydatki majątkowe</t>
  </si>
  <si>
    <t>eksploatacja bieżąca i konserwacja kanalizacji deszczowej</t>
  </si>
  <si>
    <t>bieżące utrzymanie Zbiornika Zemborzyckiego</t>
  </si>
  <si>
    <t>eksploatacja składowiska odpadów komunalnych w Rokitnie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</si>
  <si>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</si>
  <si>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</si>
  <si>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</si>
  <si>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</si>
  <si>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</si>
  <si>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oświetlenie dróg</t>
  </si>
  <si>
    <t>koszty rozbiórek budynków</t>
  </si>
  <si>
    <t>ogłoszenia prasowe</t>
  </si>
  <si>
    <t>koszty funkcjonowania Miejskiej Komisji Urbanistyczno-Architektonicznej</t>
  </si>
  <si>
    <t>dofinansowanie Straży Pożarnej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</si>
  <si>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</si>
  <si>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</si>
  <si>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</si>
  <si>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</si>
  <si>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</si>
  <si>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</si>
  <si>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</si>
  <si>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</si>
  <si>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</si>
  <si>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Specjalne ośrodki szkolno - wychowawcze</t>
  </si>
  <si>
    <t>Pomoc materialna dla uczniów</t>
  </si>
  <si>
    <t>Pozostałe zadania w zakresie kultury</t>
  </si>
  <si>
    <t>upowszechnianie kultury i sztuki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</si>
  <si>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</si>
  <si>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</si>
  <si>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</si>
  <si>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</si>
  <si>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</si>
  <si>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 xml:space="preserve">usługi opiekuńcze </t>
  </si>
  <si>
    <t>dotacja dla Lubelskiego Ośrodka Informacji Turystycznej</t>
  </si>
  <si>
    <t>Gimnazja specjalne</t>
  </si>
  <si>
    <t>Zwalczanie narkomanii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</si>
  <si>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</si>
  <si>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</si>
  <si>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</si>
  <si>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</si>
  <si>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</si>
  <si>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</si>
  <si>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</si>
  <si>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</si>
  <si>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</si>
  <si>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</si>
  <si>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</si>
  <si>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</si>
  <si>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</si>
  <si>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</si>
  <si>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</si>
  <si>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</si>
  <si>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</si>
  <si>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</si>
  <si>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</si>
  <si>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</si>
  <si>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</si>
  <si>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</si>
  <si>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</si>
  <si>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</si>
  <si>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</si>
  <si>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</si>
  <si>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wynagrodzenie za inkaso opłaty targowej i podatków</t>
  </si>
  <si>
    <t>konserwacja i obsługa urządzeń oświetlenia</t>
  </si>
  <si>
    <t xml:space="preserve">dotacje dla niepublicznych burs i internatów </t>
  </si>
  <si>
    <t>Wydatki budżetu miasta ogółem</t>
  </si>
  <si>
    <t>zajęcia sportowo - rekreacyjne w szkołach</t>
  </si>
  <si>
    <t>koszty funkcjonowania komisji egzaminacyjnych</t>
  </si>
  <si>
    <t>dotacje dla publicznych i niepublicznych szkół zawodowych</t>
  </si>
  <si>
    <t>Licea ogólnokształcące specjalne</t>
  </si>
  <si>
    <t>Licea ogólnokształcące</t>
  </si>
  <si>
    <t>upowszechnianie turystyki i krajoznawstwa</t>
  </si>
  <si>
    <t>Urzędy naczelnych organów władzy państwowej, kontroli 
i ochrony prawa oraz sądownictwa</t>
  </si>
  <si>
    <t>Urzędy naczelnych organów władzy państwowej, kontroli 
i ochrony prawa</t>
  </si>
  <si>
    <t>dofinansowanie działań na rzecz utrzymania bezpieczeństwa 
w mieście</t>
  </si>
  <si>
    <t>Licea profilowane</t>
  </si>
  <si>
    <t>Dokształcanie i doskonalenie nauczycieli</t>
  </si>
  <si>
    <t>dokształcanie i doskonalenie zawodowe nauczycieli</t>
  </si>
  <si>
    <t>zakup świadczeń zdrowotnych</t>
  </si>
  <si>
    <t>eksploatacja bieżąca i konserwacja zdrojów ulicznych, zbiorników p.poż. i punktów szybkiego napełniania wody, zabezpieczenie ujęcia wodnego</t>
  </si>
  <si>
    <t>odszkodowania</t>
  </si>
  <si>
    <t>dotacje dla publicznych liceów profilowanych</t>
  </si>
  <si>
    <t>Pomoc dla repatriantów</t>
  </si>
  <si>
    <t>opłata za korzystanie ze środowiska</t>
  </si>
  <si>
    <t>sprzątanie przystanków i utrzymanie wiat przystankowych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</si>
  <si>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</si>
  <si>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</si>
  <si>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</si>
  <si>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</si>
  <si>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</si>
  <si>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</si>
  <si>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>konserwacja rowów i urządzeń melioracyjnych w Parku Ludowym</t>
  </si>
  <si>
    <t>system monitoringu w mieście</t>
  </si>
  <si>
    <t>konserwacja i utrzymanie rowów odwadniających</t>
  </si>
  <si>
    <t>Rady Miasta Lublin</t>
  </si>
  <si>
    <t>Towarzystwa budownictwa społecznego</t>
  </si>
  <si>
    <t xml:space="preserve">Dochody od osób prawnych, od osób fizycznych i od innych jednostek nieposiadających osobowości prawnej oraz wydatki związane z ich poborem </t>
  </si>
  <si>
    <t>Pomoc społeczna</t>
  </si>
  <si>
    <t>Pozostałe zadania w zakresie polityki społecznej</t>
  </si>
  <si>
    <t>Zespoły do spraw orzekania o niepełnosprawności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</si>
  <si>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</si>
  <si>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</si>
  <si>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</si>
  <si>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 xml:space="preserve">  wydatki bieżące</t>
  </si>
  <si>
    <t>utrzymanie fontann</t>
  </si>
  <si>
    <t>oczyszczanie miasta</t>
  </si>
  <si>
    <t>Licea profilowane specjalne</t>
  </si>
  <si>
    <t xml:space="preserve">dożywianie uczniów </t>
  </si>
  <si>
    <t>Różne rozliczenia finansowe</t>
  </si>
  <si>
    <t>wpłata do budżetu państwa</t>
  </si>
  <si>
    <t>składki na ubezpieczenie zdrowotne opłacane za osoby pobierające świadczenia z pomocy społecznej</t>
  </si>
  <si>
    <t>funkcjonowanie Rady Miasta</t>
  </si>
  <si>
    <t>funkcjonowanie jednostek pomocniczych miasta</t>
  </si>
  <si>
    <t>wybory do jednostek pomocniczych miasta</t>
  </si>
  <si>
    <t>akcja "Bezpieczna droga"</t>
  </si>
  <si>
    <t xml:space="preserve">pomoc dla repatriantów </t>
  </si>
  <si>
    <t>schronisko dla zwierząt</t>
  </si>
  <si>
    <t>nagrody w dziedzinie kultury</t>
  </si>
  <si>
    <t xml:space="preserve">utrzymanie grobów i cmentarzy wojennych </t>
  </si>
  <si>
    <t>pomoc dla repatriantów</t>
  </si>
  <si>
    <t>przeprowadzenie poboru do wojska</t>
  </si>
  <si>
    <t>składki na ubezpieczenie zdrowotne za uczniów oraz wychowanków placówek opiekuńczo-wychowawczych</t>
  </si>
  <si>
    <t>pomoc dla uchodźców</t>
  </si>
  <si>
    <t>dotacja dla Zespołu Pieśni i Tańca "Lublin" im. W. Kaniorowej</t>
  </si>
  <si>
    <t>wydatki związane z utrzymaniem zasobów komunalnych, sprzedażą mienia komunalnego oraz szacunki nieruchomości</t>
  </si>
  <si>
    <t>wydatki z zakresu obrony cywilnej</t>
  </si>
  <si>
    <t>wydatki związane ze sprzedażą spółek</t>
  </si>
  <si>
    <t>Gospodarka odpadami</t>
  </si>
  <si>
    <t>działalność w ramach Związku Transgranicznego "Euroregion Bug"</t>
  </si>
  <si>
    <t>koszty przeprowadzek i przechowywania rzeczy osób eksmitowanych oraz zakwaterowania osób poszkodowanych w wypadkach losowych</t>
  </si>
  <si>
    <t xml:space="preserve">zakładowy fundusz świadczeń socjalnych dla nauczycieli emerytów 
i rencistów </t>
  </si>
  <si>
    <t>Kolonie i obozy oraz inne formy wypoczynku dzieci i młodzieży 
szkolnej, a także szkolenia młodzieży</t>
  </si>
  <si>
    <t>Jednostki specjalistycznego poradnictwa, mieszkania chronione 
i ośrodki interwencji kryzysowej</t>
  </si>
  <si>
    <t>Wydatki na zadania realizowane na podstawie porozumień i umów</t>
  </si>
  <si>
    <t>dotacja na prowadzenie Środowiskowego Domu Samopomocy 
przy al. Spółdzielczości Pracy</t>
  </si>
  <si>
    <t>prowadzenie i aktualizacja rejestru wyborców</t>
  </si>
  <si>
    <t>konserwacja urządzeń małej architektury ogrodowej w parkach, 
na skwerach i miejskich placach zabaw</t>
  </si>
  <si>
    <t>składki na ubezpieczenie zdrowotne za osoby bezrobotne bez prawa 
do zasiłku</t>
  </si>
  <si>
    <t>transport zbiorowy w mieście</t>
  </si>
  <si>
    <t>opłata roczna za użytkowanie gruntów pokrytych wodami</t>
  </si>
  <si>
    <t>"Wyprawka szkolna"</t>
  </si>
  <si>
    <t>realizacja projektów w ramach programu Socrates - Comenius</t>
  </si>
  <si>
    <t>realizacja projektu "Turystyczne Centrum Obsługi Ruchu Transgranicznego w Lublinie"</t>
  </si>
  <si>
    <t>dotacja dla Teatru im. H. Ch. Andersena</t>
  </si>
  <si>
    <t>dotacja dla Miejskiej Biblioteki Publicznej im. H. Łopacińskiego</t>
  </si>
  <si>
    <t>realizacja projektu "Blisko, coraz bliżej - Euroregionalny Ośrodek Informacji i Współpracy Kulturalnej w Lublinie"</t>
  </si>
  <si>
    <t xml:space="preserve">utrzymanie miejskich zasobów gruntowych </t>
  </si>
  <si>
    <t>realizacja programu "Promocja wzrostu zatrudnienia wśród młodzieży"</t>
  </si>
  <si>
    <t>opłaty za pobyt osób skierowanych do domów pomocy społecznej poza miasto Lublin</t>
  </si>
  <si>
    <t xml:space="preserve">dotacja na prowadzenie Ośrodka Wsparcia dla Rodzin z Dzieckiem Niepełnosprawnym </t>
  </si>
  <si>
    <t>składki z tytułu członkostwa Miasta Lublin w organizacjach samorządowych</t>
  </si>
  <si>
    <t>zapewnienie miejsc noclegowych w noclegowniach, schroniskach, domach dla bezdomnych i ofiar przemocy</t>
  </si>
  <si>
    <t>prowadzenie banku żywności</t>
  </si>
  <si>
    <t>prowadzenie taniego żywienia w formie kuchni społecznych</t>
  </si>
  <si>
    <t>realizacja programów służących aktywizacji i integracji osób w podeszłym wieku</t>
  </si>
  <si>
    <t xml:space="preserve">dowożenie uczniów </t>
  </si>
  <si>
    <t xml:space="preserve">ogłoszenia prasowe </t>
  </si>
  <si>
    <t>organizacja kursu języka polskiego i kursu adaptacyjnego dla repatriantów</t>
  </si>
  <si>
    <t>realizacja programu z zakresu opieki nad dzieckiem i rodziną</t>
  </si>
  <si>
    <t xml:space="preserve">świadczenia rodzinne </t>
  </si>
  <si>
    <t>realizacja projektu "Podajmy sobie ręce"</t>
  </si>
  <si>
    <t>Miejski Zespół Reagowania Kryzysowego</t>
  </si>
  <si>
    <t xml:space="preserve">dotacje dla publicznych i niepublicznych przedszkoli </t>
  </si>
  <si>
    <t xml:space="preserve">dotacje dla publicznych i niepublicznych gimnazjów </t>
  </si>
  <si>
    <t>dotacje dla publicznych i niepublicznych liceów ogólnokształcących</t>
  </si>
  <si>
    <t>wydatki związane z likwidacją Zespołu Opieki Zdrowotnej 
w Lublinie SP ZOZ</t>
  </si>
  <si>
    <t xml:space="preserve">dotacje na utrzymanie dzieci skierowanych do placówek opiekuńczo-wychowawczych na terenie innych powiatów  </t>
  </si>
  <si>
    <t xml:space="preserve">dotacje na utrzymanie dzieci umieszczonych w rodzinach zastępczych na terenie innych powiatów  </t>
  </si>
  <si>
    <t>dotacja dla Ośrodka "Brama Grodzka - Teatr NN" na Centrum Edukacyjne Lubelski Lipiec '80</t>
  </si>
  <si>
    <t>upowszechnianie kultury fizycznej</t>
  </si>
  <si>
    <t>Świadczenia rodzinne oraz składki na ubezpieczenia emerytalne 
i rentowe z ubezpieczenia społecznego</t>
  </si>
  <si>
    <t>dotacja na prowadzenie domu pomocy społecznej przy ul. Dolińskiego</t>
  </si>
  <si>
    <t>Załącznik nr 2</t>
  </si>
  <si>
    <t>do uchwały nr</t>
  </si>
  <si>
    <t>zadania realizowane w ramach Gminnego Programu Profilaktyki 
i Rozwiązywania Problemów Alkoholowych</t>
  </si>
  <si>
    <t xml:space="preserve">realizacja zadań wynikających ze strategii działań na rzecz osób niepełnosprawnych </t>
  </si>
  <si>
    <t>organizacja obozów szkoleniowych i imprez sportowo-rekreacyjnych 
w okresie ferii zimowych i wakacji letnich</t>
  </si>
  <si>
    <t>Składki na ubezpieczenie zdrowotne opłacane za osoby pobierające niektóre świadczenia z pomocy społecznej 
oraz niektóre świadczenia rodzinne</t>
  </si>
  <si>
    <t xml:space="preserve">wynagrodzenia </t>
  </si>
  <si>
    <t>Euroregiony</t>
  </si>
  <si>
    <t xml:space="preserve">w tym: wynagrodzenia </t>
  </si>
  <si>
    <t>Przedszkola</t>
  </si>
  <si>
    <t>w tym: wynagrodzenia</t>
  </si>
  <si>
    <t>wydatki ochotniczych straży pożarnych</t>
  </si>
  <si>
    <t>Wydatki budżetu miasta na 2006 rok</t>
  </si>
  <si>
    <t>wykonanie                           2005 roku</t>
  </si>
  <si>
    <t>na 2006 rok</t>
  </si>
  <si>
    <t xml:space="preserve">remonty </t>
  </si>
  <si>
    <t>remonty</t>
  </si>
  <si>
    <t>utrzymanie cmentarza żydowskiego przy ul. Walecznych</t>
  </si>
  <si>
    <t>realizacja projektu "Integracja zasobów teleinformatycznych w Urzędzie Miasta Lublin i jednostkach organizacyjnych"</t>
  </si>
  <si>
    <t>promocja miasta</t>
  </si>
  <si>
    <t>Promocja jednostek samorządu terytorialnego</t>
  </si>
  <si>
    <t>realizacja projektu utworzenia Gminnego Centrum Informacji</t>
  </si>
  <si>
    <t>nagrody rzeczowe dla laureatów konkursów z zakresu ochrony przeciwpożarowej</t>
  </si>
  <si>
    <t>realizacja programu "Bezpieczny Lublin"</t>
  </si>
  <si>
    <t>Oddziały przedszkolne przy szkołach podstawowych</t>
  </si>
  <si>
    <t xml:space="preserve">odsetki od pożyczek i kredytów </t>
  </si>
  <si>
    <t>koszty pobytu dzieci w przedszkolach na terenie innych gmin</t>
  </si>
  <si>
    <t>zakup programów komputerowych na potrzeby szkół ponadgimnazjalnych związane z naborem uczniów</t>
  </si>
  <si>
    <t>szkolenia z zakresu udzielania pierwszej pomocy</t>
  </si>
  <si>
    <t>Zasiłki i pomoc w naturze oraz składki na ubezpieczenia emerytalne i rentowe</t>
  </si>
  <si>
    <t>Centra integracji społecznej</t>
  </si>
  <si>
    <t>dotacja dla Centrum Integracji Społecznej "Integro"</t>
  </si>
  <si>
    <t>realizacja Rządowego Programu "Posiłek dla potrzebujących"</t>
  </si>
  <si>
    <t>realizacja projektu "Start młodych"</t>
  </si>
  <si>
    <t>realizacja projektu "Aktywny powrót"</t>
  </si>
  <si>
    <t>rezerwa celowa na finansowanie projektów współfinansowanych ze środków Unii Europejskiej</t>
  </si>
  <si>
    <t>pomoc materialna dla uczniów w ramach Narodowego Programu Stypendialnego</t>
  </si>
  <si>
    <t>audyt zewnętrzny projektu "System stypendilany szansą ponadgimnazjalistów z terenów wiejskich"</t>
  </si>
  <si>
    <t>zadania w zakresie ochrony środowiska</t>
  </si>
  <si>
    <t>dotacja dla Miejskiej Biblioteki Publicznej im. H. Łopacińskiego 
na realizację projektu "Informatyzacja Miejskiej Biblioteki Publicznej 
im. H. Łopacińskiego w Lublinie i utworzenie Publicznych Punktów 
Dostępu do Internetu w filiach MBP" - II etap</t>
  </si>
  <si>
    <t>Ochrona zabytków i opieka nad zabytkami</t>
  </si>
  <si>
    <t>wspieranie sportu kwalifikowanego</t>
  </si>
  <si>
    <t>organizacja imprez sportowo - rekreacyjnych w osiedlach mieszkaniowych</t>
  </si>
  <si>
    <t>rezerwa celowa na usuwanie skutków klęsk żywiołowych</t>
  </si>
  <si>
    <t>realizacja projektu "Na wspólnej drodze. Podnoszenie standardów współpracy transgranicznej samorządów Lublina i Łucka"</t>
  </si>
  <si>
    <t>realizacja projektu "Lubelszczyzna rok po akcesji"</t>
  </si>
  <si>
    <t>dotacja dla Zespołu Pieśni i Tańca "Lublin" im. W. Kaniorowej na udział w International Cheoyong Cultural Festival - Korea</t>
  </si>
  <si>
    <t>dotacja dla Miejskiej Biblioteki Publicznej im. H. Łopacińskiego na zakup nowości wydawniczych w ramach Programu Operacyjnego "Promocja czytelnictwa"</t>
  </si>
  <si>
    <t>wypłata oprocentowania obligacji komunalnych</t>
  </si>
  <si>
    <t>rezerwa celowa na uruchomienie od 1 września 2006 roku nowych segmentów w szkołach</t>
  </si>
  <si>
    <t>w tym: Lubelska Trasa Podziemna</t>
  </si>
  <si>
    <t>wybory ławników</t>
  </si>
  <si>
    <t>Wybory Prezydenta Rzeczypospolitej Polskiej</t>
  </si>
  <si>
    <t>wybory Prezydenta Rzeczypospolitej Polskiej</t>
  </si>
  <si>
    <t>Wybory do Sejmu i Senatu</t>
  </si>
  <si>
    <t>wybory do Sejmu i Senatu</t>
  </si>
  <si>
    <t>Usuwanie skutków klęsk żywiołowych</t>
  </si>
  <si>
    <t>usuwanie skutków klęsk żywiołowych</t>
  </si>
  <si>
    <t>Obrona narodowa</t>
  </si>
  <si>
    <t>Pozostałe wydatki obronne</t>
  </si>
  <si>
    <t>dotacja celowa na prace konserwatorskie, restauratorskie i roboty budowlane zabytków</t>
  </si>
  <si>
    <t>wspomaganie podmiotów zajmujących się upowszechnianiem kultury fizycznej i sportu wśród mieszkańców miasta Lublin w zakresie niezbędnego funkcjonowania komunalnych obiektów sportowych</t>
  </si>
  <si>
    <t>remonty obiektów sportowych</t>
  </si>
  <si>
    <t>realizacja projektu "Informatyzacja Biura Obsługi Mieszkańców 
i wdrożenie elektronicznego systemu obiegu dokumentów"</t>
  </si>
  <si>
    <t xml:space="preserve">komisje egzaminacyjne - wynagrodzenia </t>
  </si>
  <si>
    <t>mieszkania chronione, z tego:</t>
  </si>
  <si>
    <t>Specjalistyczna Poradnia dla Rodzin, z tego:</t>
  </si>
  <si>
    <t>dotacje dla specjalnych niepublicznych ośrodków szkolno-wychowawczych</t>
  </si>
  <si>
    <t>Lokalny Program Rewitalizacji Miasta Lublina</t>
  </si>
  <si>
    <t>Euroregionalny Ośrodek Informacji i Współpracy Kulturalnej w Lublinie</t>
  </si>
  <si>
    <t>nagrody dla zawodników i kadry szkoleniowej</t>
  </si>
  <si>
    <t xml:space="preserve">modernizacja ewidencji gruntów </t>
  </si>
  <si>
    <t>szkolenia obronne</t>
  </si>
  <si>
    <t>dotacja na prowadzenie środowiskowych domów samopomocy dla osób z zaburzeniami psychicznymi</t>
  </si>
  <si>
    <t>dotacja na zakupy inwestycyjne dla środowiskowych domów samopomocy dla osób z zaburzeniami psychicznymi</t>
  </si>
  <si>
    <t>świadczenia rodzinne dla pracowników Straży Pożarnej</t>
  </si>
  <si>
    <t>realizacja projektu "Lubelskie centrum międzynarodowej współpracy gospodarczej"</t>
  </si>
  <si>
    <t>Centrum Interwencji Kryzysowej</t>
  </si>
  <si>
    <t>realizacja projektu: "System stypendialny szansą ponadgimnazjalistów 
z terenów wiejskich"</t>
  </si>
  <si>
    <t>stołówki szkolne, z tego:</t>
  </si>
  <si>
    <t>Środowiskowy Dom Samopomocy przy ul. Gospodarczej, z tego:</t>
  </si>
  <si>
    <t>Środowiskowy Dom Samopomocy przy ul. Kalinowszczyzna, z tego:</t>
  </si>
  <si>
    <t>kluby samopomocy działające przy ul. Pozytywistów i ul. Nałkowskich</t>
  </si>
  <si>
    <t>Andrzej Pruszkowski</t>
  </si>
  <si>
    <t>SKARBNIK MIASTA LUBLIN                 PREZYDENT</t>
  </si>
  <si>
    <t xml:space="preserve">        mgr Irena Szumlak                       Miasta Lublin</t>
  </si>
  <si>
    <t xml:space="preserve">                                                     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</si>
</sst>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11"/>
      <name val="Arial CE"/>
      <family val="2"/>
    </font>
    <font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DotDot"/>
      <bottom style="thin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otted"/>
      <bottom style="dashDotDot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3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0" fillId="2" borderId="0" xfId="0" applyFont="1" applyFill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9" xfId="0" applyNumberFormat="1" applyFont="1" applyBorder="1" applyAlignment="1">
      <alignment horizontal="centerContinuous" vertical="center"/>
    </xf>
    <xf numFmtId="3" fontId="7" fillId="0" borderId="7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3" borderId="17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/>
    </xf>
    <xf numFmtId="0" fontId="12" fillId="0" borderId="21" xfId="0" applyFont="1" applyBorder="1" applyAlignment="1">
      <alignment wrapText="1"/>
    </xf>
    <xf numFmtId="3" fontId="12" fillId="0" borderId="21" xfId="0" applyNumberFormat="1" applyFont="1" applyBorder="1" applyAlignment="1">
      <alignment/>
    </xf>
    <xf numFmtId="0" fontId="8" fillId="3" borderId="17" xfId="0" applyFont="1" applyFill="1" applyBorder="1" applyAlignment="1">
      <alignment/>
    </xf>
    <xf numFmtId="0" fontId="7" fillId="3" borderId="17" xfId="0" applyFont="1" applyFill="1" applyBorder="1" applyAlignment="1">
      <alignment wrapText="1"/>
    </xf>
    <xf numFmtId="3" fontId="7" fillId="3" borderId="17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2" fillId="0" borderId="24" xfId="0" applyFont="1" applyBorder="1" applyAlignment="1">
      <alignment wrapText="1"/>
    </xf>
    <xf numFmtId="3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/>
    </xf>
    <xf numFmtId="3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21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3" fontId="12" fillId="0" borderId="1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0" fontId="7" fillId="2" borderId="22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0" fontId="12" fillId="2" borderId="20" xfId="0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12" fillId="2" borderId="23" xfId="0" applyFont="1" applyFill="1" applyBorder="1" applyAlignment="1">
      <alignment wrapText="1"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0" borderId="17" xfId="0" applyFont="1" applyBorder="1" applyAlignment="1" quotePrefix="1">
      <alignment horizontal="right"/>
    </xf>
    <xf numFmtId="0" fontId="7" fillId="3" borderId="17" xfId="0" applyFont="1" applyFill="1" applyBorder="1" applyAlignment="1" quotePrefix="1">
      <alignment horizontal="right"/>
    </xf>
    <xf numFmtId="0" fontId="12" fillId="2" borderId="21" xfId="0" applyFont="1" applyFill="1" applyBorder="1" applyAlignment="1">
      <alignment wrapText="1"/>
    </xf>
    <xf numFmtId="10" fontId="4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right"/>
    </xf>
    <xf numFmtId="10" fontId="7" fillId="3" borderId="3" xfId="0" applyNumberFormat="1" applyFont="1" applyFill="1" applyBorder="1" applyAlignment="1">
      <alignment/>
    </xf>
    <xf numFmtId="10" fontId="7" fillId="0" borderId="17" xfId="0" applyNumberFormat="1" applyFont="1" applyBorder="1" applyAlignment="1">
      <alignment/>
    </xf>
    <xf numFmtId="10" fontId="12" fillId="0" borderId="17" xfId="0" applyNumberFormat="1" applyFont="1" applyBorder="1" applyAlignment="1">
      <alignment/>
    </xf>
    <xf numFmtId="10" fontId="7" fillId="3" borderId="18" xfId="0" applyNumberFormat="1" applyFont="1" applyFill="1" applyBorder="1" applyAlignment="1">
      <alignment/>
    </xf>
    <xf numFmtId="10" fontId="7" fillId="0" borderId="19" xfId="0" applyNumberFormat="1" applyFont="1" applyBorder="1" applyAlignment="1">
      <alignment/>
    </xf>
    <xf numFmtId="10" fontId="12" fillId="0" borderId="20" xfId="0" applyNumberFormat="1" applyFont="1" applyBorder="1" applyAlignment="1">
      <alignment/>
    </xf>
    <xf numFmtId="10" fontId="7" fillId="3" borderId="17" xfId="0" applyNumberFormat="1" applyFont="1" applyFill="1" applyBorder="1" applyAlignment="1">
      <alignment/>
    </xf>
    <xf numFmtId="10" fontId="12" fillId="0" borderId="23" xfId="0" applyNumberFormat="1" applyFont="1" applyBorder="1" applyAlignment="1">
      <alignment/>
    </xf>
    <xf numFmtId="10" fontId="12" fillId="0" borderId="24" xfId="0" applyNumberFormat="1" applyFont="1" applyBorder="1" applyAlignment="1">
      <alignment/>
    </xf>
    <xf numFmtId="10" fontId="12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10" fontId="12" fillId="0" borderId="5" xfId="0" applyNumberFormat="1" applyFont="1" applyBorder="1" applyAlignment="1">
      <alignment/>
    </xf>
    <xf numFmtId="10" fontId="12" fillId="0" borderId="21" xfId="0" applyNumberFormat="1" applyFont="1" applyBorder="1" applyAlignment="1">
      <alignment/>
    </xf>
    <xf numFmtId="10" fontId="7" fillId="2" borderId="3" xfId="0" applyNumberFormat="1" applyFont="1" applyFill="1" applyBorder="1" applyAlignment="1">
      <alignment/>
    </xf>
    <xf numFmtId="10" fontId="12" fillId="2" borderId="23" xfId="0" applyNumberFormat="1" applyFont="1" applyFill="1" applyBorder="1" applyAlignment="1">
      <alignment/>
    </xf>
    <xf numFmtId="10" fontId="12" fillId="2" borderId="24" xfId="0" applyNumberFormat="1" applyFont="1" applyFill="1" applyBorder="1" applyAlignment="1">
      <alignment/>
    </xf>
    <xf numFmtId="10" fontId="12" fillId="2" borderId="21" xfId="0" applyNumberFormat="1" applyFont="1" applyFill="1" applyBorder="1" applyAlignment="1">
      <alignment/>
    </xf>
    <xf numFmtId="10" fontId="7" fillId="0" borderId="7" xfId="0" applyNumberFormat="1" applyFont="1" applyBorder="1" applyAlignment="1">
      <alignment/>
    </xf>
    <xf numFmtId="10" fontId="7" fillId="0" borderId="5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10" fontId="12" fillId="0" borderId="0" xfId="0" applyNumberFormat="1" applyFont="1" applyAlignment="1">
      <alignment/>
    </xf>
    <xf numFmtId="1" fontId="10" fillId="0" borderId="1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Continuous" vertical="center"/>
    </xf>
    <xf numFmtId="10" fontId="4" fillId="0" borderId="1" xfId="0" applyNumberFormat="1" applyFont="1" applyBorder="1" applyAlignment="1">
      <alignment horizontal="centerContinuous" vertical="center"/>
    </xf>
    <xf numFmtId="10" fontId="7" fillId="0" borderId="2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12" fillId="2" borderId="24" xfId="0" applyFont="1" applyFill="1" applyBorder="1" applyAlignment="1">
      <alignment wrapText="1"/>
    </xf>
    <xf numFmtId="10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wrapText="1"/>
    </xf>
    <xf numFmtId="3" fontId="12" fillId="0" borderId="29" xfId="0" applyNumberFormat="1" applyFont="1" applyBorder="1" applyAlignment="1">
      <alignment/>
    </xf>
    <xf numFmtId="10" fontId="12" fillId="0" borderId="29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/>
    </xf>
    <xf numFmtId="10" fontId="12" fillId="0" borderId="3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1" xfId="0" applyFont="1" applyBorder="1" applyAlignment="1">
      <alignment/>
    </xf>
    <xf numFmtId="3" fontId="12" fillId="0" borderId="31" xfId="0" applyNumberFormat="1" applyFont="1" applyBorder="1" applyAlignment="1">
      <alignment/>
    </xf>
    <xf numFmtId="10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 wrapText="1"/>
    </xf>
    <xf numFmtId="0" fontId="12" fillId="0" borderId="33" xfId="0" applyFont="1" applyBorder="1" applyAlignment="1">
      <alignment/>
    </xf>
    <xf numFmtId="3" fontId="12" fillId="0" borderId="33" xfId="0" applyNumberFormat="1" applyFont="1" applyBorder="1" applyAlignment="1">
      <alignment/>
    </xf>
    <xf numFmtId="10" fontId="12" fillId="0" borderId="33" xfId="0" applyNumberFormat="1" applyFont="1" applyBorder="1" applyAlignment="1">
      <alignment/>
    </xf>
    <xf numFmtId="0" fontId="12" fillId="0" borderId="33" xfId="0" applyFont="1" applyBorder="1" applyAlignment="1">
      <alignment wrapText="1"/>
    </xf>
    <xf numFmtId="3" fontId="12" fillId="0" borderId="34" xfId="0" applyNumberFormat="1" applyFont="1" applyBorder="1" applyAlignment="1">
      <alignment/>
    </xf>
    <xf numFmtId="10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 wrapText="1"/>
    </xf>
    <xf numFmtId="10" fontId="12" fillId="0" borderId="35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2" fillId="2" borderId="31" xfId="0" applyFont="1" applyFill="1" applyBorder="1" applyAlignment="1">
      <alignment/>
    </xf>
    <xf numFmtId="0" fontId="12" fillId="0" borderId="36" xfId="0" applyFont="1" applyBorder="1" applyAlignment="1">
      <alignment/>
    </xf>
    <xf numFmtId="3" fontId="12" fillId="0" borderId="36" xfId="0" applyNumberFormat="1" applyFont="1" applyBorder="1" applyAlignment="1">
      <alignment/>
    </xf>
    <xf numFmtId="10" fontId="12" fillId="0" borderId="36" xfId="0" applyNumberFormat="1" applyFont="1" applyBorder="1" applyAlignment="1">
      <alignment/>
    </xf>
    <xf numFmtId="3" fontId="12" fillId="2" borderId="31" xfId="0" applyNumberFormat="1" applyFont="1" applyFill="1" applyBorder="1" applyAlignment="1">
      <alignment/>
    </xf>
    <xf numFmtId="10" fontId="12" fillId="2" borderId="31" xfId="0" applyNumberFormat="1" applyFont="1" applyFill="1" applyBorder="1" applyAlignment="1">
      <alignment/>
    </xf>
    <xf numFmtId="10" fontId="12" fillId="2" borderId="20" xfId="0" applyNumberFormat="1" applyFont="1" applyFill="1" applyBorder="1" applyAlignment="1">
      <alignment/>
    </xf>
    <xf numFmtId="0" fontId="12" fillId="2" borderId="28" xfId="0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10" fontId="12" fillId="2" borderId="28" xfId="0" applyNumberFormat="1" applyFont="1" applyFill="1" applyBorder="1" applyAlignment="1">
      <alignment/>
    </xf>
    <xf numFmtId="0" fontId="12" fillId="0" borderId="37" xfId="0" applyFont="1" applyBorder="1" applyAlignment="1">
      <alignment wrapText="1"/>
    </xf>
    <xf numFmtId="3" fontId="12" fillId="0" borderId="37" xfId="0" applyNumberFormat="1" applyFont="1" applyBorder="1" applyAlignment="1">
      <alignment/>
    </xf>
    <xf numFmtId="10" fontId="12" fillId="0" borderId="37" xfId="0" applyNumberFormat="1" applyFont="1" applyBorder="1" applyAlignment="1">
      <alignment/>
    </xf>
    <xf numFmtId="0" fontId="12" fillId="0" borderId="22" xfId="0" applyFont="1" applyBorder="1" applyAlignment="1">
      <alignment wrapText="1"/>
    </xf>
    <xf numFmtId="3" fontId="12" fillId="0" borderId="22" xfId="0" applyNumberFormat="1" applyFont="1" applyBorder="1" applyAlignment="1">
      <alignment/>
    </xf>
    <xf numFmtId="10" fontId="12" fillId="0" borderId="22" xfId="0" applyNumberFormat="1" applyFont="1" applyBorder="1" applyAlignment="1">
      <alignment/>
    </xf>
    <xf numFmtId="0" fontId="11" fillId="0" borderId="20" xfId="0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 wrapText="1"/>
    </xf>
    <xf numFmtId="3" fontId="11" fillId="0" borderId="38" xfId="0" applyNumberFormat="1" applyFont="1" applyBorder="1" applyAlignment="1">
      <alignment/>
    </xf>
    <xf numFmtId="10" fontId="11" fillId="0" borderId="38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1" xfId="0" applyFont="1" applyBorder="1" applyAlignment="1">
      <alignment wrapText="1"/>
    </xf>
    <xf numFmtId="3" fontId="11" fillId="0" borderId="21" xfId="0" applyNumberFormat="1" applyFont="1" applyBorder="1" applyAlignment="1">
      <alignment/>
    </xf>
    <xf numFmtId="10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/>
    </xf>
    <xf numFmtId="10" fontId="11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38" xfId="0" applyFont="1" applyBorder="1" applyAlignment="1">
      <alignment/>
    </xf>
    <xf numFmtId="0" fontId="12" fillId="0" borderId="37" xfId="0" applyFont="1" applyBorder="1" applyAlignment="1">
      <alignment/>
    </xf>
    <xf numFmtId="10" fontId="0" fillId="0" borderId="20" xfId="0" applyNumberFormat="1" applyFont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wrapText="1"/>
    </xf>
    <xf numFmtId="3" fontId="11" fillId="2" borderId="3" xfId="0" applyNumberFormat="1" applyFont="1" applyFill="1" applyBorder="1" applyAlignment="1">
      <alignment/>
    </xf>
    <xf numFmtId="10" fontId="11" fillId="2" borderId="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38" xfId="0" applyFont="1" applyFill="1" applyBorder="1" applyAlignment="1">
      <alignment wrapText="1"/>
    </xf>
    <xf numFmtId="3" fontId="11" fillId="2" borderId="38" xfId="0" applyNumberFormat="1" applyFont="1" applyFill="1" applyBorder="1" applyAlignment="1">
      <alignment/>
    </xf>
    <xf numFmtId="10" fontId="11" fillId="2" borderId="38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12" fillId="2" borderId="17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10" fontId="12" fillId="2" borderId="17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wrapText="1"/>
    </xf>
    <xf numFmtId="3" fontId="11" fillId="0" borderId="31" xfId="0" applyNumberFormat="1" applyFont="1" applyBorder="1" applyAlignment="1">
      <alignment/>
    </xf>
    <xf numFmtId="10" fontId="11" fillId="0" borderId="31" xfId="0" applyNumberFormat="1" applyFont="1" applyBorder="1" applyAlignment="1">
      <alignment/>
    </xf>
    <xf numFmtId="0" fontId="12" fillId="2" borderId="5" xfId="0" applyFont="1" applyFill="1" applyBorder="1" applyAlignment="1">
      <alignment wrapText="1"/>
    </xf>
    <xf numFmtId="3" fontId="12" fillId="2" borderId="5" xfId="0" applyNumberFormat="1" applyFont="1" applyFill="1" applyBorder="1" applyAlignment="1">
      <alignment/>
    </xf>
    <xf numFmtId="10" fontId="12" fillId="2" borderId="5" xfId="0" applyNumberFormat="1" applyFont="1" applyFill="1" applyBorder="1" applyAlignment="1">
      <alignment/>
    </xf>
    <xf numFmtId="0" fontId="12" fillId="2" borderId="31" xfId="0" applyFont="1" applyFill="1" applyBorder="1" applyAlignment="1">
      <alignment wrapText="1"/>
    </xf>
    <xf numFmtId="0" fontId="15" fillId="0" borderId="3" xfId="0" applyFont="1" applyBorder="1" applyAlignment="1">
      <alignment/>
    </xf>
    <xf numFmtId="0" fontId="16" fillId="0" borderId="0" xfId="0" applyFont="1" applyAlignment="1">
      <alignment/>
    </xf>
    <xf numFmtId="0" fontId="11" fillId="0" borderId="40" xfId="0" applyFont="1" applyBorder="1" applyAlignment="1">
      <alignment wrapText="1"/>
    </xf>
    <xf numFmtId="3" fontId="11" fillId="0" borderId="40" xfId="0" applyNumberFormat="1" applyFont="1" applyBorder="1" applyAlignment="1">
      <alignment/>
    </xf>
    <xf numFmtId="10" fontId="11" fillId="0" borderId="40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10" fontId="12" fillId="2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22</xdr:row>
      <xdr:rowOff>0</xdr:rowOff>
    </xdr:from>
    <xdr:to>
      <xdr:col>1</xdr:col>
      <xdr:colOff>438150</xdr:colOff>
      <xdr:row>22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5581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5581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6"/>
  <sheetViews>
    <sheetView tabSelected="1" zoomScale="75" zoomScaleNormal="75" workbookViewId="0" topLeftCell="A10">
      <pane ySplit="1350" topLeftCell="BM607" activePane="bottomLeft" state="split"/>
      <selection pane="topLeft" activeCell="F11" sqref="F11"/>
      <selection pane="bottomLeft" activeCell="C616" sqref="C616"/>
    </sheetView>
  </sheetViews>
  <sheetFormatPr defaultColWidth="9.00390625" defaultRowHeight="12.75"/>
  <cols>
    <col min="1" max="1" width="5.375" style="3" customWidth="1"/>
    <col min="2" max="2" width="7.375" style="3" customWidth="1"/>
    <col min="3" max="3" width="65.25390625" style="3" customWidth="1"/>
    <col min="4" max="8" width="15.75390625" style="6" customWidth="1"/>
    <col min="9" max="9" width="11.125" style="122" customWidth="1"/>
    <col min="10" max="10" width="15.375" style="3" customWidth="1"/>
    <col min="11" max="11" width="7.875" style="3" customWidth="1"/>
    <col min="12" max="12" width="11.625" style="3" bestFit="1" customWidth="1"/>
    <col min="13" max="16384" width="7.875" style="3" customWidth="1"/>
  </cols>
  <sheetData>
    <row r="1" ht="19.5" customHeight="1">
      <c r="H1" s="114" t="s">
        <v>273</v>
      </c>
    </row>
    <row r="2" ht="19.5" customHeight="1">
      <c r="H2" s="114" t="s">
        <v>274</v>
      </c>
    </row>
    <row r="3" spans="3:8" ht="19.5" customHeight="1">
      <c r="C3" s="26" t="s">
        <v>285</v>
      </c>
      <c r="H3" s="114" t="s">
        <v>195</v>
      </c>
    </row>
    <row r="4" spans="3:8" ht="19.5" customHeight="1">
      <c r="C4" s="4"/>
      <c r="H4" s="114" t="s">
        <v>96</v>
      </c>
    </row>
    <row r="5" ht="15.75">
      <c r="C5" s="4"/>
    </row>
    <row r="6" spans="8:9" ht="15.75" thickBot="1">
      <c r="H6" s="16" t="s">
        <v>15</v>
      </c>
      <c r="I6" s="123"/>
    </row>
    <row r="7" spans="1:9" ht="17.25" customHeight="1" thickBot="1" thickTop="1">
      <c r="A7" s="1"/>
      <c r="B7" s="1"/>
      <c r="C7" s="2"/>
      <c r="D7" s="8"/>
      <c r="E7" s="8"/>
      <c r="F7" s="39" t="s">
        <v>9</v>
      </c>
      <c r="G7" s="27"/>
      <c r="H7" s="27"/>
      <c r="I7" s="149"/>
    </row>
    <row r="8" spans="1:9" ht="22.5" customHeight="1" thickBot="1" thickTop="1">
      <c r="A8" s="37"/>
      <c r="B8" s="37"/>
      <c r="C8" s="30" t="s">
        <v>0</v>
      </c>
      <c r="D8" s="31" t="s">
        <v>1</v>
      </c>
      <c r="E8" s="32" t="s">
        <v>8</v>
      </c>
      <c r="F8" s="33" t="s">
        <v>204</v>
      </c>
      <c r="G8" s="38"/>
      <c r="H8" s="148" t="s">
        <v>12</v>
      </c>
      <c r="I8" s="150" t="s">
        <v>2</v>
      </c>
    </row>
    <row r="9" spans="1:9" ht="36.75" customHeight="1" thickBot="1" thickTop="1">
      <c r="A9" s="9" t="s">
        <v>139</v>
      </c>
      <c r="B9" s="9" t="s">
        <v>3</v>
      </c>
      <c r="C9" s="25" t="s">
        <v>95</v>
      </c>
      <c r="D9" s="34" t="s">
        <v>286</v>
      </c>
      <c r="E9" s="35" t="s">
        <v>287</v>
      </c>
      <c r="F9" s="36" t="s">
        <v>10</v>
      </c>
      <c r="G9" s="36" t="s">
        <v>11</v>
      </c>
      <c r="H9" s="36" t="s">
        <v>13</v>
      </c>
      <c r="I9" s="124" t="s">
        <v>99</v>
      </c>
    </row>
    <row r="10" spans="1:9" s="49" customFormat="1" ht="14.25" customHeight="1" thickBot="1" thickTop="1">
      <c r="A10" s="47">
        <v>1</v>
      </c>
      <c r="B10" s="47">
        <v>2</v>
      </c>
      <c r="C10" s="47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147">
        <v>9</v>
      </c>
    </row>
    <row r="11" spans="1:12" s="7" customFormat="1" ht="24.75" customHeight="1" thickBot="1" thickTop="1">
      <c r="A11" s="11"/>
      <c r="B11" s="11"/>
      <c r="C11" s="158" t="s">
        <v>166</v>
      </c>
      <c r="D11" s="40">
        <f>D13+D473+D504</f>
        <v>778761815</v>
      </c>
      <c r="E11" s="40">
        <f>E13+E473+E504</f>
        <v>882183157</v>
      </c>
      <c r="F11" s="40">
        <f>F13+F473+F504</f>
        <v>725307877</v>
      </c>
      <c r="G11" s="40">
        <f>G13+G473+G504</f>
        <v>12937500</v>
      </c>
      <c r="H11" s="40">
        <f>H13+H473+H504</f>
        <v>156875280</v>
      </c>
      <c r="I11" s="41">
        <f>E11/D11</f>
        <v>1.1328022766498893</v>
      </c>
      <c r="J11" s="151">
        <f>882183042-E11</f>
        <v>-115</v>
      </c>
      <c r="L11" s="151"/>
    </row>
    <row r="12" spans="1:9" s="7" customFormat="1" ht="19.5" customHeight="1">
      <c r="A12" s="12"/>
      <c r="B12" s="12"/>
      <c r="C12" s="15" t="s">
        <v>9</v>
      </c>
      <c r="D12" s="13"/>
      <c r="E12" s="14"/>
      <c r="F12" s="13"/>
      <c r="G12" s="13"/>
      <c r="H12" s="13"/>
      <c r="I12" s="29"/>
    </row>
    <row r="13" spans="1:12" s="7" customFormat="1" ht="19.5" customHeight="1" thickBot="1">
      <c r="A13" s="10"/>
      <c r="B13" s="10"/>
      <c r="C13" s="17" t="s">
        <v>14</v>
      </c>
      <c r="D13" s="28">
        <f>D14+D17+D20+D24+D41+D47+D62+D74+D95+D113+D118+D122+D138+D237+D254+D316+D334+D390+D429+D458</f>
        <v>693795520</v>
      </c>
      <c r="E13" s="28">
        <f>E14+E17+E20+E24+E41+E47+E62+E74+E95+E113+E118+E122+E138+E237+E254+E316+E334+E390+E429+E458</f>
        <v>780922624</v>
      </c>
      <c r="F13" s="28">
        <f>F14+F17+F20+F24+F41+F47+F62+F74+F95+F113+F118+F122+F138+F237+F254+F316+F334+F390+F429+F458</f>
        <v>624131344</v>
      </c>
      <c r="G13" s="28">
        <f>G14+G17+G20+G24+G41+G47+G62+G74+G95+G113+G118+G122+G138+G237+G254+G316+G334+G390+G429+G458</f>
        <v>12507500</v>
      </c>
      <c r="H13" s="28">
        <f>H14+H17+H20+H24+H41+H47+H62+H74+H95+H113+H118+H122+H138+H237+H254+H316+H334+H390+H429+H458</f>
        <v>156791280</v>
      </c>
      <c r="I13" s="125">
        <f aca="true" t="shared" si="0" ref="I13:I77">E13/D13</f>
        <v>1.1255803784953815</v>
      </c>
      <c r="J13" s="151"/>
      <c r="L13" s="151"/>
    </row>
    <row r="14" spans="1:9" s="7" customFormat="1" ht="19.5" customHeight="1" thickTop="1">
      <c r="A14" s="118" t="s">
        <v>83</v>
      </c>
      <c r="B14" s="50"/>
      <c r="C14" s="51" t="s">
        <v>84</v>
      </c>
      <c r="D14" s="52">
        <f aca="true" t="shared" si="1" ref="D14:F15">D15</f>
        <v>15000</v>
      </c>
      <c r="E14" s="52">
        <f t="shared" si="1"/>
        <v>11000</v>
      </c>
      <c r="F14" s="52">
        <f t="shared" si="1"/>
        <v>11000</v>
      </c>
      <c r="G14" s="52"/>
      <c r="H14" s="52"/>
      <c r="I14" s="126">
        <f t="shared" si="0"/>
        <v>0.7333333333333333</v>
      </c>
    </row>
    <row r="15" spans="1:9" s="43" customFormat="1" ht="19.5" customHeight="1">
      <c r="A15" s="54"/>
      <c r="B15" s="119" t="s">
        <v>151</v>
      </c>
      <c r="C15" s="55" t="s">
        <v>152</v>
      </c>
      <c r="D15" s="56">
        <f t="shared" si="1"/>
        <v>15000</v>
      </c>
      <c r="E15" s="56">
        <f t="shared" si="1"/>
        <v>11000</v>
      </c>
      <c r="F15" s="56">
        <f t="shared" si="1"/>
        <v>11000</v>
      </c>
      <c r="G15" s="56"/>
      <c r="H15" s="56"/>
      <c r="I15" s="127">
        <f t="shared" si="0"/>
        <v>0.7333333333333333</v>
      </c>
    </row>
    <row r="16" spans="1:9" s="44" customFormat="1" ht="19.5" customHeight="1">
      <c r="A16" s="58"/>
      <c r="B16" s="58"/>
      <c r="C16" s="85" t="s">
        <v>153</v>
      </c>
      <c r="D16" s="86">
        <v>15000</v>
      </c>
      <c r="E16" s="86">
        <f>F16+H16</f>
        <v>11000</v>
      </c>
      <c r="F16" s="116">
        <v>11000</v>
      </c>
      <c r="G16" s="117"/>
      <c r="H16" s="86"/>
      <c r="I16" s="128">
        <f t="shared" si="0"/>
        <v>0.7333333333333333</v>
      </c>
    </row>
    <row r="17" spans="1:9" s="7" customFormat="1" ht="19.5" customHeight="1">
      <c r="A17" s="120" t="s">
        <v>86</v>
      </c>
      <c r="B17" s="50"/>
      <c r="C17" s="51" t="s">
        <v>87</v>
      </c>
      <c r="D17" s="52">
        <f aca="true" t="shared" si="2" ref="D17:F18">D18</f>
        <v>5150</v>
      </c>
      <c r="E17" s="52">
        <f t="shared" si="2"/>
        <v>5200</v>
      </c>
      <c r="F17" s="52">
        <f t="shared" si="2"/>
        <v>5200</v>
      </c>
      <c r="G17" s="52"/>
      <c r="H17" s="52"/>
      <c r="I17" s="126">
        <f t="shared" si="0"/>
        <v>1.0097087378640777</v>
      </c>
    </row>
    <row r="18" spans="1:9" s="43" customFormat="1" ht="19.5" customHeight="1">
      <c r="A18" s="54"/>
      <c r="B18" s="119" t="s">
        <v>148</v>
      </c>
      <c r="C18" s="55" t="s">
        <v>162</v>
      </c>
      <c r="D18" s="56">
        <f t="shared" si="2"/>
        <v>5150</v>
      </c>
      <c r="E18" s="56">
        <f t="shared" si="2"/>
        <v>5200</v>
      </c>
      <c r="F18" s="56">
        <f t="shared" si="2"/>
        <v>5200</v>
      </c>
      <c r="G18" s="56"/>
      <c r="H18" s="56"/>
      <c r="I18" s="127">
        <f t="shared" si="0"/>
        <v>1.0097087378640777</v>
      </c>
    </row>
    <row r="19" spans="1:9" s="44" customFormat="1" ht="19.5" customHeight="1">
      <c r="A19" s="58"/>
      <c r="B19" s="58"/>
      <c r="C19" s="85" t="s">
        <v>88</v>
      </c>
      <c r="D19" s="86">
        <v>5150</v>
      </c>
      <c r="E19" s="86">
        <f>F19+H19</f>
        <v>5200</v>
      </c>
      <c r="F19" s="116">
        <v>5200</v>
      </c>
      <c r="G19" s="117"/>
      <c r="H19" s="86"/>
      <c r="I19" s="128">
        <f t="shared" si="0"/>
        <v>1.0097087378640777</v>
      </c>
    </row>
    <row r="20" spans="1:9" s="7" customFormat="1" ht="19.5" customHeight="1">
      <c r="A20" s="50">
        <v>500</v>
      </c>
      <c r="B20" s="50"/>
      <c r="C20" s="51" t="s">
        <v>7</v>
      </c>
      <c r="D20" s="52">
        <f>D21</f>
        <v>4800</v>
      </c>
      <c r="E20" s="53">
        <f>E21</f>
        <v>4800</v>
      </c>
      <c r="F20" s="53">
        <f>F21</f>
        <v>4800</v>
      </c>
      <c r="G20" s="53"/>
      <c r="H20" s="53"/>
      <c r="I20" s="129">
        <f t="shared" si="0"/>
        <v>1</v>
      </c>
    </row>
    <row r="21" spans="1:9" s="43" customFormat="1" ht="19.5" customHeight="1">
      <c r="A21" s="54"/>
      <c r="B21" s="55">
        <v>50095</v>
      </c>
      <c r="C21" s="55" t="s">
        <v>4</v>
      </c>
      <c r="D21" s="56">
        <f>SUM(D22:D22)</f>
        <v>4800</v>
      </c>
      <c r="E21" s="57">
        <f>SUM(E22:E22)</f>
        <v>4800</v>
      </c>
      <c r="F21" s="57">
        <f>SUM(F22:F22)</f>
        <v>4800</v>
      </c>
      <c r="G21" s="57"/>
      <c r="H21" s="57"/>
      <c r="I21" s="130">
        <f t="shared" si="0"/>
        <v>1</v>
      </c>
    </row>
    <row r="22" spans="1:9" s="7" customFormat="1" ht="19.5" customHeight="1">
      <c r="A22" s="66"/>
      <c r="B22" s="66"/>
      <c r="C22" s="87" t="s">
        <v>5</v>
      </c>
      <c r="D22" s="69">
        <v>4800</v>
      </c>
      <c r="E22" s="69">
        <f>F22+H22</f>
        <v>4800</v>
      </c>
      <c r="F22" s="69">
        <v>4800</v>
      </c>
      <c r="G22" s="69"/>
      <c r="H22" s="69"/>
      <c r="I22" s="133">
        <f t="shared" si="0"/>
        <v>1</v>
      </c>
    </row>
    <row r="23" spans="1:9" s="44" customFormat="1" ht="18" customHeight="1">
      <c r="A23" s="58"/>
      <c r="B23" s="58"/>
      <c r="C23" s="199" t="s">
        <v>283</v>
      </c>
      <c r="D23" s="200">
        <v>4800</v>
      </c>
      <c r="E23" s="200">
        <f>F23</f>
        <v>4800</v>
      </c>
      <c r="F23" s="200">
        <v>4800</v>
      </c>
      <c r="G23" s="200"/>
      <c r="H23" s="200"/>
      <c r="I23" s="201">
        <f t="shared" si="0"/>
        <v>1</v>
      </c>
    </row>
    <row r="24" spans="1:9" s="7" customFormat="1" ht="19.5" customHeight="1">
      <c r="A24" s="50">
        <v>600</v>
      </c>
      <c r="B24" s="63"/>
      <c r="C24" s="64" t="s">
        <v>154</v>
      </c>
      <c r="D24" s="65">
        <f>D25+D30+D34+D38</f>
        <v>63422194</v>
      </c>
      <c r="E24" s="65">
        <f>E25+E30+E34+E38</f>
        <v>98050835</v>
      </c>
      <c r="F24" s="65">
        <f>F25+F30+F34+F38</f>
        <v>28672835</v>
      </c>
      <c r="G24" s="65">
        <f>G25+G30+G34+G38</f>
        <v>4500000</v>
      </c>
      <c r="H24" s="65">
        <f>H25+H30+H34+H38</f>
        <v>69378000</v>
      </c>
      <c r="I24" s="132">
        <f t="shared" si="0"/>
        <v>1.5460019405825034</v>
      </c>
    </row>
    <row r="25" spans="1:9" s="45" customFormat="1" ht="19.5" customHeight="1">
      <c r="A25" s="66"/>
      <c r="B25" s="55">
        <v>60004</v>
      </c>
      <c r="C25" s="55" t="s">
        <v>16</v>
      </c>
      <c r="D25" s="56">
        <f>SUM(D26:D29)</f>
        <v>18039724</v>
      </c>
      <c r="E25" s="56">
        <f>SUM(E26:E29)</f>
        <v>17872835</v>
      </c>
      <c r="F25" s="56">
        <f>SUM(F26:F29)</f>
        <v>13572835</v>
      </c>
      <c r="G25" s="56"/>
      <c r="H25" s="56">
        <f>SUM(H26:H29)</f>
        <v>4300000</v>
      </c>
      <c r="I25" s="127">
        <f t="shared" si="0"/>
        <v>0.9907488052477965</v>
      </c>
    </row>
    <row r="26" spans="1:9" s="45" customFormat="1" ht="19.5" customHeight="1">
      <c r="A26" s="66"/>
      <c r="B26" s="67"/>
      <c r="C26" s="68" t="s">
        <v>100</v>
      </c>
      <c r="D26" s="69">
        <v>6000000</v>
      </c>
      <c r="E26" s="69">
        <f aca="true" t="shared" si="3" ref="E26:E39">F26+H26</f>
        <v>6500000</v>
      </c>
      <c r="F26" s="69">
        <v>6500000</v>
      </c>
      <c r="G26" s="69"/>
      <c r="H26" s="69"/>
      <c r="I26" s="133">
        <f t="shared" si="0"/>
        <v>1.0833333333333333</v>
      </c>
    </row>
    <row r="27" spans="1:9" s="45" customFormat="1" ht="19.5" customHeight="1">
      <c r="A27" s="66"/>
      <c r="B27" s="66"/>
      <c r="C27" s="76" t="s">
        <v>187</v>
      </c>
      <c r="D27" s="75">
        <v>10879724</v>
      </c>
      <c r="E27" s="75">
        <f t="shared" si="3"/>
        <v>6922835</v>
      </c>
      <c r="F27" s="75">
        <v>6922835</v>
      </c>
      <c r="G27" s="75"/>
      <c r="H27" s="75"/>
      <c r="I27" s="134">
        <f t="shared" si="0"/>
        <v>0.6363061232068019</v>
      </c>
    </row>
    <row r="28" spans="1:9" s="45" customFormat="1" ht="19.5" customHeight="1">
      <c r="A28" s="66"/>
      <c r="B28" s="66"/>
      <c r="C28" s="94" t="s">
        <v>239</v>
      </c>
      <c r="D28" s="60">
        <v>180000</v>
      </c>
      <c r="E28" s="60">
        <f t="shared" si="3"/>
        <v>150000</v>
      </c>
      <c r="F28" s="60">
        <v>150000</v>
      </c>
      <c r="G28" s="60"/>
      <c r="H28" s="60"/>
      <c r="I28" s="134">
        <f t="shared" si="0"/>
        <v>0.8333333333333334</v>
      </c>
    </row>
    <row r="29" spans="1:9" s="7" customFormat="1" ht="19.5" customHeight="1">
      <c r="A29" s="66"/>
      <c r="B29" s="70"/>
      <c r="C29" s="70" t="s">
        <v>6</v>
      </c>
      <c r="D29" s="71">
        <v>980000</v>
      </c>
      <c r="E29" s="71">
        <f t="shared" si="3"/>
        <v>4300000</v>
      </c>
      <c r="F29" s="71"/>
      <c r="G29" s="71"/>
      <c r="H29" s="71">
        <v>4300000</v>
      </c>
      <c r="I29" s="135">
        <f t="shared" si="0"/>
        <v>4.387755102040816</v>
      </c>
    </row>
    <row r="30" spans="1:9" s="45" customFormat="1" ht="19.5" customHeight="1">
      <c r="A30" s="66"/>
      <c r="B30" s="72">
        <v>60015</v>
      </c>
      <c r="C30" s="72" t="s">
        <v>17</v>
      </c>
      <c r="D30" s="73">
        <f>SUM(D31:D33)</f>
        <v>35562130</v>
      </c>
      <c r="E30" s="73">
        <f>SUM(E31:E33)</f>
        <v>73372000</v>
      </c>
      <c r="F30" s="73">
        <f>SUM(F31:F33)</f>
        <v>11100000</v>
      </c>
      <c r="G30" s="73">
        <f>SUM(G31:G33)</f>
        <v>3500000</v>
      </c>
      <c r="H30" s="73">
        <f>SUM(H31:H33)</f>
        <v>62272000</v>
      </c>
      <c r="I30" s="136">
        <f t="shared" si="0"/>
        <v>2.063206000315504</v>
      </c>
    </row>
    <row r="31" spans="1:9" s="45" customFormat="1" ht="19.5" customHeight="1">
      <c r="A31" s="70"/>
      <c r="B31" s="84"/>
      <c r="C31" s="84" t="s">
        <v>19</v>
      </c>
      <c r="D31" s="86">
        <v>7800000</v>
      </c>
      <c r="E31" s="86">
        <f t="shared" si="3"/>
        <v>7600000</v>
      </c>
      <c r="F31" s="86">
        <v>7600000</v>
      </c>
      <c r="G31" s="86"/>
      <c r="H31" s="86"/>
      <c r="I31" s="128">
        <f t="shared" si="0"/>
        <v>0.9743589743589743</v>
      </c>
    </row>
    <row r="32" spans="1:9" s="45" customFormat="1" ht="19.5" customHeight="1">
      <c r="A32" s="66"/>
      <c r="B32" s="66"/>
      <c r="C32" s="94" t="s">
        <v>288</v>
      </c>
      <c r="D32" s="60">
        <v>2373030</v>
      </c>
      <c r="E32" s="60">
        <f t="shared" si="3"/>
        <v>3500000</v>
      </c>
      <c r="F32" s="60">
        <f>1500000+2000000</f>
        <v>3500000</v>
      </c>
      <c r="G32" s="60">
        <f>1500000+2000000</f>
        <v>3500000</v>
      </c>
      <c r="H32" s="60"/>
      <c r="I32" s="131">
        <f t="shared" si="0"/>
        <v>1.47490760757344</v>
      </c>
    </row>
    <row r="33" spans="1:9" s="7" customFormat="1" ht="19.5" customHeight="1">
      <c r="A33" s="66"/>
      <c r="B33" s="70"/>
      <c r="C33" s="70" t="s">
        <v>6</v>
      </c>
      <c r="D33" s="71">
        <v>25389100</v>
      </c>
      <c r="E33" s="71">
        <f t="shared" si="3"/>
        <v>62272000</v>
      </c>
      <c r="F33" s="71"/>
      <c r="G33" s="71"/>
      <c r="H33" s="71">
        <v>62272000</v>
      </c>
      <c r="I33" s="135">
        <f t="shared" si="0"/>
        <v>2.45270608253148</v>
      </c>
    </row>
    <row r="34" spans="1:9" s="7" customFormat="1" ht="19.5" customHeight="1">
      <c r="A34" s="66"/>
      <c r="B34" s="72">
        <v>60016</v>
      </c>
      <c r="C34" s="72" t="s">
        <v>18</v>
      </c>
      <c r="D34" s="73">
        <f>SUM(D35:D37)</f>
        <v>9284470</v>
      </c>
      <c r="E34" s="73">
        <f>SUM(E35:E37)</f>
        <v>6236000</v>
      </c>
      <c r="F34" s="73">
        <f>SUM(F35:F37)</f>
        <v>3650000</v>
      </c>
      <c r="G34" s="73">
        <f>SUM(G35:G37)</f>
        <v>1000000</v>
      </c>
      <c r="H34" s="73">
        <f>SUM(H35:H37)</f>
        <v>2586000</v>
      </c>
      <c r="I34" s="136">
        <f t="shared" si="0"/>
        <v>0.671659233106467</v>
      </c>
    </row>
    <row r="35" spans="1:9" s="7" customFormat="1" ht="19.5" customHeight="1">
      <c r="A35" s="66"/>
      <c r="B35" s="66"/>
      <c r="C35" s="68" t="s">
        <v>19</v>
      </c>
      <c r="D35" s="69">
        <v>2700000</v>
      </c>
      <c r="E35" s="69">
        <f t="shared" si="3"/>
        <v>2650000</v>
      </c>
      <c r="F35" s="69">
        <v>2650000</v>
      </c>
      <c r="G35" s="69"/>
      <c r="H35" s="69"/>
      <c r="I35" s="133">
        <f t="shared" si="0"/>
        <v>0.9814814814814815</v>
      </c>
    </row>
    <row r="36" spans="1:9" s="7" customFormat="1" ht="19.5" customHeight="1">
      <c r="A36" s="66"/>
      <c r="B36" s="66"/>
      <c r="C36" s="76" t="s">
        <v>289</v>
      </c>
      <c r="D36" s="75">
        <v>800000</v>
      </c>
      <c r="E36" s="75">
        <f t="shared" si="3"/>
        <v>1000000</v>
      </c>
      <c r="F36" s="75">
        <v>1000000</v>
      </c>
      <c r="G36" s="75">
        <v>1000000</v>
      </c>
      <c r="H36" s="75"/>
      <c r="I36" s="134">
        <f t="shared" si="0"/>
        <v>1.25</v>
      </c>
    </row>
    <row r="37" spans="1:9" s="7" customFormat="1" ht="19.5" customHeight="1">
      <c r="A37" s="66"/>
      <c r="B37" s="70"/>
      <c r="C37" s="70" t="s">
        <v>6</v>
      </c>
      <c r="D37" s="71">
        <v>5784470</v>
      </c>
      <c r="E37" s="71">
        <f t="shared" si="3"/>
        <v>2586000</v>
      </c>
      <c r="F37" s="71"/>
      <c r="G37" s="71"/>
      <c r="H37" s="71">
        <f>2736000-150000</f>
        <v>2586000</v>
      </c>
      <c r="I37" s="135">
        <f t="shared" si="0"/>
        <v>0.44705910826748174</v>
      </c>
    </row>
    <row r="38" spans="1:9" s="7" customFormat="1" ht="19.5" customHeight="1">
      <c r="A38" s="66"/>
      <c r="B38" s="72">
        <v>60017</v>
      </c>
      <c r="C38" s="72" t="s">
        <v>155</v>
      </c>
      <c r="D38" s="73">
        <f>SUM(D39:D40)</f>
        <v>535870</v>
      </c>
      <c r="E38" s="73">
        <f>SUM(E39:E40)</f>
        <v>570000</v>
      </c>
      <c r="F38" s="73">
        <f>SUM(F39:F40)</f>
        <v>350000</v>
      </c>
      <c r="G38" s="73"/>
      <c r="H38" s="73">
        <f>SUM(H39:H40)</f>
        <v>220000</v>
      </c>
      <c r="I38" s="136">
        <f t="shared" si="0"/>
        <v>1.0636908205348312</v>
      </c>
    </row>
    <row r="39" spans="1:9" s="45" customFormat="1" ht="19.5" customHeight="1">
      <c r="A39" s="66"/>
      <c r="B39" s="67"/>
      <c r="C39" s="68" t="s">
        <v>19</v>
      </c>
      <c r="D39" s="69">
        <v>300000</v>
      </c>
      <c r="E39" s="69">
        <f t="shared" si="3"/>
        <v>350000</v>
      </c>
      <c r="F39" s="69">
        <v>350000</v>
      </c>
      <c r="G39" s="69"/>
      <c r="H39" s="69"/>
      <c r="I39" s="133">
        <f t="shared" si="0"/>
        <v>1.1666666666666667</v>
      </c>
    </row>
    <row r="40" spans="1:9" s="45" customFormat="1" ht="19.5" customHeight="1">
      <c r="A40" s="70"/>
      <c r="B40" s="70"/>
      <c r="C40" s="80" t="s">
        <v>6</v>
      </c>
      <c r="D40" s="62">
        <v>235870</v>
      </c>
      <c r="E40" s="62">
        <f>F40+H40</f>
        <v>220000</v>
      </c>
      <c r="F40" s="62"/>
      <c r="G40" s="62"/>
      <c r="H40" s="62">
        <v>220000</v>
      </c>
      <c r="I40" s="138">
        <f t="shared" si="0"/>
        <v>0.9327171747148854</v>
      </c>
    </row>
    <row r="41" spans="1:9" s="7" customFormat="1" ht="19.5" customHeight="1">
      <c r="A41" s="51">
        <v>630</v>
      </c>
      <c r="B41" s="51"/>
      <c r="C41" s="51" t="s">
        <v>20</v>
      </c>
      <c r="D41" s="52">
        <f>D42+D44</f>
        <v>323131</v>
      </c>
      <c r="E41" s="52">
        <f>E42+E44</f>
        <v>220000</v>
      </c>
      <c r="F41" s="52">
        <f>F42+F44</f>
        <v>220000</v>
      </c>
      <c r="G41" s="52">
        <f>G42+G44</f>
        <v>7000</v>
      </c>
      <c r="H41" s="52"/>
      <c r="I41" s="126">
        <f t="shared" si="0"/>
        <v>0.6808384215689612</v>
      </c>
    </row>
    <row r="42" spans="1:9" s="7" customFormat="1" ht="19.5" customHeight="1">
      <c r="A42" s="66"/>
      <c r="B42" s="55">
        <v>63001</v>
      </c>
      <c r="C42" s="55" t="s">
        <v>21</v>
      </c>
      <c r="D42" s="56">
        <f>D43</f>
        <v>169000</v>
      </c>
      <c r="E42" s="56">
        <f>E43</f>
        <v>170000</v>
      </c>
      <c r="F42" s="56">
        <f>F43</f>
        <v>170000</v>
      </c>
      <c r="G42" s="56">
        <f>G43</f>
        <v>7000</v>
      </c>
      <c r="H42" s="56"/>
      <c r="I42" s="127">
        <f t="shared" si="0"/>
        <v>1.0059171597633136</v>
      </c>
    </row>
    <row r="43" spans="1:9" s="7" customFormat="1" ht="19.5" customHeight="1">
      <c r="A43" s="66"/>
      <c r="B43" s="84"/>
      <c r="C43" s="84" t="s">
        <v>134</v>
      </c>
      <c r="D43" s="86">
        <v>169000</v>
      </c>
      <c r="E43" s="86">
        <f>F43+H43</f>
        <v>170000</v>
      </c>
      <c r="F43" s="86">
        <v>170000</v>
      </c>
      <c r="G43" s="86">
        <v>7000</v>
      </c>
      <c r="H43" s="86"/>
      <c r="I43" s="128">
        <f t="shared" si="0"/>
        <v>1.0059171597633136</v>
      </c>
    </row>
    <row r="44" spans="1:9" s="7" customFormat="1" ht="19.5" customHeight="1">
      <c r="A44" s="66"/>
      <c r="B44" s="72">
        <v>63003</v>
      </c>
      <c r="C44" s="72" t="s">
        <v>22</v>
      </c>
      <c r="D44" s="73">
        <f>SUM(D45:D46)</f>
        <v>154131</v>
      </c>
      <c r="E44" s="73">
        <f>SUM(E45:E46)</f>
        <v>50000</v>
      </c>
      <c r="F44" s="73">
        <f>SUM(F45:F46)</f>
        <v>50000</v>
      </c>
      <c r="G44" s="73"/>
      <c r="H44" s="73"/>
      <c r="I44" s="136">
        <f t="shared" si="0"/>
        <v>0.3243993745580058</v>
      </c>
    </row>
    <row r="45" spans="1:9" s="7" customFormat="1" ht="19.5" customHeight="1">
      <c r="A45" s="66"/>
      <c r="B45" s="66"/>
      <c r="C45" s="76" t="s">
        <v>172</v>
      </c>
      <c r="D45" s="75">
        <v>50000</v>
      </c>
      <c r="E45" s="75">
        <f>F45+H45</f>
        <v>50000</v>
      </c>
      <c r="F45" s="75">
        <v>50000</v>
      </c>
      <c r="G45" s="75"/>
      <c r="H45" s="75"/>
      <c r="I45" s="134">
        <f t="shared" si="0"/>
        <v>1</v>
      </c>
    </row>
    <row r="46" spans="1:9" s="7" customFormat="1" ht="27.75" customHeight="1">
      <c r="A46" s="70"/>
      <c r="B46" s="70"/>
      <c r="C46" s="61" t="s">
        <v>243</v>
      </c>
      <c r="D46" s="62">
        <v>104131</v>
      </c>
      <c r="E46" s="62"/>
      <c r="F46" s="62"/>
      <c r="G46" s="62"/>
      <c r="H46" s="62"/>
      <c r="I46" s="138"/>
    </row>
    <row r="47" spans="1:9" s="7" customFormat="1" ht="19.5" customHeight="1">
      <c r="A47" s="51">
        <v>700</v>
      </c>
      <c r="B47" s="51"/>
      <c r="C47" s="51" t="s">
        <v>23</v>
      </c>
      <c r="D47" s="52">
        <f>D48+D50+D54+D60+D58</f>
        <v>14802546</v>
      </c>
      <c r="E47" s="52">
        <f>E48+E50+E54+E60+E58</f>
        <v>12095000</v>
      </c>
      <c r="F47" s="52">
        <f>F48+F50+F54+F60+F58</f>
        <v>5595000</v>
      </c>
      <c r="G47" s="52">
        <f>G48+G50+G54+G60+G58</f>
        <v>4100000</v>
      </c>
      <c r="H47" s="52">
        <f>H48+H50+H54+H60+H58</f>
        <v>6500000</v>
      </c>
      <c r="I47" s="126">
        <f t="shared" si="0"/>
        <v>0.8170891683092895</v>
      </c>
    </row>
    <row r="48" spans="1:9" s="7" customFormat="1" ht="19.5" customHeight="1">
      <c r="A48" s="66"/>
      <c r="B48" s="55">
        <v>70001</v>
      </c>
      <c r="C48" s="55" t="s">
        <v>24</v>
      </c>
      <c r="D48" s="56">
        <f>D49</f>
        <v>6200000</v>
      </c>
      <c r="E48" s="56">
        <f>E49</f>
        <v>5500000</v>
      </c>
      <c r="F48" s="56">
        <f>F49</f>
        <v>4000000</v>
      </c>
      <c r="G48" s="56">
        <f>G49</f>
        <v>4000000</v>
      </c>
      <c r="H48" s="56">
        <f>H49</f>
        <v>1500000</v>
      </c>
      <c r="I48" s="127">
        <f t="shared" si="0"/>
        <v>0.8870967741935484</v>
      </c>
    </row>
    <row r="49" spans="1:9" s="7" customFormat="1" ht="19.5" customHeight="1">
      <c r="A49" s="66"/>
      <c r="B49" s="84"/>
      <c r="C49" s="85" t="s">
        <v>145</v>
      </c>
      <c r="D49" s="86">
        <v>6200000</v>
      </c>
      <c r="E49" s="86">
        <f>F49+H49</f>
        <v>5500000</v>
      </c>
      <c r="F49" s="86">
        <v>4000000</v>
      </c>
      <c r="G49" s="86">
        <v>4000000</v>
      </c>
      <c r="H49" s="86">
        <v>1500000</v>
      </c>
      <c r="I49" s="128">
        <f t="shared" si="0"/>
        <v>0.8870967741935484</v>
      </c>
    </row>
    <row r="50" spans="1:9" s="7" customFormat="1" ht="19.5" customHeight="1">
      <c r="A50" s="66"/>
      <c r="B50" s="115">
        <v>70004</v>
      </c>
      <c r="C50" s="82" t="s">
        <v>156</v>
      </c>
      <c r="D50" s="73">
        <f>SUM(D51:D53)</f>
        <v>212472</v>
      </c>
      <c r="E50" s="73">
        <f>SUM(E51:E53)</f>
        <v>225000</v>
      </c>
      <c r="F50" s="73">
        <f>SUM(F51:F53)</f>
        <v>225000</v>
      </c>
      <c r="G50" s="73"/>
      <c r="H50" s="73"/>
      <c r="I50" s="136">
        <f t="shared" si="0"/>
        <v>1.0589630633683498</v>
      </c>
    </row>
    <row r="51" spans="1:9" s="7" customFormat="1" ht="19.5" customHeight="1">
      <c r="A51" s="66"/>
      <c r="B51" s="66"/>
      <c r="C51" s="68" t="s">
        <v>111</v>
      </c>
      <c r="D51" s="69">
        <v>187472</v>
      </c>
      <c r="E51" s="69">
        <f>F51+H51</f>
        <v>150000</v>
      </c>
      <c r="F51" s="69">
        <v>150000</v>
      </c>
      <c r="G51" s="69"/>
      <c r="H51" s="69"/>
      <c r="I51" s="133">
        <f t="shared" si="0"/>
        <v>0.8001194845096867</v>
      </c>
    </row>
    <row r="52" spans="1:9" s="7" customFormat="1" ht="28.5" customHeight="1">
      <c r="A52" s="66"/>
      <c r="B52" s="66"/>
      <c r="C52" s="74" t="s">
        <v>230</v>
      </c>
      <c r="D52" s="75">
        <v>25000</v>
      </c>
      <c r="E52" s="75">
        <f>F52+H52</f>
        <v>25000</v>
      </c>
      <c r="F52" s="75">
        <v>25000</v>
      </c>
      <c r="G52" s="75"/>
      <c r="H52" s="75"/>
      <c r="I52" s="134">
        <f t="shared" si="0"/>
        <v>1</v>
      </c>
    </row>
    <row r="53" spans="1:9" s="7" customFormat="1" ht="19.5" customHeight="1">
      <c r="A53" s="66"/>
      <c r="B53" s="70"/>
      <c r="C53" s="83" t="s">
        <v>181</v>
      </c>
      <c r="D53" s="71"/>
      <c r="E53" s="71">
        <f>F53+H53</f>
        <v>50000</v>
      </c>
      <c r="F53" s="71">
        <v>50000</v>
      </c>
      <c r="G53" s="71"/>
      <c r="H53" s="71"/>
      <c r="I53" s="135"/>
    </row>
    <row r="54" spans="1:9" s="7" customFormat="1" ht="19.5" customHeight="1">
      <c r="A54" s="66"/>
      <c r="B54" s="72">
        <v>70005</v>
      </c>
      <c r="C54" s="72" t="s">
        <v>25</v>
      </c>
      <c r="D54" s="73">
        <f>D55+D57</f>
        <v>2390074</v>
      </c>
      <c r="E54" s="73">
        <f>E55+E57</f>
        <v>1370000</v>
      </c>
      <c r="F54" s="73">
        <f>F55+F57</f>
        <v>1370000</v>
      </c>
      <c r="G54" s="73">
        <f>G55+G57</f>
        <v>100000</v>
      </c>
      <c r="H54" s="73"/>
      <c r="I54" s="136">
        <f t="shared" si="0"/>
        <v>0.5732040095829669</v>
      </c>
    </row>
    <row r="55" spans="1:9" s="7" customFormat="1" ht="27.75" customHeight="1">
      <c r="A55" s="66"/>
      <c r="B55" s="66"/>
      <c r="C55" s="196" t="s">
        <v>225</v>
      </c>
      <c r="D55" s="197">
        <v>387000</v>
      </c>
      <c r="E55" s="197">
        <f>F55+H55</f>
        <v>370000</v>
      </c>
      <c r="F55" s="197">
        <v>370000</v>
      </c>
      <c r="G55" s="197">
        <v>100000</v>
      </c>
      <c r="H55" s="197"/>
      <c r="I55" s="198">
        <f t="shared" si="0"/>
        <v>0.9560723514211886</v>
      </c>
    </row>
    <row r="56" spans="1:9" s="44" customFormat="1" ht="18" customHeight="1">
      <c r="A56" s="58"/>
      <c r="B56" s="58"/>
      <c r="C56" s="202" t="s">
        <v>283</v>
      </c>
      <c r="D56" s="203">
        <v>17000</v>
      </c>
      <c r="E56" s="203">
        <f>F56</f>
        <v>10000</v>
      </c>
      <c r="F56" s="203">
        <v>10000</v>
      </c>
      <c r="G56" s="203"/>
      <c r="H56" s="203"/>
      <c r="I56" s="204">
        <f t="shared" si="0"/>
        <v>0.5882352941176471</v>
      </c>
    </row>
    <row r="57" spans="1:9" s="7" customFormat="1" ht="19.5" customHeight="1">
      <c r="A57" s="66"/>
      <c r="B57" s="70"/>
      <c r="C57" s="83" t="s">
        <v>181</v>
      </c>
      <c r="D57" s="71">
        <v>2003074</v>
      </c>
      <c r="E57" s="71">
        <f>F57+H57</f>
        <v>1000000</v>
      </c>
      <c r="F57" s="71">
        <v>1000000</v>
      </c>
      <c r="G57" s="71"/>
      <c r="H57" s="71"/>
      <c r="I57" s="135">
        <f t="shared" si="0"/>
        <v>0.49923267937180554</v>
      </c>
    </row>
    <row r="58" spans="1:9" s="7" customFormat="1" ht="18.75" customHeight="1">
      <c r="A58" s="66"/>
      <c r="B58" s="72">
        <v>70021</v>
      </c>
      <c r="C58" s="72" t="s">
        <v>196</v>
      </c>
      <c r="D58" s="73"/>
      <c r="E58" s="73">
        <f>E59</f>
        <v>1000000</v>
      </c>
      <c r="F58" s="73"/>
      <c r="G58" s="73"/>
      <c r="H58" s="73">
        <f>H59</f>
        <v>1000000</v>
      </c>
      <c r="I58" s="136"/>
    </row>
    <row r="59" spans="1:9" s="7" customFormat="1" ht="18.75" customHeight="1">
      <c r="A59" s="66"/>
      <c r="B59" s="84"/>
      <c r="C59" s="85" t="s">
        <v>101</v>
      </c>
      <c r="D59" s="86"/>
      <c r="E59" s="86">
        <f>F59+H59</f>
        <v>1000000</v>
      </c>
      <c r="F59" s="86"/>
      <c r="G59" s="86"/>
      <c r="H59" s="86">
        <v>1000000</v>
      </c>
      <c r="I59" s="135"/>
    </row>
    <row r="60" spans="1:9" s="7" customFormat="1" ht="18.75" customHeight="1">
      <c r="A60" s="66"/>
      <c r="B60" s="72">
        <v>70095</v>
      </c>
      <c r="C60" s="72" t="s">
        <v>4</v>
      </c>
      <c r="D60" s="73">
        <f>SUM(D61:D61)</f>
        <v>6000000</v>
      </c>
      <c r="E60" s="73">
        <f>SUM(E61:E61)</f>
        <v>4000000</v>
      </c>
      <c r="F60" s="73"/>
      <c r="G60" s="73"/>
      <c r="H60" s="73">
        <f>SUM(H61:H61)</f>
        <v>4000000</v>
      </c>
      <c r="I60" s="136">
        <f t="shared" si="0"/>
        <v>0.6666666666666666</v>
      </c>
    </row>
    <row r="61" spans="1:9" s="7" customFormat="1" ht="18.75" customHeight="1">
      <c r="A61" s="70"/>
      <c r="B61" s="70"/>
      <c r="C61" s="70" t="s">
        <v>6</v>
      </c>
      <c r="D61" s="71">
        <v>6000000</v>
      </c>
      <c r="E61" s="86">
        <f>F61+H61</f>
        <v>4000000</v>
      </c>
      <c r="F61" s="71"/>
      <c r="G61" s="71"/>
      <c r="H61" s="71">
        <v>4000000</v>
      </c>
      <c r="I61" s="135">
        <f t="shared" si="0"/>
        <v>0.6666666666666666</v>
      </c>
    </row>
    <row r="62" spans="1:9" s="7" customFormat="1" ht="19.5" customHeight="1">
      <c r="A62" s="51">
        <v>710</v>
      </c>
      <c r="B62" s="51"/>
      <c r="C62" s="51" t="s">
        <v>26</v>
      </c>
      <c r="D62" s="52">
        <f>D63+D68+D70</f>
        <v>2268127</v>
      </c>
      <c r="E62" s="52">
        <f>E63+E68+E70</f>
        <v>2489900</v>
      </c>
      <c r="F62" s="52">
        <f>F63+F68+F70</f>
        <v>2089900</v>
      </c>
      <c r="G62" s="52"/>
      <c r="H62" s="52">
        <f>H63+H68+H70</f>
        <v>400000</v>
      </c>
      <c r="I62" s="126">
        <f t="shared" si="0"/>
        <v>1.0977780344751418</v>
      </c>
    </row>
    <row r="63" spans="1:9" s="7" customFormat="1" ht="19.5" customHeight="1">
      <c r="A63" s="66"/>
      <c r="B63" s="55">
        <v>71004</v>
      </c>
      <c r="C63" s="55" t="s">
        <v>27</v>
      </c>
      <c r="D63" s="56">
        <f>D64+D66</f>
        <v>119803</v>
      </c>
      <c r="E63" s="56">
        <f>E64+E66</f>
        <v>111500</v>
      </c>
      <c r="F63" s="56">
        <f>F64+F66</f>
        <v>111500</v>
      </c>
      <c r="G63" s="56"/>
      <c r="H63" s="56"/>
      <c r="I63" s="127">
        <f t="shared" si="0"/>
        <v>0.9306945568975735</v>
      </c>
    </row>
    <row r="64" spans="1:9" s="7" customFormat="1" ht="19.5" customHeight="1">
      <c r="A64" s="66"/>
      <c r="B64" s="66"/>
      <c r="C64" s="196" t="s">
        <v>113</v>
      </c>
      <c r="D64" s="197"/>
      <c r="E64" s="197">
        <f>F64+H64</f>
        <v>3000</v>
      </c>
      <c r="F64" s="197">
        <v>3000</v>
      </c>
      <c r="G64" s="197"/>
      <c r="H64" s="197"/>
      <c r="I64" s="198"/>
    </row>
    <row r="65" spans="1:9" s="44" customFormat="1" ht="18" customHeight="1">
      <c r="A65" s="58"/>
      <c r="B65" s="58"/>
      <c r="C65" s="202" t="s">
        <v>283</v>
      </c>
      <c r="D65" s="203"/>
      <c r="E65" s="203">
        <f>F65+H65</f>
        <v>3000</v>
      </c>
      <c r="F65" s="203">
        <v>3000</v>
      </c>
      <c r="G65" s="203"/>
      <c r="H65" s="203"/>
      <c r="I65" s="204"/>
    </row>
    <row r="66" spans="1:9" s="7" customFormat="1" ht="19.5" customHeight="1">
      <c r="A66" s="66"/>
      <c r="B66" s="66"/>
      <c r="C66" s="79" t="s">
        <v>137</v>
      </c>
      <c r="D66" s="78">
        <f>111553+8250</f>
        <v>119803</v>
      </c>
      <c r="E66" s="78">
        <f>F66+H66</f>
        <v>108500</v>
      </c>
      <c r="F66" s="78">
        <f>100000+8500</f>
        <v>108500</v>
      </c>
      <c r="G66" s="78"/>
      <c r="H66" s="78"/>
      <c r="I66" s="137">
        <f t="shared" si="0"/>
        <v>0.9056534477433787</v>
      </c>
    </row>
    <row r="67" spans="1:9" s="44" customFormat="1" ht="18" customHeight="1">
      <c r="A67" s="58"/>
      <c r="B67" s="205"/>
      <c r="C67" s="206" t="s">
        <v>283</v>
      </c>
      <c r="D67" s="207">
        <v>7000</v>
      </c>
      <c r="E67" s="207">
        <f>F67+H67</f>
        <v>2000</v>
      </c>
      <c r="F67" s="207">
        <v>2000</v>
      </c>
      <c r="G67" s="207"/>
      <c r="H67" s="207"/>
      <c r="I67" s="208">
        <f t="shared" si="0"/>
        <v>0.2857142857142857</v>
      </c>
    </row>
    <row r="68" spans="1:9" s="7" customFormat="1" ht="19.5" customHeight="1">
      <c r="A68" s="66"/>
      <c r="B68" s="72">
        <v>71014</v>
      </c>
      <c r="C68" s="72" t="s">
        <v>28</v>
      </c>
      <c r="D68" s="73">
        <f>D69</f>
        <v>800000</v>
      </c>
      <c r="E68" s="73">
        <f>E69</f>
        <v>800000</v>
      </c>
      <c r="F68" s="73">
        <f>F69</f>
        <v>800000</v>
      </c>
      <c r="G68" s="73"/>
      <c r="H68" s="73"/>
      <c r="I68" s="136">
        <f t="shared" si="0"/>
        <v>1</v>
      </c>
    </row>
    <row r="69" spans="1:9" s="7" customFormat="1" ht="30" customHeight="1">
      <c r="A69" s="66"/>
      <c r="B69" s="84"/>
      <c r="C69" s="85" t="s">
        <v>142</v>
      </c>
      <c r="D69" s="86">
        <v>800000</v>
      </c>
      <c r="E69" s="86">
        <f>F69+H69</f>
        <v>800000</v>
      </c>
      <c r="F69" s="86">
        <v>800000</v>
      </c>
      <c r="G69" s="86"/>
      <c r="H69" s="86"/>
      <c r="I69" s="128">
        <f t="shared" si="0"/>
        <v>1</v>
      </c>
    </row>
    <row r="70" spans="1:9" s="7" customFormat="1" ht="19.5" customHeight="1">
      <c r="A70" s="66"/>
      <c r="B70" s="72">
        <v>71035</v>
      </c>
      <c r="C70" s="72" t="s">
        <v>157</v>
      </c>
      <c r="D70" s="73">
        <f>SUM(D71:D73)</f>
        <v>1348324</v>
      </c>
      <c r="E70" s="73">
        <f>SUM(E71:E73)</f>
        <v>1578400</v>
      </c>
      <c r="F70" s="73">
        <f>SUM(F71:F73)</f>
        <v>1178400</v>
      </c>
      <c r="G70" s="73"/>
      <c r="H70" s="73">
        <f>SUM(H71:H73)</f>
        <v>400000</v>
      </c>
      <c r="I70" s="136">
        <f t="shared" si="0"/>
        <v>1.170638511218372</v>
      </c>
    </row>
    <row r="71" spans="1:9" s="7" customFormat="1" ht="19.5" customHeight="1">
      <c r="A71" s="66"/>
      <c r="B71" s="67"/>
      <c r="C71" s="87" t="s">
        <v>158</v>
      </c>
      <c r="D71" s="69">
        <v>1145000</v>
      </c>
      <c r="E71" s="69">
        <f>F71+H71</f>
        <v>1145000</v>
      </c>
      <c r="F71" s="69">
        <v>1145000</v>
      </c>
      <c r="G71" s="69"/>
      <c r="H71" s="69"/>
      <c r="I71" s="133">
        <f t="shared" si="0"/>
        <v>1</v>
      </c>
    </row>
    <row r="72" spans="1:9" s="7" customFormat="1" ht="19.5" customHeight="1">
      <c r="A72" s="66"/>
      <c r="B72" s="66"/>
      <c r="C72" s="76" t="s">
        <v>290</v>
      </c>
      <c r="D72" s="75">
        <v>33324</v>
      </c>
      <c r="E72" s="75">
        <f>F72+H72</f>
        <v>33400</v>
      </c>
      <c r="F72" s="75">
        <v>33400</v>
      </c>
      <c r="G72" s="75"/>
      <c r="H72" s="75"/>
      <c r="I72" s="134">
        <f t="shared" si="0"/>
        <v>1.0022806385788021</v>
      </c>
    </row>
    <row r="73" spans="1:9" s="7" customFormat="1" ht="18.75" customHeight="1">
      <c r="A73" s="66"/>
      <c r="B73" s="70"/>
      <c r="C73" s="70" t="s">
        <v>6</v>
      </c>
      <c r="D73" s="71">
        <v>170000</v>
      </c>
      <c r="E73" s="71">
        <f>F73+H73</f>
        <v>400000</v>
      </c>
      <c r="F73" s="71"/>
      <c r="G73" s="71"/>
      <c r="H73" s="71">
        <v>400000</v>
      </c>
      <c r="I73" s="135">
        <f t="shared" si="0"/>
        <v>2.3529411764705883</v>
      </c>
    </row>
    <row r="74" spans="1:9" s="7" customFormat="1" ht="19.5" customHeight="1">
      <c r="A74" s="50">
        <v>750</v>
      </c>
      <c r="B74" s="50"/>
      <c r="C74" s="50" t="s">
        <v>29</v>
      </c>
      <c r="D74" s="65">
        <f>D75+D80+D87+D91</f>
        <v>53148293</v>
      </c>
      <c r="E74" s="65">
        <f>E75+E80+E87+E91</f>
        <v>62234000</v>
      </c>
      <c r="F74" s="65">
        <f>F75+F80+F87+F91</f>
        <v>58500000</v>
      </c>
      <c r="G74" s="65">
        <f>G75+G80+G87+G91</f>
        <v>620000</v>
      </c>
      <c r="H74" s="65">
        <f>H75+H80+H87+H91</f>
        <v>3734000</v>
      </c>
      <c r="I74" s="132">
        <f t="shared" si="0"/>
        <v>1.1709501187554603</v>
      </c>
    </row>
    <row r="75" spans="1:9" s="7" customFormat="1" ht="19.5" customHeight="1">
      <c r="A75" s="66"/>
      <c r="B75" s="55">
        <v>75022</v>
      </c>
      <c r="C75" s="55" t="s">
        <v>30</v>
      </c>
      <c r="D75" s="56">
        <f>D76+D78+D79</f>
        <v>1396358</v>
      </c>
      <c r="E75" s="56">
        <f>E76+E78+E79</f>
        <v>1517000</v>
      </c>
      <c r="F75" s="56">
        <f>F76+F78+F79</f>
        <v>1517000</v>
      </c>
      <c r="G75" s="56">
        <f>G76+G78+G79</f>
        <v>20000</v>
      </c>
      <c r="H75" s="56"/>
      <c r="I75" s="127">
        <f t="shared" si="0"/>
        <v>1.0863976143653704</v>
      </c>
    </row>
    <row r="76" spans="1:9" s="7" customFormat="1" ht="19.5" customHeight="1">
      <c r="A76" s="66"/>
      <c r="B76" s="66"/>
      <c r="C76" s="196" t="s">
        <v>212</v>
      </c>
      <c r="D76" s="197">
        <v>1000000</v>
      </c>
      <c r="E76" s="197">
        <f aca="true" t="shared" si="4" ref="E76:E94">F76+H76</f>
        <v>1000000</v>
      </c>
      <c r="F76" s="197">
        <v>1000000</v>
      </c>
      <c r="G76" s="197"/>
      <c r="H76" s="197"/>
      <c r="I76" s="198">
        <f t="shared" si="0"/>
        <v>1</v>
      </c>
    </row>
    <row r="77" spans="1:9" s="44" customFormat="1" ht="18" customHeight="1">
      <c r="A77" s="58"/>
      <c r="B77" s="58"/>
      <c r="C77" s="202" t="s">
        <v>283</v>
      </c>
      <c r="D77" s="203">
        <v>3000</v>
      </c>
      <c r="E77" s="203">
        <f>F77</f>
        <v>2000</v>
      </c>
      <c r="F77" s="203">
        <v>2000</v>
      </c>
      <c r="G77" s="203"/>
      <c r="H77" s="203"/>
      <c r="I77" s="204">
        <f t="shared" si="0"/>
        <v>0.6666666666666666</v>
      </c>
    </row>
    <row r="78" spans="1:9" s="7" customFormat="1" ht="19.5" customHeight="1">
      <c r="A78" s="66"/>
      <c r="B78" s="66"/>
      <c r="C78" s="59" t="s">
        <v>213</v>
      </c>
      <c r="D78" s="60">
        <v>396358</v>
      </c>
      <c r="E78" s="60">
        <f t="shared" si="4"/>
        <v>417000</v>
      </c>
      <c r="F78" s="60">
        <v>417000</v>
      </c>
      <c r="G78" s="60">
        <v>20000</v>
      </c>
      <c r="H78" s="60"/>
      <c r="I78" s="131">
        <f aca="true" t="shared" si="5" ref="I78:I142">E78/D78</f>
        <v>1.0520791809424812</v>
      </c>
    </row>
    <row r="79" spans="1:9" s="7" customFormat="1" ht="19.5" customHeight="1">
      <c r="A79" s="66"/>
      <c r="B79" s="70"/>
      <c r="C79" s="61" t="s">
        <v>214</v>
      </c>
      <c r="D79" s="62"/>
      <c r="E79" s="62">
        <f t="shared" si="4"/>
        <v>100000</v>
      </c>
      <c r="F79" s="62">
        <v>100000</v>
      </c>
      <c r="G79" s="62"/>
      <c r="H79" s="62"/>
      <c r="I79" s="138"/>
    </row>
    <row r="80" spans="1:9" s="7" customFormat="1" ht="19.5" customHeight="1">
      <c r="A80" s="66"/>
      <c r="B80" s="72">
        <v>75023</v>
      </c>
      <c r="C80" s="72" t="s">
        <v>140</v>
      </c>
      <c r="D80" s="73">
        <f>SUM(D81:D86)</f>
        <v>49792055</v>
      </c>
      <c r="E80" s="73">
        <f>SUM(E81:E86)</f>
        <v>58642000</v>
      </c>
      <c r="F80" s="73">
        <f>SUM(F81:F86)</f>
        <v>54908000</v>
      </c>
      <c r="G80" s="73">
        <f>SUM(G81:G86)</f>
        <v>600000</v>
      </c>
      <c r="H80" s="73">
        <f>SUM(H81:H86)</f>
        <v>3734000</v>
      </c>
      <c r="I80" s="136">
        <f t="shared" si="5"/>
        <v>1.1777380949631422</v>
      </c>
    </row>
    <row r="81" spans="1:9" s="7" customFormat="1" ht="19.5" customHeight="1">
      <c r="A81" s="66"/>
      <c r="B81" s="66"/>
      <c r="C81" s="68" t="s">
        <v>279</v>
      </c>
      <c r="D81" s="69">
        <v>31122517</v>
      </c>
      <c r="E81" s="69">
        <f t="shared" si="4"/>
        <v>36740000</v>
      </c>
      <c r="F81" s="69">
        <f>35100000+1640000</f>
        <v>36740000</v>
      </c>
      <c r="G81" s="69"/>
      <c r="H81" s="69"/>
      <c r="I81" s="133">
        <f t="shared" si="5"/>
        <v>1.1804957805951235</v>
      </c>
    </row>
    <row r="82" spans="1:9" s="7" customFormat="1" ht="19.5" customHeight="1">
      <c r="A82" s="66"/>
      <c r="B82" s="66"/>
      <c r="C82" s="76" t="s">
        <v>43</v>
      </c>
      <c r="D82" s="75">
        <v>10070045</v>
      </c>
      <c r="E82" s="75">
        <f t="shared" si="4"/>
        <v>11846000</v>
      </c>
      <c r="F82" s="75">
        <f>11808000+38000</f>
        <v>11846000</v>
      </c>
      <c r="G82" s="75">
        <v>600000</v>
      </c>
      <c r="H82" s="75"/>
      <c r="I82" s="134">
        <f t="shared" si="5"/>
        <v>1.176360185083582</v>
      </c>
    </row>
    <row r="83" spans="1:9" s="7" customFormat="1" ht="20.25" customHeight="1">
      <c r="A83" s="66"/>
      <c r="B83" s="66"/>
      <c r="C83" s="76" t="s">
        <v>44</v>
      </c>
      <c r="D83" s="75">
        <v>5765683</v>
      </c>
      <c r="E83" s="75">
        <f t="shared" si="4"/>
        <v>6322000</v>
      </c>
      <c r="F83" s="75">
        <f>6000000+282000+40000</f>
        <v>6322000</v>
      </c>
      <c r="G83" s="75"/>
      <c r="H83" s="75"/>
      <c r="I83" s="134">
        <f t="shared" si="5"/>
        <v>1.0964876147370572</v>
      </c>
    </row>
    <row r="84" spans="1:9" s="7" customFormat="1" ht="29.25" customHeight="1">
      <c r="A84" s="66"/>
      <c r="B84" s="66"/>
      <c r="C84" s="74" t="s">
        <v>291</v>
      </c>
      <c r="D84" s="75">
        <v>100000</v>
      </c>
      <c r="E84" s="75">
        <f t="shared" si="4"/>
        <v>407000</v>
      </c>
      <c r="F84" s="75"/>
      <c r="G84" s="75"/>
      <c r="H84" s="75">
        <v>407000</v>
      </c>
      <c r="I84" s="134">
        <f t="shared" si="5"/>
        <v>4.07</v>
      </c>
    </row>
    <row r="85" spans="1:9" s="7" customFormat="1" ht="32.25" customHeight="1">
      <c r="A85" s="66"/>
      <c r="B85" s="66"/>
      <c r="C85" s="74" t="s">
        <v>336</v>
      </c>
      <c r="D85" s="75">
        <v>600000</v>
      </c>
      <c r="E85" s="75">
        <f>F85+H85</f>
        <v>327000</v>
      </c>
      <c r="F85" s="75"/>
      <c r="G85" s="75"/>
      <c r="H85" s="75">
        <v>327000</v>
      </c>
      <c r="I85" s="134">
        <f t="shared" si="5"/>
        <v>0.545</v>
      </c>
    </row>
    <row r="86" spans="1:9" s="7" customFormat="1" ht="19.5" customHeight="1">
      <c r="A86" s="66"/>
      <c r="B86" s="70"/>
      <c r="C86" s="70" t="s">
        <v>6</v>
      </c>
      <c r="D86" s="71">
        <v>2133810</v>
      </c>
      <c r="E86" s="71">
        <f t="shared" si="4"/>
        <v>3000000</v>
      </c>
      <c r="F86" s="71"/>
      <c r="G86" s="71"/>
      <c r="H86" s="71">
        <v>3000000</v>
      </c>
      <c r="I86" s="135">
        <f t="shared" si="5"/>
        <v>1.4059358612060118</v>
      </c>
    </row>
    <row r="87" spans="1:9" s="7" customFormat="1" ht="19.5" customHeight="1">
      <c r="A87" s="66"/>
      <c r="B87" s="72">
        <v>75075</v>
      </c>
      <c r="C87" s="72" t="s">
        <v>293</v>
      </c>
      <c r="D87" s="73">
        <f>D88</f>
        <v>1650000</v>
      </c>
      <c r="E87" s="73">
        <f>E88</f>
        <v>1765000</v>
      </c>
      <c r="F87" s="73">
        <f>F88</f>
        <v>1765000</v>
      </c>
      <c r="G87" s="73"/>
      <c r="H87" s="73"/>
      <c r="I87" s="136">
        <f t="shared" si="5"/>
        <v>1.0696969696969696</v>
      </c>
    </row>
    <row r="88" spans="1:9" s="7" customFormat="1" ht="19.5" customHeight="1">
      <c r="A88" s="66"/>
      <c r="B88" s="66"/>
      <c r="C88" s="177" t="s">
        <v>292</v>
      </c>
      <c r="D88" s="175">
        <f>1463000+187000</f>
        <v>1650000</v>
      </c>
      <c r="E88" s="175">
        <f t="shared" si="4"/>
        <v>1765000</v>
      </c>
      <c r="F88" s="175">
        <f>1525000+240000</f>
        <v>1765000</v>
      </c>
      <c r="G88" s="175"/>
      <c r="H88" s="175"/>
      <c r="I88" s="176">
        <f t="shared" si="5"/>
        <v>1.0696969696969696</v>
      </c>
    </row>
    <row r="89" spans="1:9" s="7" customFormat="1" ht="18" customHeight="1">
      <c r="A89" s="66"/>
      <c r="B89" s="66"/>
      <c r="C89" s="239" t="s">
        <v>283</v>
      </c>
      <c r="D89" s="240">
        <f>120000+20000</f>
        <v>140000</v>
      </c>
      <c r="E89" s="240">
        <f>F89+H89</f>
        <v>145000</v>
      </c>
      <c r="F89" s="240">
        <f>125000+20000</f>
        <v>145000</v>
      </c>
      <c r="G89" s="240"/>
      <c r="H89" s="240"/>
      <c r="I89" s="241">
        <f>E89/D89</f>
        <v>1.0357142857142858</v>
      </c>
    </row>
    <row r="90" spans="1:9" s="7" customFormat="1" ht="36" customHeight="1">
      <c r="A90" s="166"/>
      <c r="B90" s="166"/>
      <c r="C90" s="170"/>
      <c r="D90" s="167"/>
      <c r="E90" s="167"/>
      <c r="F90" s="167"/>
      <c r="G90" s="167"/>
      <c r="H90" s="167"/>
      <c r="I90" s="168"/>
    </row>
    <row r="91" spans="1:9" s="7" customFormat="1" ht="22.5" customHeight="1">
      <c r="A91" s="66"/>
      <c r="B91" s="72">
        <v>75095</v>
      </c>
      <c r="C91" s="72" t="s">
        <v>4</v>
      </c>
      <c r="D91" s="73">
        <f>D92+D93</f>
        <v>309880</v>
      </c>
      <c r="E91" s="73">
        <f>E92+E93</f>
        <v>310000</v>
      </c>
      <c r="F91" s="73">
        <f>F92+F93</f>
        <v>310000</v>
      </c>
      <c r="G91" s="73"/>
      <c r="H91" s="73"/>
      <c r="I91" s="136">
        <f t="shared" si="5"/>
        <v>1.0003872466761328</v>
      </c>
    </row>
    <row r="92" spans="1:9" s="7" customFormat="1" ht="28.5" customHeight="1">
      <c r="A92" s="66"/>
      <c r="B92" s="66"/>
      <c r="C92" s="87" t="s">
        <v>251</v>
      </c>
      <c r="D92" s="69">
        <v>205000</v>
      </c>
      <c r="E92" s="69">
        <f t="shared" si="4"/>
        <v>225000</v>
      </c>
      <c r="F92" s="69">
        <v>225000</v>
      </c>
      <c r="G92" s="69"/>
      <c r="H92" s="69"/>
      <c r="I92" s="133">
        <f t="shared" si="5"/>
        <v>1.0975609756097562</v>
      </c>
    </row>
    <row r="93" spans="1:9" s="7" customFormat="1" ht="19.5" customHeight="1">
      <c r="A93" s="66"/>
      <c r="B93" s="66"/>
      <c r="C93" s="74" t="s">
        <v>294</v>
      </c>
      <c r="D93" s="75">
        <v>104880</v>
      </c>
      <c r="E93" s="75">
        <f t="shared" si="4"/>
        <v>85000</v>
      </c>
      <c r="F93" s="75">
        <v>85000</v>
      </c>
      <c r="G93" s="75"/>
      <c r="H93" s="75"/>
      <c r="I93" s="134">
        <f t="shared" si="5"/>
        <v>0.8104500381388253</v>
      </c>
    </row>
    <row r="94" spans="1:9" s="44" customFormat="1" ht="18" customHeight="1">
      <c r="A94" s="205"/>
      <c r="B94" s="205"/>
      <c r="C94" s="206" t="s">
        <v>283</v>
      </c>
      <c r="D94" s="207">
        <v>31950</v>
      </c>
      <c r="E94" s="207">
        <f t="shared" si="4"/>
        <v>45200</v>
      </c>
      <c r="F94" s="207">
        <v>45200</v>
      </c>
      <c r="G94" s="207"/>
      <c r="H94" s="207"/>
      <c r="I94" s="208">
        <f t="shared" si="5"/>
        <v>1.4147104851330203</v>
      </c>
    </row>
    <row r="95" spans="1:9" s="7" customFormat="1" ht="22.5" customHeight="1">
      <c r="A95" s="109">
        <v>754</v>
      </c>
      <c r="B95" s="51"/>
      <c r="C95" s="106" t="s">
        <v>31</v>
      </c>
      <c r="D95" s="52">
        <f>D96+D98+D100+D103+D108</f>
        <v>5670968</v>
      </c>
      <c r="E95" s="52">
        <f>E96+E98+E100+E103+E108</f>
        <v>5573000</v>
      </c>
      <c r="F95" s="52">
        <f>F96+F98+F100+F103+F108</f>
        <v>5273000</v>
      </c>
      <c r="G95" s="52">
        <f>G96+G98+G100+G103+G108</f>
        <v>20000</v>
      </c>
      <c r="H95" s="52">
        <f>H96+H98+H100+H103+H108</f>
        <v>300000</v>
      </c>
      <c r="I95" s="126">
        <f t="shared" si="5"/>
        <v>0.9827246424243621</v>
      </c>
    </row>
    <row r="96" spans="1:9" s="7" customFormat="1" ht="22.5" customHeight="1">
      <c r="A96" s="66"/>
      <c r="B96" s="55">
        <v>75405</v>
      </c>
      <c r="C96" s="55" t="s">
        <v>33</v>
      </c>
      <c r="D96" s="56">
        <f>D97</f>
        <v>500000</v>
      </c>
      <c r="E96" s="56">
        <f>E97</f>
        <v>50000</v>
      </c>
      <c r="F96" s="56">
        <f>F97</f>
        <v>50000</v>
      </c>
      <c r="G96" s="56"/>
      <c r="H96" s="56"/>
      <c r="I96" s="127">
        <f t="shared" si="5"/>
        <v>0.1</v>
      </c>
    </row>
    <row r="97" spans="1:9" s="7" customFormat="1" ht="30" customHeight="1">
      <c r="A97" s="66"/>
      <c r="B97" s="84"/>
      <c r="C97" s="85" t="s">
        <v>175</v>
      </c>
      <c r="D97" s="86">
        <v>500000</v>
      </c>
      <c r="E97" s="86">
        <f>F97</f>
        <v>50000</v>
      </c>
      <c r="F97" s="86">
        <v>50000</v>
      </c>
      <c r="G97" s="86"/>
      <c r="H97" s="86"/>
      <c r="I97" s="128">
        <f t="shared" si="5"/>
        <v>0.1</v>
      </c>
    </row>
    <row r="98" spans="1:9" s="7" customFormat="1" ht="22.5" customHeight="1">
      <c r="A98" s="66"/>
      <c r="B98" s="72">
        <v>75411</v>
      </c>
      <c r="C98" s="72" t="s">
        <v>32</v>
      </c>
      <c r="D98" s="73">
        <f>D99</f>
        <v>300000</v>
      </c>
      <c r="E98" s="73">
        <f>E99</f>
        <v>50000</v>
      </c>
      <c r="F98" s="73">
        <f>F99</f>
        <v>50000</v>
      </c>
      <c r="G98" s="73"/>
      <c r="H98" s="73"/>
      <c r="I98" s="136">
        <f t="shared" si="5"/>
        <v>0.16666666666666666</v>
      </c>
    </row>
    <row r="99" spans="1:9" s="7" customFormat="1" ht="19.5" customHeight="1">
      <c r="A99" s="66"/>
      <c r="B99" s="84"/>
      <c r="C99" s="84" t="s">
        <v>114</v>
      </c>
      <c r="D99" s="86">
        <v>300000</v>
      </c>
      <c r="E99" s="86">
        <v>50000</v>
      </c>
      <c r="F99" s="86">
        <v>50000</v>
      </c>
      <c r="G99" s="86"/>
      <c r="H99" s="86"/>
      <c r="I99" s="128">
        <f t="shared" si="5"/>
        <v>0.16666666666666666</v>
      </c>
    </row>
    <row r="100" spans="1:9" s="7" customFormat="1" ht="22.5" customHeight="1">
      <c r="A100" s="66"/>
      <c r="B100" s="72">
        <v>75412</v>
      </c>
      <c r="C100" s="72" t="s">
        <v>34</v>
      </c>
      <c r="D100" s="73">
        <f>SUM(D101:D101)</f>
        <v>60000</v>
      </c>
      <c r="E100" s="73">
        <f>E101</f>
        <v>65000</v>
      </c>
      <c r="F100" s="73">
        <f>F101</f>
        <v>65000</v>
      </c>
      <c r="G100" s="73"/>
      <c r="H100" s="73"/>
      <c r="I100" s="136">
        <f t="shared" si="5"/>
        <v>1.0833333333333333</v>
      </c>
    </row>
    <row r="101" spans="1:9" s="7" customFormat="1" ht="19.5" customHeight="1">
      <c r="A101" s="66"/>
      <c r="B101" s="66"/>
      <c r="C101" s="87" t="s">
        <v>284</v>
      </c>
      <c r="D101" s="69">
        <v>60000</v>
      </c>
      <c r="E101" s="69">
        <f>F101+H101</f>
        <v>65000</v>
      </c>
      <c r="F101" s="69">
        <v>65000</v>
      </c>
      <c r="G101" s="69"/>
      <c r="H101" s="69"/>
      <c r="I101" s="133">
        <f t="shared" si="5"/>
        <v>1.0833333333333333</v>
      </c>
    </row>
    <row r="102" spans="1:9" s="44" customFormat="1" ht="18" customHeight="1">
      <c r="A102" s="58"/>
      <c r="B102" s="205"/>
      <c r="C102" s="209" t="s">
        <v>283</v>
      </c>
      <c r="D102" s="210">
        <v>8750</v>
      </c>
      <c r="E102" s="210">
        <v>9000</v>
      </c>
      <c r="F102" s="210">
        <v>9000</v>
      </c>
      <c r="G102" s="210"/>
      <c r="H102" s="210"/>
      <c r="I102" s="211">
        <f t="shared" si="5"/>
        <v>1.0285714285714285</v>
      </c>
    </row>
    <row r="103" spans="1:9" s="7" customFormat="1" ht="22.5" customHeight="1">
      <c r="A103" s="66"/>
      <c r="B103" s="72">
        <v>75416</v>
      </c>
      <c r="C103" s="72" t="s">
        <v>35</v>
      </c>
      <c r="D103" s="73">
        <f>SUM(D104:D107)</f>
        <v>4527968</v>
      </c>
      <c r="E103" s="73">
        <f>SUM(E104:E107)</f>
        <v>5000000</v>
      </c>
      <c r="F103" s="73">
        <f>SUM(F104:F107)</f>
        <v>4900000</v>
      </c>
      <c r="G103" s="73">
        <f>SUM(G104:G107)</f>
        <v>20000</v>
      </c>
      <c r="H103" s="73">
        <f>SUM(H104:H107)</f>
        <v>100000</v>
      </c>
      <c r="I103" s="136">
        <f t="shared" si="5"/>
        <v>1.1042480865589157</v>
      </c>
    </row>
    <row r="104" spans="1:9" s="7" customFormat="1" ht="19.5" customHeight="1">
      <c r="A104" s="66"/>
      <c r="B104" s="66"/>
      <c r="C104" s="68" t="s">
        <v>279</v>
      </c>
      <c r="D104" s="69">
        <v>3128736</v>
      </c>
      <c r="E104" s="69">
        <f aca="true" t="shared" si="6" ref="E104:E112">F104+H104</f>
        <v>3540000</v>
      </c>
      <c r="F104" s="69">
        <v>3540000</v>
      </c>
      <c r="G104" s="69"/>
      <c r="H104" s="69"/>
      <c r="I104" s="133">
        <f t="shared" si="5"/>
        <v>1.1314473320855452</v>
      </c>
    </row>
    <row r="105" spans="1:9" s="7" customFormat="1" ht="19.5" customHeight="1">
      <c r="A105" s="66"/>
      <c r="B105" s="66"/>
      <c r="C105" s="76" t="s">
        <v>43</v>
      </c>
      <c r="D105" s="75">
        <v>741232</v>
      </c>
      <c r="E105" s="75">
        <f t="shared" si="6"/>
        <v>730000</v>
      </c>
      <c r="F105" s="75">
        <v>730000</v>
      </c>
      <c r="G105" s="75">
        <v>20000</v>
      </c>
      <c r="H105" s="75"/>
      <c r="I105" s="134">
        <f t="shared" si="5"/>
        <v>0.9848468495693656</v>
      </c>
    </row>
    <row r="106" spans="1:9" s="7" customFormat="1" ht="19.5" customHeight="1">
      <c r="A106" s="66"/>
      <c r="B106" s="66"/>
      <c r="C106" s="76" t="s">
        <v>44</v>
      </c>
      <c r="D106" s="75">
        <v>613000</v>
      </c>
      <c r="E106" s="75">
        <f t="shared" si="6"/>
        <v>630000</v>
      </c>
      <c r="F106" s="75">
        <v>630000</v>
      </c>
      <c r="G106" s="75"/>
      <c r="H106" s="75"/>
      <c r="I106" s="134">
        <f t="shared" si="5"/>
        <v>1.0277324632952691</v>
      </c>
    </row>
    <row r="107" spans="1:9" s="7" customFormat="1" ht="19.5" customHeight="1">
      <c r="A107" s="66"/>
      <c r="B107" s="70"/>
      <c r="C107" s="70" t="s">
        <v>6</v>
      </c>
      <c r="D107" s="71">
        <v>45000</v>
      </c>
      <c r="E107" s="71">
        <f t="shared" si="6"/>
        <v>100000</v>
      </c>
      <c r="F107" s="71"/>
      <c r="G107" s="71"/>
      <c r="H107" s="71">
        <v>100000</v>
      </c>
      <c r="I107" s="178">
        <f t="shared" si="5"/>
        <v>2.2222222222222223</v>
      </c>
    </row>
    <row r="108" spans="1:9" s="7" customFormat="1" ht="22.5" customHeight="1">
      <c r="A108" s="66"/>
      <c r="B108" s="72">
        <v>75495</v>
      </c>
      <c r="C108" s="72" t="s">
        <v>4</v>
      </c>
      <c r="D108" s="73">
        <f>SUM(D109:D112)</f>
        <v>283000</v>
      </c>
      <c r="E108" s="73">
        <f>SUM(E109:E112)</f>
        <v>408000</v>
      </c>
      <c r="F108" s="73">
        <f>SUM(F109:F112)</f>
        <v>208000</v>
      </c>
      <c r="G108" s="73"/>
      <c r="H108" s="73">
        <f>SUM(H109:H112)</f>
        <v>200000</v>
      </c>
      <c r="I108" s="136">
        <f t="shared" si="5"/>
        <v>1.441696113074205</v>
      </c>
    </row>
    <row r="109" spans="1:9" s="7" customFormat="1" ht="19.5" customHeight="1">
      <c r="A109" s="66"/>
      <c r="B109" s="67"/>
      <c r="C109" s="68" t="s">
        <v>193</v>
      </c>
      <c r="D109" s="69">
        <v>183000</v>
      </c>
      <c r="E109" s="69">
        <f t="shared" si="6"/>
        <v>243000</v>
      </c>
      <c r="F109" s="69">
        <f>23000+20000</f>
        <v>43000</v>
      </c>
      <c r="G109" s="69"/>
      <c r="H109" s="69">
        <v>200000</v>
      </c>
      <c r="I109" s="133">
        <f t="shared" si="5"/>
        <v>1.3278688524590163</v>
      </c>
    </row>
    <row r="110" spans="1:9" s="7" customFormat="1" ht="19.5" customHeight="1">
      <c r="A110" s="66"/>
      <c r="B110" s="66"/>
      <c r="C110" s="76" t="s">
        <v>262</v>
      </c>
      <c r="D110" s="75">
        <v>100000</v>
      </c>
      <c r="E110" s="75">
        <f t="shared" si="6"/>
        <v>30000</v>
      </c>
      <c r="F110" s="75">
        <v>30000</v>
      </c>
      <c r="G110" s="75"/>
      <c r="H110" s="75"/>
      <c r="I110" s="134">
        <f t="shared" si="5"/>
        <v>0.3</v>
      </c>
    </row>
    <row r="111" spans="1:9" s="7" customFormat="1" ht="30.75" customHeight="1">
      <c r="A111" s="66"/>
      <c r="B111" s="66"/>
      <c r="C111" s="74" t="s">
        <v>295</v>
      </c>
      <c r="D111" s="75"/>
      <c r="E111" s="75">
        <f t="shared" si="6"/>
        <v>5000</v>
      </c>
      <c r="F111" s="75">
        <v>5000</v>
      </c>
      <c r="G111" s="75"/>
      <c r="H111" s="75"/>
      <c r="I111" s="134"/>
    </row>
    <row r="112" spans="1:9" s="7" customFormat="1" ht="19.5" customHeight="1">
      <c r="A112" s="70"/>
      <c r="B112" s="70"/>
      <c r="C112" s="83" t="s">
        <v>296</v>
      </c>
      <c r="D112" s="71"/>
      <c r="E112" s="71">
        <f t="shared" si="6"/>
        <v>130000</v>
      </c>
      <c r="F112" s="71">
        <f>150000-20000</f>
        <v>130000</v>
      </c>
      <c r="G112" s="71"/>
      <c r="H112" s="71"/>
      <c r="I112" s="135"/>
    </row>
    <row r="113" spans="1:9" s="7" customFormat="1" ht="43.5" customHeight="1">
      <c r="A113" s="51">
        <v>756</v>
      </c>
      <c r="B113" s="51"/>
      <c r="C113" s="106" t="s">
        <v>197</v>
      </c>
      <c r="D113" s="52">
        <f aca="true" t="shared" si="7" ref="D113:F114">D114</f>
        <v>273000</v>
      </c>
      <c r="E113" s="52">
        <f t="shared" si="7"/>
        <v>324000</v>
      </c>
      <c r="F113" s="52">
        <f t="shared" si="7"/>
        <v>324000</v>
      </c>
      <c r="G113" s="52"/>
      <c r="H113" s="52"/>
      <c r="I113" s="126">
        <f t="shared" si="5"/>
        <v>1.1868131868131868</v>
      </c>
    </row>
    <row r="114" spans="1:9" s="7" customFormat="1" ht="23.25" customHeight="1">
      <c r="A114" s="66"/>
      <c r="B114" s="152">
        <v>75647</v>
      </c>
      <c r="C114" s="88" t="s">
        <v>159</v>
      </c>
      <c r="D114" s="56">
        <f t="shared" si="7"/>
        <v>273000</v>
      </c>
      <c r="E114" s="56">
        <f t="shared" si="7"/>
        <v>324000</v>
      </c>
      <c r="F114" s="56">
        <f t="shared" si="7"/>
        <v>324000</v>
      </c>
      <c r="G114" s="56"/>
      <c r="H114" s="56"/>
      <c r="I114" s="127">
        <f t="shared" si="5"/>
        <v>1.1868131868131868</v>
      </c>
    </row>
    <row r="115" spans="1:9" s="7" customFormat="1" ht="19.5" customHeight="1">
      <c r="A115" s="66"/>
      <c r="B115" s="66"/>
      <c r="C115" s="87" t="s">
        <v>163</v>
      </c>
      <c r="D115" s="69">
        <v>273000</v>
      </c>
      <c r="E115" s="69">
        <f>F115+H115</f>
        <v>324000</v>
      </c>
      <c r="F115" s="69">
        <v>324000</v>
      </c>
      <c r="G115" s="69"/>
      <c r="H115" s="69"/>
      <c r="I115" s="133">
        <f t="shared" si="5"/>
        <v>1.1868131868131868</v>
      </c>
    </row>
    <row r="116" spans="1:9" s="44" customFormat="1" ht="18" customHeight="1">
      <c r="A116" s="205"/>
      <c r="B116" s="205"/>
      <c r="C116" s="209" t="s">
        <v>283</v>
      </c>
      <c r="D116" s="210">
        <v>11200</v>
      </c>
      <c r="E116" s="210">
        <f>F116+H116</f>
        <v>10000</v>
      </c>
      <c r="F116" s="210">
        <v>10000</v>
      </c>
      <c r="G116" s="210"/>
      <c r="H116" s="210"/>
      <c r="I116" s="211">
        <f t="shared" si="5"/>
        <v>0.8928571428571429</v>
      </c>
    </row>
    <row r="117" spans="1:9" s="44" customFormat="1" ht="18" customHeight="1">
      <c r="A117" s="229"/>
      <c r="B117" s="229"/>
      <c r="C117" s="230"/>
      <c r="D117" s="231"/>
      <c r="E117" s="231"/>
      <c r="F117" s="231"/>
      <c r="G117" s="231"/>
      <c r="H117" s="231"/>
      <c r="I117" s="232"/>
    </row>
    <row r="118" spans="1:9" s="7" customFormat="1" ht="19.5" customHeight="1">
      <c r="A118" s="51">
        <v>757</v>
      </c>
      <c r="B118" s="51"/>
      <c r="C118" s="51" t="s">
        <v>36</v>
      </c>
      <c r="D118" s="52">
        <f>D119</f>
        <v>11483010</v>
      </c>
      <c r="E118" s="52">
        <f>E119</f>
        <v>8354000</v>
      </c>
      <c r="F118" s="52">
        <f>F119</f>
        <v>8354000</v>
      </c>
      <c r="G118" s="52"/>
      <c r="H118" s="52"/>
      <c r="I118" s="126">
        <f t="shared" si="5"/>
        <v>0.7275095989640347</v>
      </c>
    </row>
    <row r="119" spans="1:9" s="7" customFormat="1" ht="30.75" customHeight="1">
      <c r="A119" s="66"/>
      <c r="B119" s="152">
        <v>75702</v>
      </c>
      <c r="C119" s="88" t="s">
        <v>37</v>
      </c>
      <c r="D119" s="56">
        <f>SUM(D120:D121)</f>
        <v>11483010</v>
      </c>
      <c r="E119" s="56">
        <f>SUM(E120:E121)</f>
        <v>8354000</v>
      </c>
      <c r="F119" s="56">
        <f>SUM(F120:F121)</f>
        <v>8354000</v>
      </c>
      <c r="G119" s="56"/>
      <c r="H119" s="56"/>
      <c r="I119" s="127">
        <f t="shared" si="5"/>
        <v>0.7275095989640347</v>
      </c>
    </row>
    <row r="120" spans="1:9" s="7" customFormat="1" ht="21" customHeight="1">
      <c r="A120" s="66"/>
      <c r="B120" s="66"/>
      <c r="C120" s="87" t="s">
        <v>321</v>
      </c>
      <c r="D120" s="69">
        <v>9483010</v>
      </c>
      <c r="E120" s="69">
        <f>F120+H120</f>
        <v>5054000</v>
      </c>
      <c r="F120" s="69">
        <v>5054000</v>
      </c>
      <c r="G120" s="69"/>
      <c r="H120" s="69"/>
      <c r="I120" s="133">
        <f t="shared" si="5"/>
        <v>0.5329531446239116</v>
      </c>
    </row>
    <row r="121" spans="1:9" s="7" customFormat="1" ht="19.5" customHeight="1">
      <c r="A121" s="70"/>
      <c r="B121" s="70"/>
      <c r="C121" s="83" t="s">
        <v>298</v>
      </c>
      <c r="D121" s="71">
        <v>2000000</v>
      </c>
      <c r="E121" s="71">
        <f>F121+H121</f>
        <v>3300000</v>
      </c>
      <c r="F121" s="71">
        <v>3300000</v>
      </c>
      <c r="G121" s="71"/>
      <c r="H121" s="71"/>
      <c r="I121" s="135">
        <f t="shared" si="5"/>
        <v>1.65</v>
      </c>
    </row>
    <row r="122" spans="1:9" s="7" customFormat="1" ht="19.5" customHeight="1">
      <c r="A122" s="51">
        <v>758</v>
      </c>
      <c r="B122" s="51"/>
      <c r="C122" s="51" t="s">
        <v>38</v>
      </c>
      <c r="D122" s="52">
        <f>D125+D130+D123+D132</f>
        <v>2786929</v>
      </c>
      <c r="E122" s="52">
        <f>E125+E130+E123+E132</f>
        <v>16781600</v>
      </c>
      <c r="F122" s="52">
        <f>F125+F130+F123+F132</f>
        <v>12381600</v>
      </c>
      <c r="G122" s="52"/>
      <c r="H122" s="52">
        <f>H125+H130+H123</f>
        <v>4400000</v>
      </c>
      <c r="I122" s="126">
        <f t="shared" si="5"/>
        <v>6.021538403023543</v>
      </c>
    </row>
    <row r="123" spans="1:9" s="7" customFormat="1" ht="19.5" customHeight="1">
      <c r="A123" s="66"/>
      <c r="B123" s="55">
        <v>75814</v>
      </c>
      <c r="C123" s="55" t="s">
        <v>209</v>
      </c>
      <c r="D123" s="56">
        <f>SUM(D124:D124)</f>
        <v>2586544</v>
      </c>
      <c r="E123" s="56">
        <f>SUM(E124:E124)</f>
        <v>2754784</v>
      </c>
      <c r="F123" s="56">
        <f>SUM(F124:F124)</f>
        <v>2754784</v>
      </c>
      <c r="G123" s="56"/>
      <c r="H123" s="56"/>
      <c r="I123" s="127">
        <f t="shared" si="5"/>
        <v>1.0650443216894823</v>
      </c>
    </row>
    <row r="124" spans="1:9" s="7" customFormat="1" ht="19.5" customHeight="1">
      <c r="A124" s="66"/>
      <c r="B124" s="70"/>
      <c r="C124" s="61" t="s">
        <v>210</v>
      </c>
      <c r="D124" s="62">
        <v>2586544</v>
      </c>
      <c r="E124" s="62">
        <f>F124+H124</f>
        <v>2754784</v>
      </c>
      <c r="F124" s="62">
        <v>2754784</v>
      </c>
      <c r="G124" s="62"/>
      <c r="H124" s="62"/>
      <c r="I124" s="138">
        <f t="shared" si="5"/>
        <v>1.0650443216894823</v>
      </c>
    </row>
    <row r="125" spans="1:9" s="7" customFormat="1" ht="19.5" customHeight="1">
      <c r="A125" s="66"/>
      <c r="B125" s="72">
        <v>75818</v>
      </c>
      <c r="C125" s="72" t="s">
        <v>39</v>
      </c>
      <c r="D125" s="73"/>
      <c r="E125" s="73">
        <f>SUM(E126:E129)</f>
        <v>13835736</v>
      </c>
      <c r="F125" s="73">
        <f>SUM(F126:F129)</f>
        <v>9435736</v>
      </c>
      <c r="G125" s="73"/>
      <c r="H125" s="73">
        <f>SUM(H126:H129)</f>
        <v>4400000</v>
      </c>
      <c r="I125" s="136"/>
    </row>
    <row r="126" spans="1:9" s="7" customFormat="1" ht="20.25" customHeight="1">
      <c r="A126" s="66"/>
      <c r="B126" s="67"/>
      <c r="C126" s="87" t="s">
        <v>115</v>
      </c>
      <c r="D126" s="69"/>
      <c r="E126" s="69">
        <f>F126+H126</f>
        <v>8135736</v>
      </c>
      <c r="F126" s="69">
        <f>8131621+115+4000</f>
        <v>8135736</v>
      </c>
      <c r="G126" s="69"/>
      <c r="H126" s="69"/>
      <c r="I126" s="133"/>
    </row>
    <row r="127" spans="1:9" s="7" customFormat="1" ht="20.25" customHeight="1">
      <c r="A127" s="66"/>
      <c r="B127" s="66"/>
      <c r="C127" s="59" t="s">
        <v>316</v>
      </c>
      <c r="D127" s="60"/>
      <c r="E127" s="75">
        <f>F127+H127</f>
        <v>100000</v>
      </c>
      <c r="F127" s="60">
        <v>100000</v>
      </c>
      <c r="G127" s="60"/>
      <c r="H127" s="60"/>
      <c r="I127" s="131"/>
    </row>
    <row r="128" spans="1:9" s="7" customFormat="1" ht="29.25" customHeight="1">
      <c r="A128" s="66"/>
      <c r="B128" s="66"/>
      <c r="C128" s="74" t="s">
        <v>308</v>
      </c>
      <c r="D128" s="75"/>
      <c r="E128" s="75">
        <f>F128+H128</f>
        <v>4800000</v>
      </c>
      <c r="F128" s="75">
        <f>600000+200000-400000</f>
        <v>400000</v>
      </c>
      <c r="G128" s="75"/>
      <c r="H128" s="75">
        <f>4000000+400000</f>
        <v>4400000</v>
      </c>
      <c r="I128" s="134"/>
    </row>
    <row r="129" spans="1:9" s="7" customFormat="1" ht="32.25" customHeight="1">
      <c r="A129" s="66"/>
      <c r="B129" s="70"/>
      <c r="C129" s="83" t="s">
        <v>322</v>
      </c>
      <c r="D129" s="71"/>
      <c r="E129" s="71">
        <f>F129+H129</f>
        <v>800000</v>
      </c>
      <c r="F129" s="71">
        <v>800000</v>
      </c>
      <c r="G129" s="71"/>
      <c r="H129" s="71"/>
      <c r="I129" s="135"/>
    </row>
    <row r="130" spans="1:9" s="7" customFormat="1" ht="19.5" customHeight="1">
      <c r="A130" s="66"/>
      <c r="B130" s="72">
        <v>75820</v>
      </c>
      <c r="C130" s="72" t="s">
        <v>40</v>
      </c>
      <c r="D130" s="73">
        <f>D131</f>
        <v>50000</v>
      </c>
      <c r="E130" s="73"/>
      <c r="F130" s="73"/>
      <c r="G130" s="73"/>
      <c r="H130" s="73"/>
      <c r="I130" s="136"/>
    </row>
    <row r="131" spans="1:9" s="7" customFormat="1" ht="19.5" customHeight="1">
      <c r="A131" s="66"/>
      <c r="B131" s="70"/>
      <c r="C131" s="70" t="s">
        <v>227</v>
      </c>
      <c r="D131" s="71">
        <v>50000</v>
      </c>
      <c r="E131" s="71"/>
      <c r="F131" s="71"/>
      <c r="G131" s="71"/>
      <c r="H131" s="71"/>
      <c r="I131" s="128"/>
    </row>
    <row r="132" spans="1:9" s="7" customFormat="1" ht="19.5" customHeight="1">
      <c r="A132" s="66"/>
      <c r="B132" s="72">
        <v>75860</v>
      </c>
      <c r="C132" s="72" t="s">
        <v>280</v>
      </c>
      <c r="D132" s="73">
        <f>D133+D134+D136</f>
        <v>150385</v>
      </c>
      <c r="E132" s="73">
        <f>E133+E134+E136</f>
        <v>191080</v>
      </c>
      <c r="F132" s="73">
        <f>F133+F134+F136</f>
        <v>191080</v>
      </c>
      <c r="G132" s="73"/>
      <c r="H132" s="73"/>
      <c r="I132" s="136">
        <f t="shared" si="5"/>
        <v>1.2706054460218772</v>
      </c>
    </row>
    <row r="133" spans="1:9" s="7" customFormat="1" ht="19.5" customHeight="1">
      <c r="A133" s="66"/>
      <c r="B133" s="66"/>
      <c r="C133" s="76" t="s">
        <v>229</v>
      </c>
      <c r="D133" s="75">
        <v>20385</v>
      </c>
      <c r="E133" s="75">
        <f>F133+H133</f>
        <v>25000</v>
      </c>
      <c r="F133" s="75">
        <v>25000</v>
      </c>
      <c r="G133" s="75"/>
      <c r="H133" s="75"/>
      <c r="I133" s="134">
        <f t="shared" si="5"/>
        <v>1.226391954868776</v>
      </c>
    </row>
    <row r="134" spans="1:9" s="7" customFormat="1" ht="29.25" customHeight="1">
      <c r="A134" s="66"/>
      <c r="B134" s="66"/>
      <c r="C134" s="174" t="s">
        <v>317</v>
      </c>
      <c r="D134" s="172">
        <v>115000</v>
      </c>
      <c r="E134" s="172">
        <f>F134+H134</f>
        <v>31080</v>
      </c>
      <c r="F134" s="172">
        <v>31080</v>
      </c>
      <c r="G134" s="172"/>
      <c r="H134" s="172"/>
      <c r="I134" s="173">
        <f>E134/D134</f>
        <v>0.2702608695652174</v>
      </c>
    </row>
    <row r="135" spans="1:9" s="44" customFormat="1" ht="18" customHeight="1">
      <c r="A135" s="58"/>
      <c r="B135" s="58"/>
      <c r="C135" s="202" t="s">
        <v>283</v>
      </c>
      <c r="D135" s="203">
        <f>3000+23000</f>
        <v>26000</v>
      </c>
      <c r="E135" s="203">
        <f>F135+H135</f>
        <v>5740</v>
      </c>
      <c r="F135" s="203">
        <f>1440+4300</f>
        <v>5740</v>
      </c>
      <c r="G135" s="203"/>
      <c r="H135" s="203"/>
      <c r="I135" s="204">
        <f>E135/D135</f>
        <v>0.22076923076923077</v>
      </c>
    </row>
    <row r="136" spans="1:9" s="7" customFormat="1" ht="28.5" customHeight="1">
      <c r="A136" s="66"/>
      <c r="B136" s="66"/>
      <c r="C136" s="59" t="s">
        <v>349</v>
      </c>
      <c r="D136" s="60">
        <v>15000</v>
      </c>
      <c r="E136" s="60">
        <f>F136+H136</f>
        <v>135000</v>
      </c>
      <c r="F136" s="60">
        <v>135000</v>
      </c>
      <c r="G136" s="60"/>
      <c r="H136" s="60"/>
      <c r="I136" s="131">
        <f t="shared" si="5"/>
        <v>9</v>
      </c>
    </row>
    <row r="137" spans="1:9" s="238" customFormat="1" ht="18" customHeight="1">
      <c r="A137" s="237"/>
      <c r="B137" s="237"/>
      <c r="C137" s="209" t="s">
        <v>283</v>
      </c>
      <c r="D137" s="210">
        <v>700</v>
      </c>
      <c r="E137" s="210">
        <f>F137+H137</f>
        <v>47000</v>
      </c>
      <c r="F137" s="210">
        <v>47000</v>
      </c>
      <c r="G137" s="210"/>
      <c r="H137" s="210"/>
      <c r="I137" s="211">
        <f t="shared" si="5"/>
        <v>67.14285714285714</v>
      </c>
    </row>
    <row r="138" spans="1:9" s="7" customFormat="1" ht="18" customHeight="1">
      <c r="A138" s="51">
        <v>801</v>
      </c>
      <c r="B138" s="51"/>
      <c r="C138" s="51" t="s">
        <v>41</v>
      </c>
      <c r="D138" s="52">
        <f>D139+D149+D157+D168+D175+D179+D181+D188+D192+D201+D213+D217+D223+D225+D228+D234+D164+D197+D209+D153</f>
        <v>324820405</v>
      </c>
      <c r="E138" s="52">
        <f>E139+E149+E157+E168+E175+E179+E181+E188+E192+E201+E213+E217+E223+E225+E228+E234+E164+E197+E209+E153</f>
        <v>342669500</v>
      </c>
      <c r="F138" s="52">
        <f>F139+F149+F157+F168+F175+F179+F181+F188+F192+F201+F213+F217+F223+F225+F228+F234+F164+F197+F209+F153</f>
        <v>315189965</v>
      </c>
      <c r="G138" s="52">
        <f>G139+G149+G157+G168+G175+G179+G181+G188+G192+G201+G213+G217+G223+G225+G228+G234+G164+G197+G209+G153</f>
        <v>1400000</v>
      </c>
      <c r="H138" s="52">
        <f>H139+H149+H157+H168+H175+H179+H181+H188+H192+H201+H213+H217+H223+H225+H228+H234+H164+H197+H209+H153</f>
        <v>27479535</v>
      </c>
      <c r="I138" s="126">
        <f t="shared" si="5"/>
        <v>1.054950658041326</v>
      </c>
    </row>
    <row r="139" spans="1:9" s="7" customFormat="1" ht="20.25" customHeight="1">
      <c r="A139" s="66"/>
      <c r="B139" s="55">
        <v>80101</v>
      </c>
      <c r="C139" s="55" t="s">
        <v>42</v>
      </c>
      <c r="D139" s="56">
        <f>D140+D141+D142+D143+D145+D146+D147+D148</f>
        <v>90643115</v>
      </c>
      <c r="E139" s="56">
        <f>E140+E141+E142+E143+E145+E146+E147+E148</f>
        <v>94570000</v>
      </c>
      <c r="F139" s="56">
        <f>F140+F141+F142+F143+F145+F146+F147+F148</f>
        <v>82175870</v>
      </c>
      <c r="G139" s="56">
        <f>G140+G141+G142+G143+G145+G146+G147+G148</f>
        <v>500000</v>
      </c>
      <c r="H139" s="56">
        <f>H140+H141+H142+H143+H145+H146+H147+H148</f>
        <v>12394130</v>
      </c>
      <c r="I139" s="127">
        <f t="shared" si="5"/>
        <v>1.0433224851109761</v>
      </c>
    </row>
    <row r="140" spans="1:10" s="7" customFormat="1" ht="18" customHeight="1">
      <c r="A140" s="66"/>
      <c r="B140" s="66"/>
      <c r="C140" s="68" t="s">
        <v>279</v>
      </c>
      <c r="D140" s="69">
        <v>56758406</v>
      </c>
      <c r="E140" s="69">
        <f aca="true" t="shared" si="8" ref="E140:E152">F140+H140</f>
        <v>57842800</v>
      </c>
      <c r="F140" s="69">
        <f>56857600+985200</f>
        <v>57842800</v>
      </c>
      <c r="G140" s="69"/>
      <c r="H140" s="69"/>
      <c r="I140" s="133">
        <f t="shared" si="5"/>
        <v>1.0191054343562784</v>
      </c>
      <c r="J140" s="151"/>
    </row>
    <row r="141" spans="1:10" s="7" customFormat="1" ht="18" customHeight="1">
      <c r="A141" s="66"/>
      <c r="B141" s="66"/>
      <c r="C141" s="76" t="s">
        <v>43</v>
      </c>
      <c r="D141" s="75">
        <f>11015997+995141</f>
        <v>12011138</v>
      </c>
      <c r="E141" s="75">
        <f t="shared" si="8"/>
        <v>11437670</v>
      </c>
      <c r="F141" s="75">
        <f>10937670+500000</f>
        <v>11437670</v>
      </c>
      <c r="G141" s="75">
        <v>500000</v>
      </c>
      <c r="H141" s="75"/>
      <c r="I141" s="134">
        <f t="shared" si="5"/>
        <v>0.9522553150251042</v>
      </c>
      <c r="J141" s="151"/>
    </row>
    <row r="142" spans="1:10" s="7" customFormat="1" ht="18" customHeight="1">
      <c r="A142" s="66"/>
      <c r="B142" s="66"/>
      <c r="C142" s="76" t="s">
        <v>44</v>
      </c>
      <c r="D142" s="75">
        <v>10835830</v>
      </c>
      <c r="E142" s="75">
        <f t="shared" si="8"/>
        <v>11293400</v>
      </c>
      <c r="F142" s="75">
        <f>11092200+177200+24000</f>
        <v>11293400</v>
      </c>
      <c r="G142" s="75"/>
      <c r="H142" s="75"/>
      <c r="I142" s="134">
        <f t="shared" si="5"/>
        <v>1.0422274989548563</v>
      </c>
      <c r="J142" s="151"/>
    </row>
    <row r="143" spans="1:10" s="7" customFormat="1" ht="18" customHeight="1">
      <c r="A143" s="66"/>
      <c r="B143" s="66"/>
      <c r="C143" s="94" t="s">
        <v>215</v>
      </c>
      <c r="D143" s="60">
        <v>382597</v>
      </c>
      <c r="E143" s="60">
        <f t="shared" si="8"/>
        <v>402000</v>
      </c>
      <c r="F143" s="60">
        <v>402000</v>
      </c>
      <c r="G143" s="60"/>
      <c r="H143" s="60"/>
      <c r="I143" s="131">
        <f aca="true" t="shared" si="9" ref="I143:I204">E143/D143</f>
        <v>1.050713936596471</v>
      </c>
      <c r="J143" s="151"/>
    </row>
    <row r="144" spans="1:10" s="44" customFormat="1" ht="18" customHeight="1">
      <c r="A144" s="58"/>
      <c r="B144" s="58"/>
      <c r="C144" s="213" t="s">
        <v>283</v>
      </c>
      <c r="D144" s="203">
        <v>306364</v>
      </c>
      <c r="E144" s="203">
        <f t="shared" si="8"/>
        <v>315000</v>
      </c>
      <c r="F144" s="203">
        <v>315000</v>
      </c>
      <c r="G144" s="203"/>
      <c r="H144" s="203"/>
      <c r="I144" s="204">
        <f t="shared" si="9"/>
        <v>1.028188690577222</v>
      </c>
      <c r="J144" s="212"/>
    </row>
    <row r="145" spans="1:10" s="7" customFormat="1" ht="18" customHeight="1">
      <c r="A145" s="66"/>
      <c r="B145" s="66"/>
      <c r="C145" s="94" t="s">
        <v>116</v>
      </c>
      <c r="D145" s="60">
        <v>1064392</v>
      </c>
      <c r="E145" s="60">
        <f t="shared" si="8"/>
        <v>1200000</v>
      </c>
      <c r="F145" s="60">
        <v>1200000</v>
      </c>
      <c r="G145" s="60"/>
      <c r="H145" s="60"/>
      <c r="I145" s="131">
        <f t="shared" si="9"/>
        <v>1.127404189433968</v>
      </c>
      <c r="J145" s="151"/>
    </row>
    <row r="146" spans="1:10" s="7" customFormat="1" ht="18" customHeight="1">
      <c r="A146" s="70"/>
      <c r="B146" s="70"/>
      <c r="C146" s="80" t="s">
        <v>242</v>
      </c>
      <c r="D146" s="62">
        <v>54290</v>
      </c>
      <c r="E146" s="62"/>
      <c r="F146" s="62"/>
      <c r="G146" s="62"/>
      <c r="H146" s="62"/>
      <c r="I146" s="138"/>
      <c r="J146" s="151"/>
    </row>
    <row r="147" spans="1:9" s="7" customFormat="1" ht="18" customHeight="1">
      <c r="A147" s="66"/>
      <c r="B147" s="66"/>
      <c r="C147" s="94" t="s">
        <v>241</v>
      </c>
      <c r="D147" s="60">
        <v>53813</v>
      </c>
      <c r="E147" s="60"/>
      <c r="F147" s="60"/>
      <c r="G147" s="60"/>
      <c r="H147" s="60"/>
      <c r="I147" s="131"/>
    </row>
    <row r="148" spans="1:9" s="7" customFormat="1" ht="18" customHeight="1">
      <c r="A148" s="66"/>
      <c r="B148" s="70"/>
      <c r="C148" s="70" t="s">
        <v>6</v>
      </c>
      <c r="D148" s="71">
        <v>9482649</v>
      </c>
      <c r="E148" s="71">
        <f t="shared" si="8"/>
        <v>12394130</v>
      </c>
      <c r="F148" s="71"/>
      <c r="G148" s="71"/>
      <c r="H148" s="71">
        <f>13094130-700000</f>
        <v>12394130</v>
      </c>
      <c r="I148" s="135">
        <f t="shared" si="9"/>
        <v>1.3070324547497223</v>
      </c>
    </row>
    <row r="149" spans="1:9" s="7" customFormat="1" ht="19.5" customHeight="1">
      <c r="A149" s="66"/>
      <c r="B149" s="72">
        <v>80102</v>
      </c>
      <c r="C149" s="72" t="s">
        <v>45</v>
      </c>
      <c r="D149" s="73">
        <f>SUM(D150:D152)</f>
        <v>5859950</v>
      </c>
      <c r="E149" s="73">
        <f>SUM(E150:E152)</f>
        <v>6000000</v>
      </c>
      <c r="F149" s="73">
        <f>SUM(F150:F152)</f>
        <v>6000000</v>
      </c>
      <c r="G149" s="73"/>
      <c r="H149" s="73"/>
      <c r="I149" s="136">
        <f t="shared" si="9"/>
        <v>1.0238995213269737</v>
      </c>
    </row>
    <row r="150" spans="1:9" s="7" customFormat="1" ht="19.5" customHeight="1">
      <c r="A150" s="66"/>
      <c r="B150" s="66"/>
      <c r="C150" s="68" t="s">
        <v>279</v>
      </c>
      <c r="D150" s="69">
        <v>4505180</v>
      </c>
      <c r="E150" s="69">
        <f t="shared" si="8"/>
        <v>4624200</v>
      </c>
      <c r="F150" s="69">
        <f>4558200+66000</f>
        <v>4624200</v>
      </c>
      <c r="G150" s="69"/>
      <c r="H150" s="69"/>
      <c r="I150" s="133">
        <f t="shared" si="9"/>
        <v>1.0264184782849963</v>
      </c>
    </row>
    <row r="151" spans="1:9" s="7" customFormat="1" ht="19.5" customHeight="1">
      <c r="A151" s="66"/>
      <c r="B151" s="66"/>
      <c r="C151" s="76" t="s">
        <v>43</v>
      </c>
      <c r="D151" s="75">
        <v>490000</v>
      </c>
      <c r="E151" s="75">
        <f t="shared" si="8"/>
        <v>493400</v>
      </c>
      <c r="F151" s="75">
        <v>493400</v>
      </c>
      <c r="G151" s="75"/>
      <c r="H151" s="75"/>
      <c r="I151" s="134">
        <f t="shared" si="9"/>
        <v>1.0069387755102042</v>
      </c>
    </row>
    <row r="152" spans="1:9" s="7" customFormat="1" ht="19.5" customHeight="1">
      <c r="A152" s="66"/>
      <c r="B152" s="70"/>
      <c r="C152" s="80" t="s">
        <v>44</v>
      </c>
      <c r="D152" s="62">
        <v>864770</v>
      </c>
      <c r="E152" s="62">
        <f t="shared" si="8"/>
        <v>882400</v>
      </c>
      <c r="F152" s="62">
        <f>869000+11800+1600</f>
        <v>882400</v>
      </c>
      <c r="G152" s="62"/>
      <c r="H152" s="62"/>
      <c r="I152" s="138">
        <f t="shared" si="9"/>
        <v>1.0203869236906924</v>
      </c>
    </row>
    <row r="153" spans="1:9" s="7" customFormat="1" ht="19.5" customHeight="1">
      <c r="A153" s="66"/>
      <c r="B153" s="55">
        <v>80103</v>
      </c>
      <c r="C153" s="55" t="s">
        <v>297</v>
      </c>
      <c r="D153" s="56">
        <f>SUM(D154:D156)</f>
        <v>1585480</v>
      </c>
      <c r="E153" s="56">
        <f>SUM(E154:E156)</f>
        <v>1650000</v>
      </c>
      <c r="F153" s="56">
        <f>SUM(F154:F156)</f>
        <v>1650000</v>
      </c>
      <c r="G153" s="56"/>
      <c r="H153" s="56"/>
      <c r="I153" s="127">
        <f t="shared" si="9"/>
        <v>1.0406943007795746</v>
      </c>
    </row>
    <row r="154" spans="1:9" s="7" customFormat="1" ht="19.5" customHeight="1">
      <c r="A154" s="66"/>
      <c r="B154" s="66"/>
      <c r="C154" s="68" t="s">
        <v>279</v>
      </c>
      <c r="D154" s="69">
        <v>1190970</v>
      </c>
      <c r="E154" s="69">
        <f aca="true" t="shared" si="10" ref="E154:E180">F154+H154</f>
        <v>1244600</v>
      </c>
      <c r="F154" s="69">
        <f>1227200+17400</f>
        <v>1244600</v>
      </c>
      <c r="G154" s="69"/>
      <c r="H154" s="69"/>
      <c r="I154" s="133">
        <f t="shared" si="9"/>
        <v>1.0450305213397482</v>
      </c>
    </row>
    <row r="155" spans="1:9" s="7" customFormat="1" ht="19.5" customHeight="1">
      <c r="A155" s="66"/>
      <c r="B155" s="66"/>
      <c r="C155" s="76" t="s">
        <v>43</v>
      </c>
      <c r="D155" s="75">
        <v>162200</v>
      </c>
      <c r="E155" s="75">
        <f t="shared" si="10"/>
        <v>162900</v>
      </c>
      <c r="F155" s="75">
        <v>162900</v>
      </c>
      <c r="G155" s="75"/>
      <c r="H155" s="75"/>
      <c r="I155" s="134">
        <f t="shared" si="9"/>
        <v>1.004315659679408</v>
      </c>
    </row>
    <row r="156" spans="1:9" s="7" customFormat="1" ht="19.5" customHeight="1">
      <c r="A156" s="66"/>
      <c r="B156" s="70"/>
      <c r="C156" s="80" t="s">
        <v>44</v>
      </c>
      <c r="D156" s="62">
        <v>232310</v>
      </c>
      <c r="E156" s="62">
        <f t="shared" si="10"/>
        <v>242500</v>
      </c>
      <c r="F156" s="62">
        <f>239000+3100+400</f>
        <v>242500</v>
      </c>
      <c r="G156" s="62"/>
      <c r="H156" s="62"/>
      <c r="I156" s="138">
        <f t="shared" si="9"/>
        <v>1.043863802677457</v>
      </c>
    </row>
    <row r="157" spans="1:9" s="43" customFormat="1" ht="19.5" customHeight="1">
      <c r="A157" s="54"/>
      <c r="B157" s="115">
        <v>80104</v>
      </c>
      <c r="C157" s="82" t="s">
        <v>150</v>
      </c>
      <c r="D157" s="73">
        <f>SUM(D158:D163)</f>
        <v>46699011</v>
      </c>
      <c r="E157" s="73">
        <f>SUM(E158:E163)</f>
        <v>48660000</v>
      </c>
      <c r="F157" s="73">
        <f>SUM(F158:F163)</f>
        <v>47606195</v>
      </c>
      <c r="G157" s="73">
        <f>SUM(G158:G163)</f>
        <v>100000</v>
      </c>
      <c r="H157" s="73">
        <f>SUM(H158:H163)</f>
        <v>1053805</v>
      </c>
      <c r="I157" s="136">
        <f t="shared" si="9"/>
        <v>1.0419920884405882</v>
      </c>
    </row>
    <row r="158" spans="1:9" s="7" customFormat="1" ht="19.5" customHeight="1">
      <c r="A158" s="66"/>
      <c r="B158" s="66"/>
      <c r="C158" s="94" t="s">
        <v>279</v>
      </c>
      <c r="D158" s="60">
        <v>29700000</v>
      </c>
      <c r="E158" s="60">
        <f t="shared" si="10"/>
        <v>31127000</v>
      </c>
      <c r="F158" s="60">
        <f>29825000+1302000</f>
        <v>31127000</v>
      </c>
      <c r="G158" s="60"/>
      <c r="H158" s="60"/>
      <c r="I158" s="131">
        <f t="shared" si="9"/>
        <v>1.0480471380471381</v>
      </c>
    </row>
    <row r="159" spans="1:9" s="7" customFormat="1" ht="19.5" customHeight="1">
      <c r="A159" s="66"/>
      <c r="B159" s="66"/>
      <c r="C159" s="76" t="s">
        <v>43</v>
      </c>
      <c r="D159" s="75">
        <f>6053745+248034</f>
        <v>6301779</v>
      </c>
      <c r="E159" s="75">
        <f t="shared" si="10"/>
        <v>6179095</v>
      </c>
      <c r="F159" s="75">
        <f>6079095+100000</f>
        <v>6179095</v>
      </c>
      <c r="G159" s="75">
        <v>100000</v>
      </c>
      <c r="H159" s="75"/>
      <c r="I159" s="134">
        <f t="shared" si="9"/>
        <v>0.9805318466420355</v>
      </c>
    </row>
    <row r="160" spans="1:9" s="7" customFormat="1" ht="19.5" customHeight="1">
      <c r="A160" s="66"/>
      <c r="B160" s="66"/>
      <c r="C160" s="76" t="s">
        <v>44</v>
      </c>
      <c r="D160" s="75">
        <v>5616000</v>
      </c>
      <c r="E160" s="75">
        <f t="shared" si="10"/>
        <v>5890100</v>
      </c>
      <c r="F160" s="75">
        <f>5624000+234200+31900</f>
        <v>5890100</v>
      </c>
      <c r="G160" s="75"/>
      <c r="H160" s="75"/>
      <c r="I160" s="134">
        <f t="shared" si="9"/>
        <v>1.0488069800569801</v>
      </c>
    </row>
    <row r="161" spans="1:9" s="7" customFormat="1" ht="19.5" customHeight="1">
      <c r="A161" s="66"/>
      <c r="B161" s="66"/>
      <c r="C161" s="76" t="s">
        <v>299</v>
      </c>
      <c r="D161" s="75">
        <v>10000</v>
      </c>
      <c r="E161" s="75">
        <f t="shared" si="10"/>
        <v>10000</v>
      </c>
      <c r="F161" s="75">
        <v>10000</v>
      </c>
      <c r="G161" s="75"/>
      <c r="H161" s="75"/>
      <c r="I161" s="134">
        <f t="shared" si="9"/>
        <v>1</v>
      </c>
    </row>
    <row r="162" spans="1:9" s="7" customFormat="1" ht="19.5" customHeight="1">
      <c r="A162" s="66"/>
      <c r="B162" s="66"/>
      <c r="C162" s="76" t="s">
        <v>263</v>
      </c>
      <c r="D162" s="75">
        <v>4290000</v>
      </c>
      <c r="E162" s="75">
        <f t="shared" si="10"/>
        <v>4400000</v>
      </c>
      <c r="F162" s="75">
        <v>4400000</v>
      </c>
      <c r="G162" s="75"/>
      <c r="H162" s="75"/>
      <c r="I162" s="134">
        <f t="shared" si="9"/>
        <v>1.0256410256410255</v>
      </c>
    </row>
    <row r="163" spans="1:9" s="7" customFormat="1" ht="19.5" customHeight="1">
      <c r="A163" s="66"/>
      <c r="B163" s="70"/>
      <c r="C163" s="70" t="s">
        <v>6</v>
      </c>
      <c r="D163" s="71">
        <v>781232</v>
      </c>
      <c r="E163" s="71">
        <f t="shared" si="10"/>
        <v>1053805</v>
      </c>
      <c r="F163" s="71"/>
      <c r="G163" s="71"/>
      <c r="H163" s="71">
        <v>1053805</v>
      </c>
      <c r="I163" s="135">
        <f t="shared" si="9"/>
        <v>1.348901478690069</v>
      </c>
    </row>
    <row r="164" spans="1:9" s="43" customFormat="1" ht="19.5" customHeight="1">
      <c r="A164" s="54"/>
      <c r="B164" s="115">
        <v>80105</v>
      </c>
      <c r="C164" s="82" t="s">
        <v>63</v>
      </c>
      <c r="D164" s="73">
        <f>SUM(D165:D167)</f>
        <v>1468200</v>
      </c>
      <c r="E164" s="73">
        <f>SUM(E165:E167)</f>
        <v>1600000</v>
      </c>
      <c r="F164" s="73">
        <f>SUM(F165:F167)</f>
        <v>1600000</v>
      </c>
      <c r="G164" s="73"/>
      <c r="H164" s="73"/>
      <c r="I164" s="136">
        <f t="shared" si="9"/>
        <v>1.0897697861326794</v>
      </c>
    </row>
    <row r="165" spans="1:9" s="7" customFormat="1" ht="19.5" customHeight="1">
      <c r="A165" s="66"/>
      <c r="B165" s="66"/>
      <c r="C165" s="68" t="s">
        <v>279</v>
      </c>
      <c r="D165" s="69">
        <v>1118200</v>
      </c>
      <c r="E165" s="69">
        <f t="shared" si="10"/>
        <v>1217900</v>
      </c>
      <c r="F165" s="69">
        <f>1181000+36900</f>
        <v>1217900</v>
      </c>
      <c r="G165" s="69"/>
      <c r="H165" s="69"/>
      <c r="I165" s="133">
        <f t="shared" si="9"/>
        <v>1.0891611518511894</v>
      </c>
    </row>
    <row r="166" spans="1:9" s="7" customFormat="1" ht="19.5" customHeight="1">
      <c r="A166" s="66"/>
      <c r="B166" s="66"/>
      <c r="C166" s="76" t="s">
        <v>43</v>
      </c>
      <c r="D166" s="75">
        <v>150000</v>
      </c>
      <c r="E166" s="75">
        <f t="shared" si="10"/>
        <v>155600</v>
      </c>
      <c r="F166" s="75">
        <v>155600</v>
      </c>
      <c r="G166" s="75"/>
      <c r="H166" s="75"/>
      <c r="I166" s="134">
        <f t="shared" si="9"/>
        <v>1.0373333333333334</v>
      </c>
    </row>
    <row r="167" spans="1:9" s="7" customFormat="1" ht="19.5" customHeight="1">
      <c r="A167" s="66"/>
      <c r="B167" s="70"/>
      <c r="C167" s="80" t="s">
        <v>44</v>
      </c>
      <c r="D167" s="62">
        <v>200000</v>
      </c>
      <c r="E167" s="62">
        <f t="shared" si="10"/>
        <v>226500</v>
      </c>
      <c r="F167" s="62">
        <v>226500</v>
      </c>
      <c r="G167" s="62"/>
      <c r="H167" s="62"/>
      <c r="I167" s="138">
        <f t="shared" si="9"/>
        <v>1.1325</v>
      </c>
    </row>
    <row r="168" spans="1:9" s="43" customFormat="1" ht="19.5" customHeight="1">
      <c r="A168" s="54"/>
      <c r="B168" s="72">
        <v>80110</v>
      </c>
      <c r="C168" s="72" t="s">
        <v>46</v>
      </c>
      <c r="D168" s="73">
        <f>SUM(D169:D174)</f>
        <v>50860984</v>
      </c>
      <c r="E168" s="73">
        <f>SUM(E169:E174)</f>
        <v>53267000</v>
      </c>
      <c r="F168" s="73">
        <f>SUM(F169:F174)</f>
        <v>50183700</v>
      </c>
      <c r="G168" s="73">
        <f>SUM(G169:G174)</f>
        <v>300000</v>
      </c>
      <c r="H168" s="73">
        <f>SUM(H169:H174)</f>
        <v>3083300</v>
      </c>
      <c r="I168" s="136">
        <f t="shared" si="9"/>
        <v>1.0473057304593243</v>
      </c>
    </row>
    <row r="169" spans="1:9" s="7" customFormat="1" ht="19.5" customHeight="1">
      <c r="A169" s="66"/>
      <c r="B169" s="66"/>
      <c r="C169" s="68" t="s">
        <v>279</v>
      </c>
      <c r="D169" s="69">
        <v>33543514</v>
      </c>
      <c r="E169" s="69">
        <f t="shared" si="10"/>
        <v>34381400</v>
      </c>
      <c r="F169" s="69">
        <f>33872000+509400</f>
        <v>34381400</v>
      </c>
      <c r="G169" s="69"/>
      <c r="H169" s="69"/>
      <c r="I169" s="133">
        <f t="shared" si="9"/>
        <v>1.024979076431885</v>
      </c>
    </row>
    <row r="170" spans="1:9" s="7" customFormat="1" ht="19.5" customHeight="1">
      <c r="A170" s="66"/>
      <c r="B170" s="66"/>
      <c r="C170" s="76" t="s">
        <v>43</v>
      </c>
      <c r="D170" s="75">
        <f>5820952+818534</f>
        <v>6639486</v>
      </c>
      <c r="E170" s="75">
        <f t="shared" si="10"/>
        <v>6143300</v>
      </c>
      <c r="F170" s="75">
        <f>5843300+300000</f>
        <v>6143300</v>
      </c>
      <c r="G170" s="75">
        <v>300000</v>
      </c>
      <c r="H170" s="75"/>
      <c r="I170" s="134">
        <f t="shared" si="9"/>
        <v>0.9252674077481299</v>
      </c>
    </row>
    <row r="171" spans="1:9" s="7" customFormat="1" ht="19.5" customHeight="1">
      <c r="A171" s="66"/>
      <c r="B171" s="66"/>
      <c r="C171" s="76" t="s">
        <v>44</v>
      </c>
      <c r="D171" s="75">
        <v>6398200</v>
      </c>
      <c r="E171" s="75">
        <f t="shared" si="10"/>
        <v>6773000</v>
      </c>
      <c r="F171" s="75">
        <f>6669000+91500+12500</f>
        <v>6773000</v>
      </c>
      <c r="G171" s="75"/>
      <c r="H171" s="75"/>
      <c r="I171" s="134">
        <f t="shared" si="9"/>
        <v>1.0585789753368136</v>
      </c>
    </row>
    <row r="172" spans="1:9" s="7" customFormat="1" ht="19.5" customHeight="1">
      <c r="A172" s="66"/>
      <c r="B172" s="66"/>
      <c r="C172" s="94" t="s">
        <v>264</v>
      </c>
      <c r="D172" s="60">
        <v>2787945</v>
      </c>
      <c r="E172" s="60">
        <f t="shared" si="10"/>
        <v>2886000</v>
      </c>
      <c r="F172" s="60">
        <v>2886000</v>
      </c>
      <c r="G172" s="60"/>
      <c r="H172" s="60"/>
      <c r="I172" s="131">
        <f t="shared" si="9"/>
        <v>1.0351710668610752</v>
      </c>
    </row>
    <row r="173" spans="1:9" s="7" customFormat="1" ht="19.5" customHeight="1">
      <c r="A173" s="66"/>
      <c r="B173" s="66"/>
      <c r="C173" s="76" t="s">
        <v>242</v>
      </c>
      <c r="D173" s="75">
        <v>13443</v>
      </c>
      <c r="E173" s="75"/>
      <c r="F173" s="75"/>
      <c r="G173" s="75"/>
      <c r="H173" s="75"/>
      <c r="I173" s="134"/>
    </row>
    <row r="174" spans="1:9" s="7" customFormat="1" ht="19.5" customHeight="1">
      <c r="A174" s="66"/>
      <c r="B174" s="70"/>
      <c r="C174" s="70" t="s">
        <v>6</v>
      </c>
      <c r="D174" s="71">
        <v>1478396</v>
      </c>
      <c r="E174" s="71">
        <f t="shared" si="10"/>
        <v>3083300</v>
      </c>
      <c r="F174" s="71"/>
      <c r="G174" s="71"/>
      <c r="H174" s="71">
        <v>3083300</v>
      </c>
      <c r="I174" s="135">
        <f t="shared" si="9"/>
        <v>2.0855711189694777</v>
      </c>
    </row>
    <row r="175" spans="1:9" s="43" customFormat="1" ht="19.5" customHeight="1">
      <c r="A175" s="54"/>
      <c r="B175" s="72">
        <v>80111</v>
      </c>
      <c r="C175" s="72" t="s">
        <v>135</v>
      </c>
      <c r="D175" s="73">
        <f>SUM(D176:D178)</f>
        <v>4191000</v>
      </c>
      <c r="E175" s="73">
        <f>SUM(E176:E178)</f>
        <v>4580000</v>
      </c>
      <c r="F175" s="73">
        <f>SUM(F176:F178)</f>
        <v>4580000</v>
      </c>
      <c r="G175" s="73"/>
      <c r="H175" s="73"/>
      <c r="I175" s="136">
        <f t="shared" si="9"/>
        <v>1.092817943211644</v>
      </c>
    </row>
    <row r="176" spans="1:9" s="7" customFormat="1" ht="19.5" customHeight="1">
      <c r="A176" s="66"/>
      <c r="B176" s="66"/>
      <c r="C176" s="68" t="s">
        <v>279</v>
      </c>
      <c r="D176" s="69">
        <v>3235300</v>
      </c>
      <c r="E176" s="69">
        <f t="shared" si="10"/>
        <v>3550800</v>
      </c>
      <c r="F176" s="69">
        <f>3532000+18800</f>
        <v>3550800</v>
      </c>
      <c r="G176" s="69"/>
      <c r="H176" s="69"/>
      <c r="I176" s="133">
        <f t="shared" si="9"/>
        <v>1.097518004512719</v>
      </c>
    </row>
    <row r="177" spans="1:9" s="7" customFormat="1" ht="19.5" customHeight="1">
      <c r="A177" s="70"/>
      <c r="B177" s="70"/>
      <c r="C177" s="80" t="s">
        <v>43</v>
      </c>
      <c r="D177" s="62">
        <v>320000</v>
      </c>
      <c r="E177" s="62">
        <f t="shared" si="10"/>
        <v>345400</v>
      </c>
      <c r="F177" s="62">
        <v>345400</v>
      </c>
      <c r="G177" s="62"/>
      <c r="H177" s="62"/>
      <c r="I177" s="138">
        <f t="shared" si="9"/>
        <v>1.079375</v>
      </c>
    </row>
    <row r="178" spans="1:9" s="7" customFormat="1" ht="19.5" customHeight="1">
      <c r="A178" s="66"/>
      <c r="B178" s="70"/>
      <c r="C178" s="70" t="s">
        <v>44</v>
      </c>
      <c r="D178" s="71">
        <v>635700</v>
      </c>
      <c r="E178" s="71">
        <f t="shared" si="10"/>
        <v>683800</v>
      </c>
      <c r="F178" s="71">
        <v>683800</v>
      </c>
      <c r="G178" s="71"/>
      <c r="H178" s="71"/>
      <c r="I178" s="135">
        <f t="shared" si="9"/>
        <v>1.0756646216768917</v>
      </c>
    </row>
    <row r="179" spans="1:9" s="43" customFormat="1" ht="19.5" customHeight="1">
      <c r="A179" s="54"/>
      <c r="B179" s="72">
        <v>80113</v>
      </c>
      <c r="C179" s="72" t="s">
        <v>47</v>
      </c>
      <c r="D179" s="73">
        <f>D180</f>
        <v>535372</v>
      </c>
      <c r="E179" s="73">
        <f>E180</f>
        <v>600000</v>
      </c>
      <c r="F179" s="73">
        <f>F180</f>
        <v>600000</v>
      </c>
      <c r="G179" s="73"/>
      <c r="H179" s="73"/>
      <c r="I179" s="136">
        <f t="shared" si="9"/>
        <v>1.1207160628497568</v>
      </c>
    </row>
    <row r="180" spans="1:9" s="7" customFormat="1" ht="19.5" customHeight="1">
      <c r="A180" s="66"/>
      <c r="B180" s="84"/>
      <c r="C180" s="84" t="s">
        <v>256</v>
      </c>
      <c r="D180" s="86">
        <v>535372</v>
      </c>
      <c r="E180" s="86">
        <f t="shared" si="10"/>
        <v>600000</v>
      </c>
      <c r="F180" s="86">
        <v>600000</v>
      </c>
      <c r="G180" s="86"/>
      <c r="H180" s="86"/>
      <c r="I180" s="128">
        <f t="shared" si="9"/>
        <v>1.1207160628497568</v>
      </c>
    </row>
    <row r="181" spans="1:9" s="43" customFormat="1" ht="19.5" customHeight="1">
      <c r="A181" s="54"/>
      <c r="B181" s="72">
        <v>80120</v>
      </c>
      <c r="C181" s="72" t="s">
        <v>171</v>
      </c>
      <c r="D181" s="73">
        <f>SUM(D182:D187)</f>
        <v>46217905</v>
      </c>
      <c r="E181" s="73">
        <f>SUM(E182:E187)</f>
        <v>48489000</v>
      </c>
      <c r="F181" s="73">
        <f>SUM(F182:F187)</f>
        <v>47415000</v>
      </c>
      <c r="G181" s="73">
        <f>SUM(G182:G187)</f>
        <v>200000</v>
      </c>
      <c r="H181" s="73">
        <f>SUM(H182:H187)</f>
        <v>1074000</v>
      </c>
      <c r="I181" s="136">
        <f t="shared" si="9"/>
        <v>1.0491388564669903</v>
      </c>
    </row>
    <row r="182" spans="1:9" s="7" customFormat="1" ht="19.5" customHeight="1">
      <c r="A182" s="66"/>
      <c r="B182" s="66"/>
      <c r="C182" s="68" t="s">
        <v>279</v>
      </c>
      <c r="D182" s="69">
        <v>30653596</v>
      </c>
      <c r="E182" s="69">
        <f aca="true" t="shared" si="11" ref="E182:E235">F182+H182</f>
        <v>32178000</v>
      </c>
      <c r="F182" s="69">
        <f>31746800+431200</f>
        <v>32178000</v>
      </c>
      <c r="G182" s="69"/>
      <c r="H182" s="69"/>
      <c r="I182" s="133">
        <f t="shared" si="9"/>
        <v>1.0497300218871548</v>
      </c>
    </row>
    <row r="183" spans="1:9" s="7" customFormat="1" ht="19.5" customHeight="1">
      <c r="A183" s="66"/>
      <c r="B183" s="66"/>
      <c r="C183" s="76" t="s">
        <v>43</v>
      </c>
      <c r="D183" s="75">
        <f>4663625+320126</f>
        <v>4983751</v>
      </c>
      <c r="E183" s="75">
        <f t="shared" si="11"/>
        <v>4979000</v>
      </c>
      <c r="F183" s="75">
        <f>4779000+200000</f>
        <v>4979000</v>
      </c>
      <c r="G183" s="75">
        <v>200000</v>
      </c>
      <c r="H183" s="75"/>
      <c r="I183" s="134">
        <f t="shared" si="9"/>
        <v>0.9990467019720688</v>
      </c>
    </row>
    <row r="184" spans="1:9" s="7" customFormat="1" ht="19.5" customHeight="1">
      <c r="A184" s="66"/>
      <c r="B184" s="66"/>
      <c r="C184" s="76" t="s">
        <v>44</v>
      </c>
      <c r="D184" s="75">
        <v>5733550</v>
      </c>
      <c r="E184" s="75">
        <f t="shared" si="11"/>
        <v>6158000</v>
      </c>
      <c r="F184" s="75">
        <f>6070000+77500+10500</f>
        <v>6158000</v>
      </c>
      <c r="G184" s="75"/>
      <c r="H184" s="75"/>
      <c r="I184" s="134">
        <f t="shared" si="9"/>
        <v>1.0740291791298584</v>
      </c>
    </row>
    <row r="185" spans="1:9" s="7" customFormat="1" ht="19.5" customHeight="1">
      <c r="A185" s="66"/>
      <c r="B185" s="66"/>
      <c r="C185" s="74" t="s">
        <v>265</v>
      </c>
      <c r="D185" s="75">
        <v>3974009</v>
      </c>
      <c r="E185" s="75">
        <f t="shared" si="11"/>
        <v>4100000</v>
      </c>
      <c r="F185" s="75">
        <v>4100000</v>
      </c>
      <c r="G185" s="75"/>
      <c r="H185" s="75"/>
      <c r="I185" s="134">
        <f t="shared" si="9"/>
        <v>1.031703753061455</v>
      </c>
    </row>
    <row r="186" spans="1:9" s="7" customFormat="1" ht="19.5" customHeight="1">
      <c r="A186" s="66"/>
      <c r="B186" s="66"/>
      <c r="C186" s="76" t="s">
        <v>242</v>
      </c>
      <c r="D186" s="75">
        <v>1500</v>
      </c>
      <c r="E186" s="75"/>
      <c r="F186" s="75"/>
      <c r="G186" s="75"/>
      <c r="H186" s="75"/>
      <c r="I186" s="134"/>
    </row>
    <row r="187" spans="1:9" s="7" customFormat="1" ht="19.5" customHeight="1">
      <c r="A187" s="66"/>
      <c r="B187" s="70"/>
      <c r="C187" s="70" t="s">
        <v>6</v>
      </c>
      <c r="D187" s="71">
        <v>871499</v>
      </c>
      <c r="E187" s="71">
        <f t="shared" si="11"/>
        <v>1074000</v>
      </c>
      <c r="F187" s="71"/>
      <c r="G187" s="71"/>
      <c r="H187" s="71">
        <v>1074000</v>
      </c>
      <c r="I187" s="135">
        <f t="shared" si="9"/>
        <v>1.2323594175093717</v>
      </c>
    </row>
    <row r="188" spans="1:9" s="43" customFormat="1" ht="19.5" customHeight="1">
      <c r="A188" s="54"/>
      <c r="B188" s="72">
        <v>80121</v>
      </c>
      <c r="C188" s="72" t="s">
        <v>170</v>
      </c>
      <c r="D188" s="73">
        <f>SUM(D189:D191)</f>
        <v>1102000</v>
      </c>
      <c r="E188" s="73">
        <f>SUM(E189:E191)</f>
        <v>810000</v>
      </c>
      <c r="F188" s="73">
        <f>SUM(F189:F191)</f>
        <v>810000</v>
      </c>
      <c r="G188" s="73"/>
      <c r="H188" s="73"/>
      <c r="I188" s="136">
        <f t="shared" si="9"/>
        <v>0.73502722323049</v>
      </c>
    </row>
    <row r="189" spans="1:9" s="7" customFormat="1" ht="19.5" customHeight="1">
      <c r="A189" s="66"/>
      <c r="B189" s="66"/>
      <c r="C189" s="68" t="s">
        <v>279</v>
      </c>
      <c r="D189" s="69">
        <v>795400</v>
      </c>
      <c r="E189" s="69">
        <f t="shared" si="11"/>
        <v>614700</v>
      </c>
      <c r="F189" s="69">
        <f>603900+10800</f>
        <v>614700</v>
      </c>
      <c r="G189" s="69"/>
      <c r="H189" s="69"/>
      <c r="I189" s="133">
        <f t="shared" si="9"/>
        <v>0.772818707568519</v>
      </c>
    </row>
    <row r="190" spans="1:9" s="7" customFormat="1" ht="19.5" customHeight="1">
      <c r="A190" s="66"/>
      <c r="B190" s="66"/>
      <c r="C190" s="76" t="s">
        <v>43</v>
      </c>
      <c r="D190" s="75">
        <v>110000</v>
      </c>
      <c r="E190" s="75">
        <f t="shared" si="11"/>
        <v>77500</v>
      </c>
      <c r="F190" s="75">
        <v>77500</v>
      </c>
      <c r="G190" s="75"/>
      <c r="H190" s="75"/>
      <c r="I190" s="134">
        <f t="shared" si="9"/>
        <v>0.7045454545454546</v>
      </c>
    </row>
    <row r="191" spans="1:9" s="7" customFormat="1" ht="19.5" customHeight="1">
      <c r="A191" s="66"/>
      <c r="B191" s="70"/>
      <c r="C191" s="80" t="s">
        <v>44</v>
      </c>
      <c r="D191" s="62">
        <v>196600</v>
      </c>
      <c r="E191" s="62">
        <f t="shared" si="11"/>
        <v>117800</v>
      </c>
      <c r="F191" s="62">
        <f>115600+1900+300</f>
        <v>117800</v>
      </c>
      <c r="G191" s="62"/>
      <c r="H191" s="62"/>
      <c r="I191" s="138">
        <f t="shared" si="9"/>
        <v>0.5991861648016277</v>
      </c>
    </row>
    <row r="192" spans="1:9" s="43" customFormat="1" ht="19.5" customHeight="1">
      <c r="A192" s="54"/>
      <c r="B192" s="72">
        <v>80123</v>
      </c>
      <c r="C192" s="72" t="s">
        <v>176</v>
      </c>
      <c r="D192" s="73">
        <f>SUM(D193:D196)</f>
        <v>8353776</v>
      </c>
      <c r="E192" s="73">
        <f>SUM(E193:E196)</f>
        <v>8592000</v>
      </c>
      <c r="F192" s="73">
        <f>SUM(F193:F196)</f>
        <v>8592000</v>
      </c>
      <c r="G192" s="73"/>
      <c r="H192" s="73"/>
      <c r="I192" s="136">
        <f t="shared" si="9"/>
        <v>1.0285169245620185</v>
      </c>
    </row>
    <row r="193" spans="1:9" s="7" customFormat="1" ht="19.5" customHeight="1">
      <c r="A193" s="66"/>
      <c r="B193" s="66"/>
      <c r="C193" s="68" t="s">
        <v>279</v>
      </c>
      <c r="D193" s="69">
        <v>6150853</v>
      </c>
      <c r="E193" s="69">
        <f t="shared" si="11"/>
        <v>6249300</v>
      </c>
      <c r="F193" s="69">
        <f>6164400+84900</f>
        <v>6249300</v>
      </c>
      <c r="G193" s="69"/>
      <c r="H193" s="69"/>
      <c r="I193" s="133">
        <f t="shared" si="9"/>
        <v>1.0160054223373571</v>
      </c>
    </row>
    <row r="194" spans="1:9" s="7" customFormat="1" ht="19.5" customHeight="1">
      <c r="A194" s="66"/>
      <c r="B194" s="66"/>
      <c r="C194" s="76" t="s">
        <v>43</v>
      </c>
      <c r="D194" s="60">
        <v>618500</v>
      </c>
      <c r="E194" s="60">
        <f t="shared" si="11"/>
        <v>635400</v>
      </c>
      <c r="F194" s="60">
        <v>635400</v>
      </c>
      <c r="G194" s="60"/>
      <c r="H194" s="60"/>
      <c r="I194" s="131">
        <f t="shared" si="9"/>
        <v>1.0273241713823766</v>
      </c>
    </row>
    <row r="195" spans="1:9" s="7" customFormat="1" ht="19.5" customHeight="1">
      <c r="A195" s="66"/>
      <c r="B195" s="66"/>
      <c r="C195" s="76" t="s">
        <v>44</v>
      </c>
      <c r="D195" s="75">
        <v>1184402</v>
      </c>
      <c r="E195" s="75">
        <f t="shared" si="11"/>
        <v>1267300</v>
      </c>
      <c r="F195" s="75">
        <f>1250000+15300+2000</f>
        <v>1267300</v>
      </c>
      <c r="G195" s="75"/>
      <c r="H195" s="75"/>
      <c r="I195" s="134">
        <f t="shared" si="9"/>
        <v>1.0699914387175975</v>
      </c>
    </row>
    <row r="196" spans="1:9" s="7" customFormat="1" ht="19.5" customHeight="1">
      <c r="A196" s="66"/>
      <c r="B196" s="70"/>
      <c r="C196" s="61" t="s">
        <v>182</v>
      </c>
      <c r="D196" s="62">
        <v>400021</v>
      </c>
      <c r="E196" s="62">
        <f t="shared" si="11"/>
        <v>440000</v>
      </c>
      <c r="F196" s="62">
        <v>440000</v>
      </c>
      <c r="G196" s="62"/>
      <c r="H196" s="62"/>
      <c r="I196" s="138">
        <f t="shared" si="9"/>
        <v>1.0999422530317158</v>
      </c>
    </row>
    <row r="197" spans="1:9" s="43" customFormat="1" ht="19.5" customHeight="1">
      <c r="A197" s="54"/>
      <c r="B197" s="72">
        <v>80124</v>
      </c>
      <c r="C197" s="72" t="s">
        <v>207</v>
      </c>
      <c r="D197" s="73">
        <f>SUM(D198:D200)</f>
        <v>547400</v>
      </c>
      <c r="E197" s="73">
        <f>SUM(E198:E200)</f>
        <v>630000</v>
      </c>
      <c r="F197" s="73">
        <f>SUM(F198:F200)</f>
        <v>630000</v>
      </c>
      <c r="G197" s="73"/>
      <c r="H197" s="73"/>
      <c r="I197" s="136">
        <f t="shared" si="9"/>
        <v>1.1508951406649617</v>
      </c>
    </row>
    <row r="198" spans="1:9" s="7" customFormat="1" ht="19.5" customHeight="1">
      <c r="A198" s="66"/>
      <c r="B198" s="66"/>
      <c r="C198" s="68" t="s">
        <v>279</v>
      </c>
      <c r="D198" s="69">
        <v>418800</v>
      </c>
      <c r="E198" s="69">
        <f t="shared" si="11"/>
        <v>486700</v>
      </c>
      <c r="F198" s="69">
        <f>484000+2700</f>
        <v>486700</v>
      </c>
      <c r="G198" s="69"/>
      <c r="H198" s="69"/>
      <c r="I198" s="133">
        <f t="shared" si="9"/>
        <v>1.162129894937918</v>
      </c>
    </row>
    <row r="199" spans="1:9" s="7" customFormat="1" ht="19.5" customHeight="1">
      <c r="A199" s="66"/>
      <c r="B199" s="66"/>
      <c r="C199" s="76" t="s">
        <v>43</v>
      </c>
      <c r="D199" s="60">
        <v>47000</v>
      </c>
      <c r="E199" s="60">
        <f t="shared" si="11"/>
        <v>49100</v>
      </c>
      <c r="F199" s="60">
        <v>49100</v>
      </c>
      <c r="G199" s="60"/>
      <c r="H199" s="60"/>
      <c r="I199" s="131">
        <f t="shared" si="9"/>
        <v>1.0446808510638297</v>
      </c>
    </row>
    <row r="200" spans="1:9" s="7" customFormat="1" ht="19.5" customHeight="1">
      <c r="A200" s="66"/>
      <c r="B200" s="70"/>
      <c r="C200" s="80" t="s">
        <v>44</v>
      </c>
      <c r="D200" s="62">
        <v>81600</v>
      </c>
      <c r="E200" s="62">
        <f t="shared" si="11"/>
        <v>94200</v>
      </c>
      <c r="F200" s="62">
        <f>93600+500+100</f>
        <v>94200</v>
      </c>
      <c r="G200" s="62"/>
      <c r="H200" s="62"/>
      <c r="I200" s="138">
        <f t="shared" si="9"/>
        <v>1.1544117647058822</v>
      </c>
    </row>
    <row r="201" spans="1:9" s="43" customFormat="1" ht="19.5" customHeight="1">
      <c r="A201" s="54"/>
      <c r="B201" s="72">
        <v>80130</v>
      </c>
      <c r="C201" s="72" t="s">
        <v>149</v>
      </c>
      <c r="D201" s="73">
        <f>SUM(D202:D207)</f>
        <v>45082735</v>
      </c>
      <c r="E201" s="73">
        <f>SUM(E202:E207)</f>
        <v>49403000</v>
      </c>
      <c r="F201" s="73">
        <f>SUM(F202:F207)</f>
        <v>39528700</v>
      </c>
      <c r="G201" s="73">
        <f>SUM(G202:G207)</f>
        <v>300000</v>
      </c>
      <c r="H201" s="73">
        <f>SUM(H202:H207)</f>
        <v>9874300</v>
      </c>
      <c r="I201" s="136">
        <f t="shared" si="9"/>
        <v>1.0958297006603526</v>
      </c>
    </row>
    <row r="202" spans="1:9" s="7" customFormat="1" ht="19.5" customHeight="1">
      <c r="A202" s="66"/>
      <c r="B202" s="66"/>
      <c r="C202" s="68" t="s">
        <v>279</v>
      </c>
      <c r="D202" s="69">
        <v>26280167</v>
      </c>
      <c r="E202" s="69">
        <f t="shared" si="11"/>
        <v>24907700</v>
      </c>
      <c r="F202" s="69">
        <f>24516000+391700</f>
        <v>24907700</v>
      </c>
      <c r="G202" s="69"/>
      <c r="H202" s="69"/>
      <c r="I202" s="133">
        <f t="shared" si="9"/>
        <v>0.9477755601781374</v>
      </c>
    </row>
    <row r="203" spans="1:9" s="7" customFormat="1" ht="19.5" customHeight="1">
      <c r="A203" s="66"/>
      <c r="B203" s="66"/>
      <c r="C203" s="76" t="s">
        <v>43</v>
      </c>
      <c r="D203" s="75">
        <f>4856658+496832</f>
        <v>5353490</v>
      </c>
      <c r="E203" s="75">
        <f t="shared" si="11"/>
        <v>4870900</v>
      </c>
      <c r="F203" s="75">
        <f>4570900+300000</f>
        <v>4870900</v>
      </c>
      <c r="G203" s="75">
        <v>300000</v>
      </c>
      <c r="H203" s="75"/>
      <c r="I203" s="134">
        <f t="shared" si="9"/>
        <v>0.9098550665080163</v>
      </c>
    </row>
    <row r="204" spans="1:9" s="7" customFormat="1" ht="19.5" customHeight="1">
      <c r="A204" s="66"/>
      <c r="B204" s="66"/>
      <c r="C204" s="94" t="s">
        <v>44</v>
      </c>
      <c r="D204" s="60">
        <v>5018172</v>
      </c>
      <c r="E204" s="60">
        <f t="shared" si="11"/>
        <v>4550100</v>
      </c>
      <c r="F204" s="60">
        <f>4470000+70500+9600</f>
        <v>4550100</v>
      </c>
      <c r="G204" s="60"/>
      <c r="H204" s="60"/>
      <c r="I204" s="131">
        <f t="shared" si="9"/>
        <v>0.9067246001133481</v>
      </c>
    </row>
    <row r="205" spans="1:9" s="7" customFormat="1" ht="20.25" customHeight="1">
      <c r="A205" s="66"/>
      <c r="B205" s="66"/>
      <c r="C205" s="74" t="s">
        <v>169</v>
      </c>
      <c r="D205" s="75">
        <v>5007867</v>
      </c>
      <c r="E205" s="75">
        <f t="shared" si="11"/>
        <v>5200000</v>
      </c>
      <c r="F205" s="75">
        <v>5200000</v>
      </c>
      <c r="G205" s="75"/>
      <c r="H205" s="75"/>
      <c r="I205" s="134">
        <f aca="true" t="shared" si="12" ref="I205:I267">E205/D205</f>
        <v>1.038366234566533</v>
      </c>
    </row>
    <row r="206" spans="1:9" s="7" customFormat="1" ht="20.25" customHeight="1">
      <c r="A206" s="66"/>
      <c r="B206" s="66"/>
      <c r="C206" s="76" t="s">
        <v>242</v>
      </c>
      <c r="D206" s="75">
        <v>19040</v>
      </c>
      <c r="E206" s="75"/>
      <c r="F206" s="75"/>
      <c r="G206" s="75"/>
      <c r="H206" s="75"/>
      <c r="I206" s="134"/>
    </row>
    <row r="207" spans="1:9" s="7" customFormat="1" ht="19.5" customHeight="1">
      <c r="A207" s="66"/>
      <c r="B207" s="66"/>
      <c r="C207" s="66" t="s">
        <v>6</v>
      </c>
      <c r="D207" s="78">
        <v>3403999</v>
      </c>
      <c r="E207" s="78">
        <f t="shared" si="11"/>
        <v>9874300</v>
      </c>
      <c r="F207" s="78"/>
      <c r="G207" s="78"/>
      <c r="H207" s="78">
        <v>9874300</v>
      </c>
      <c r="I207" s="137">
        <f t="shared" si="12"/>
        <v>2.9007940366609977</v>
      </c>
    </row>
    <row r="208" spans="1:9" s="7" customFormat="1" ht="19.5" customHeight="1">
      <c r="A208" s="166"/>
      <c r="B208" s="166"/>
      <c r="C208" s="166"/>
      <c r="D208" s="167"/>
      <c r="E208" s="167"/>
      <c r="F208" s="167"/>
      <c r="G208" s="167"/>
      <c r="H208" s="167"/>
      <c r="I208" s="168"/>
    </row>
    <row r="209" spans="1:9" s="43" customFormat="1" ht="19.5" customHeight="1">
      <c r="A209" s="54"/>
      <c r="B209" s="72">
        <v>80132</v>
      </c>
      <c r="C209" s="72" t="s">
        <v>117</v>
      </c>
      <c r="D209" s="73">
        <f>SUM(D210:D212)</f>
        <v>3381000</v>
      </c>
      <c r="E209" s="73">
        <f>SUM(E210:E212)</f>
        <v>3650000</v>
      </c>
      <c r="F209" s="73">
        <f>SUM(F210:F212)</f>
        <v>3650000</v>
      </c>
      <c r="G209" s="73"/>
      <c r="H209" s="73"/>
      <c r="I209" s="136">
        <f t="shared" si="12"/>
        <v>1.0795622596864833</v>
      </c>
    </row>
    <row r="210" spans="1:9" s="7" customFormat="1" ht="19.5" customHeight="1">
      <c r="A210" s="66"/>
      <c r="B210" s="66"/>
      <c r="C210" s="68" t="s">
        <v>279</v>
      </c>
      <c r="D210" s="69">
        <v>2652200</v>
      </c>
      <c r="E210" s="69">
        <f t="shared" si="11"/>
        <v>2801900</v>
      </c>
      <c r="F210" s="69">
        <f>2776700+25200</f>
        <v>2801900</v>
      </c>
      <c r="G210" s="69"/>
      <c r="H210" s="69"/>
      <c r="I210" s="133">
        <f t="shared" si="12"/>
        <v>1.0564437071110775</v>
      </c>
    </row>
    <row r="211" spans="1:9" s="7" customFormat="1" ht="19.5" customHeight="1">
      <c r="A211" s="66"/>
      <c r="B211" s="66"/>
      <c r="C211" s="76" t="s">
        <v>43</v>
      </c>
      <c r="D211" s="75">
        <v>220000</v>
      </c>
      <c r="E211" s="75">
        <f t="shared" si="11"/>
        <v>279000</v>
      </c>
      <c r="F211" s="75">
        <v>279000</v>
      </c>
      <c r="G211" s="75"/>
      <c r="H211" s="75"/>
      <c r="I211" s="131">
        <f t="shared" si="12"/>
        <v>1.268181818181818</v>
      </c>
    </row>
    <row r="212" spans="1:9" s="7" customFormat="1" ht="19.5" customHeight="1">
      <c r="A212" s="66"/>
      <c r="B212" s="70"/>
      <c r="C212" s="80" t="s">
        <v>44</v>
      </c>
      <c r="D212" s="62">
        <v>508800</v>
      </c>
      <c r="E212" s="62">
        <f t="shared" si="11"/>
        <v>569100</v>
      </c>
      <c r="F212" s="62">
        <f>564000+4500+600</f>
        <v>569100</v>
      </c>
      <c r="G212" s="62"/>
      <c r="H212" s="62"/>
      <c r="I212" s="138">
        <f t="shared" si="12"/>
        <v>1.1185141509433962</v>
      </c>
    </row>
    <row r="213" spans="1:9" s="43" customFormat="1" ht="19.5" customHeight="1">
      <c r="A213" s="54"/>
      <c r="B213" s="72">
        <v>80134</v>
      </c>
      <c r="C213" s="72" t="s">
        <v>48</v>
      </c>
      <c r="D213" s="73">
        <f>SUM(D214:D216)</f>
        <v>4487400</v>
      </c>
      <c r="E213" s="73">
        <f>SUM(E214:E216)</f>
        <v>5100000</v>
      </c>
      <c r="F213" s="73">
        <f>SUM(F214:F216)</f>
        <v>5100000</v>
      </c>
      <c r="G213" s="73"/>
      <c r="H213" s="73"/>
      <c r="I213" s="136">
        <f t="shared" si="12"/>
        <v>1.13651557694879</v>
      </c>
    </row>
    <row r="214" spans="1:9" s="7" customFormat="1" ht="19.5" customHeight="1">
      <c r="A214" s="66"/>
      <c r="B214" s="66"/>
      <c r="C214" s="68" t="s">
        <v>279</v>
      </c>
      <c r="D214" s="69">
        <v>3399500</v>
      </c>
      <c r="E214" s="69">
        <f t="shared" si="11"/>
        <v>3896200</v>
      </c>
      <c r="F214" s="69">
        <f>3841000+55200</f>
        <v>3896200</v>
      </c>
      <c r="G214" s="69"/>
      <c r="H214" s="69"/>
      <c r="I214" s="133">
        <f t="shared" si="12"/>
        <v>1.146109722017944</v>
      </c>
    </row>
    <row r="215" spans="1:9" s="7" customFormat="1" ht="19.5" customHeight="1">
      <c r="A215" s="66"/>
      <c r="B215" s="66"/>
      <c r="C215" s="76" t="s">
        <v>43</v>
      </c>
      <c r="D215" s="75">
        <v>430000</v>
      </c>
      <c r="E215" s="75">
        <f t="shared" si="11"/>
        <v>465600</v>
      </c>
      <c r="F215" s="75">
        <v>465600</v>
      </c>
      <c r="G215" s="75"/>
      <c r="H215" s="75"/>
      <c r="I215" s="134">
        <f t="shared" si="12"/>
        <v>1.0827906976744186</v>
      </c>
    </row>
    <row r="216" spans="1:9" s="7" customFormat="1" ht="19.5" customHeight="1">
      <c r="A216" s="66"/>
      <c r="B216" s="70"/>
      <c r="C216" s="80" t="s">
        <v>44</v>
      </c>
      <c r="D216" s="62">
        <v>657900</v>
      </c>
      <c r="E216" s="62">
        <f t="shared" si="11"/>
        <v>738200</v>
      </c>
      <c r="F216" s="62">
        <f>727000+9900+1300</f>
        <v>738200</v>
      </c>
      <c r="G216" s="62"/>
      <c r="H216" s="62"/>
      <c r="I216" s="138">
        <f t="shared" si="12"/>
        <v>1.1220550235598115</v>
      </c>
    </row>
    <row r="217" spans="1:9" s="43" customFormat="1" ht="30.75" customHeight="1">
      <c r="A217" s="54"/>
      <c r="B217" s="81">
        <v>80140</v>
      </c>
      <c r="C217" s="82" t="s">
        <v>118</v>
      </c>
      <c r="D217" s="73">
        <f>SUM(D218:D222)</f>
        <v>9809945</v>
      </c>
      <c r="E217" s="73">
        <f>SUM(E218:E221)</f>
        <v>10700000</v>
      </c>
      <c r="F217" s="73">
        <f>SUM(F218:F221)</f>
        <v>10700000</v>
      </c>
      <c r="G217" s="73"/>
      <c r="H217" s="73"/>
      <c r="I217" s="136">
        <f t="shared" si="12"/>
        <v>1.090729866477335</v>
      </c>
    </row>
    <row r="218" spans="1:9" s="7" customFormat="1" ht="19.5" customHeight="1">
      <c r="A218" s="66"/>
      <c r="B218" s="67"/>
      <c r="C218" s="68" t="s">
        <v>279</v>
      </c>
      <c r="D218" s="69">
        <v>6978400</v>
      </c>
      <c r="E218" s="69">
        <f t="shared" si="11"/>
        <v>8095100</v>
      </c>
      <c r="F218" s="69">
        <f>7979000+116100</f>
        <v>8095100</v>
      </c>
      <c r="G218" s="69"/>
      <c r="H218" s="69"/>
      <c r="I218" s="133">
        <f t="shared" si="12"/>
        <v>1.160022354694486</v>
      </c>
    </row>
    <row r="219" spans="1:9" s="7" customFormat="1" ht="19.5" customHeight="1">
      <c r="A219" s="66"/>
      <c r="B219" s="66"/>
      <c r="C219" s="76" t="s">
        <v>43</v>
      </c>
      <c r="D219" s="75">
        <f>1009522+398097</f>
        <v>1407619</v>
      </c>
      <c r="E219" s="75">
        <f t="shared" si="11"/>
        <v>1080200</v>
      </c>
      <c r="F219" s="75">
        <v>1080200</v>
      </c>
      <c r="G219" s="75"/>
      <c r="H219" s="75"/>
      <c r="I219" s="134">
        <f t="shared" si="12"/>
        <v>0.7673951545126912</v>
      </c>
    </row>
    <row r="220" spans="1:9" s="7" customFormat="1" ht="19.5" customHeight="1">
      <c r="A220" s="66"/>
      <c r="B220" s="66"/>
      <c r="C220" s="76" t="s">
        <v>44</v>
      </c>
      <c r="D220" s="75">
        <v>1344446</v>
      </c>
      <c r="E220" s="75">
        <f t="shared" si="11"/>
        <v>1524700</v>
      </c>
      <c r="F220" s="75">
        <f>1501000+20900+2800</f>
        <v>1524700</v>
      </c>
      <c r="G220" s="75"/>
      <c r="H220" s="75"/>
      <c r="I220" s="134">
        <f t="shared" si="12"/>
        <v>1.134073068014632</v>
      </c>
    </row>
    <row r="221" spans="1:9" s="7" customFormat="1" ht="20.25" customHeight="1">
      <c r="A221" s="66"/>
      <c r="B221" s="66"/>
      <c r="C221" s="76" t="s">
        <v>242</v>
      </c>
      <c r="D221" s="75">
        <v>7500</v>
      </c>
      <c r="E221" s="75"/>
      <c r="F221" s="75"/>
      <c r="G221" s="75"/>
      <c r="H221" s="75"/>
      <c r="I221" s="134"/>
    </row>
    <row r="222" spans="1:9" s="7" customFormat="1" ht="19.5" customHeight="1">
      <c r="A222" s="66"/>
      <c r="B222" s="70"/>
      <c r="C222" s="70" t="s">
        <v>6</v>
      </c>
      <c r="D222" s="71">
        <v>71980</v>
      </c>
      <c r="E222" s="71"/>
      <c r="F222" s="71"/>
      <c r="G222" s="71"/>
      <c r="H222" s="71"/>
      <c r="I222" s="135"/>
    </row>
    <row r="223" spans="1:9" s="7" customFormat="1" ht="21" customHeight="1">
      <c r="A223" s="66"/>
      <c r="B223" s="72">
        <v>80145</v>
      </c>
      <c r="C223" s="72" t="s">
        <v>119</v>
      </c>
      <c r="D223" s="73">
        <f>D224</f>
        <v>36000</v>
      </c>
      <c r="E223" s="73">
        <f>E224</f>
        <v>50000</v>
      </c>
      <c r="F223" s="73">
        <f>F224</f>
        <v>50000</v>
      </c>
      <c r="G223" s="73"/>
      <c r="H223" s="73"/>
      <c r="I223" s="136">
        <f t="shared" si="12"/>
        <v>1.3888888888888888</v>
      </c>
    </row>
    <row r="224" spans="1:9" s="7" customFormat="1" ht="21" customHeight="1">
      <c r="A224" s="66"/>
      <c r="B224" s="70"/>
      <c r="C224" s="83" t="s">
        <v>337</v>
      </c>
      <c r="D224" s="71">
        <v>36000</v>
      </c>
      <c r="E224" s="71">
        <f t="shared" si="11"/>
        <v>50000</v>
      </c>
      <c r="F224" s="71">
        <v>50000</v>
      </c>
      <c r="G224" s="71"/>
      <c r="H224" s="71"/>
      <c r="I224" s="135">
        <f t="shared" si="12"/>
        <v>1.3888888888888888</v>
      </c>
    </row>
    <row r="225" spans="1:9" s="7" customFormat="1" ht="21" customHeight="1">
      <c r="A225" s="66"/>
      <c r="B225" s="72">
        <v>80146</v>
      </c>
      <c r="C225" s="72" t="s">
        <v>177</v>
      </c>
      <c r="D225" s="73">
        <f>D226</f>
        <v>1500000</v>
      </c>
      <c r="E225" s="73">
        <f>E226</f>
        <v>1630000</v>
      </c>
      <c r="F225" s="73">
        <f>F226</f>
        <v>1630000</v>
      </c>
      <c r="G225" s="73"/>
      <c r="H225" s="73"/>
      <c r="I225" s="136">
        <f t="shared" si="12"/>
        <v>1.0866666666666667</v>
      </c>
    </row>
    <row r="226" spans="1:9" s="7" customFormat="1" ht="21" customHeight="1">
      <c r="A226" s="66"/>
      <c r="B226" s="67"/>
      <c r="C226" s="87" t="s">
        <v>178</v>
      </c>
      <c r="D226" s="69">
        <v>1500000</v>
      </c>
      <c r="E226" s="69">
        <f t="shared" si="11"/>
        <v>1630000</v>
      </c>
      <c r="F226" s="69">
        <v>1630000</v>
      </c>
      <c r="G226" s="69"/>
      <c r="H226" s="69"/>
      <c r="I226" s="133">
        <f t="shared" si="12"/>
        <v>1.0866666666666667</v>
      </c>
    </row>
    <row r="227" spans="1:9" s="44" customFormat="1" ht="19.5" customHeight="1">
      <c r="A227" s="58"/>
      <c r="B227" s="205"/>
      <c r="C227" s="209" t="s">
        <v>283</v>
      </c>
      <c r="D227" s="210">
        <f>535440+65400</f>
        <v>600840</v>
      </c>
      <c r="E227" s="210">
        <f t="shared" si="11"/>
        <v>652000</v>
      </c>
      <c r="F227" s="210">
        <f>F226*40%</f>
        <v>652000</v>
      </c>
      <c r="G227" s="210"/>
      <c r="H227" s="210"/>
      <c r="I227" s="211">
        <f t="shared" si="12"/>
        <v>1.0851474602223554</v>
      </c>
    </row>
    <row r="228" spans="1:9" s="43" customFormat="1" ht="19.5" customHeight="1">
      <c r="A228" s="54"/>
      <c r="B228" s="72">
        <v>80195</v>
      </c>
      <c r="C228" s="72" t="s">
        <v>4</v>
      </c>
      <c r="D228" s="73">
        <f>SUM(D229:D233)</f>
        <v>2355002</v>
      </c>
      <c r="E228" s="73">
        <f>SUM(E229:E232)</f>
        <v>2593500</v>
      </c>
      <c r="F228" s="73">
        <f>SUM(F229:F232)</f>
        <v>2593500</v>
      </c>
      <c r="G228" s="73"/>
      <c r="H228" s="73"/>
      <c r="I228" s="136">
        <f t="shared" si="12"/>
        <v>1.1012729500866667</v>
      </c>
    </row>
    <row r="229" spans="1:9" s="7" customFormat="1" ht="18.75" customHeight="1">
      <c r="A229" s="66"/>
      <c r="B229" s="66"/>
      <c r="C229" s="87" t="s">
        <v>121</v>
      </c>
      <c r="D229" s="69">
        <v>11000</v>
      </c>
      <c r="E229" s="69">
        <f t="shared" si="11"/>
        <v>11000</v>
      </c>
      <c r="F229" s="69">
        <v>11000</v>
      </c>
      <c r="G229" s="69"/>
      <c r="H229" s="69"/>
      <c r="I229" s="133">
        <f t="shared" si="12"/>
        <v>1</v>
      </c>
    </row>
    <row r="230" spans="1:9" s="7" customFormat="1" ht="18.75" customHeight="1">
      <c r="A230" s="66"/>
      <c r="B230" s="66"/>
      <c r="C230" s="74" t="s">
        <v>257</v>
      </c>
      <c r="D230" s="75">
        <v>15000</v>
      </c>
      <c r="E230" s="75">
        <f t="shared" si="11"/>
        <v>15000</v>
      </c>
      <c r="F230" s="75">
        <v>15000</v>
      </c>
      <c r="G230" s="75"/>
      <c r="H230" s="75"/>
      <c r="I230" s="134">
        <f t="shared" si="12"/>
        <v>1</v>
      </c>
    </row>
    <row r="231" spans="1:9" s="7" customFormat="1" ht="27.75" customHeight="1">
      <c r="A231" s="66"/>
      <c r="B231" s="66"/>
      <c r="C231" s="74" t="s">
        <v>231</v>
      </c>
      <c r="D231" s="75">
        <v>2306402</v>
      </c>
      <c r="E231" s="75">
        <f t="shared" si="11"/>
        <v>2567500</v>
      </c>
      <c r="F231" s="75">
        <v>2567500</v>
      </c>
      <c r="G231" s="75"/>
      <c r="H231" s="75"/>
      <c r="I231" s="134">
        <f t="shared" si="12"/>
        <v>1.113205763782723</v>
      </c>
    </row>
    <row r="232" spans="1:9" s="7" customFormat="1" ht="20.25" customHeight="1">
      <c r="A232" s="66"/>
      <c r="B232" s="66"/>
      <c r="C232" s="76" t="s">
        <v>168</v>
      </c>
      <c r="D232" s="75">
        <v>1600</v>
      </c>
      <c r="E232" s="75"/>
      <c r="F232" s="75"/>
      <c r="G232" s="75"/>
      <c r="H232" s="75"/>
      <c r="I232" s="134"/>
    </row>
    <row r="233" spans="1:9" s="7" customFormat="1" ht="31.5" customHeight="1">
      <c r="A233" s="66"/>
      <c r="B233" s="70"/>
      <c r="C233" s="83" t="s">
        <v>300</v>
      </c>
      <c r="D233" s="71">
        <v>21000</v>
      </c>
      <c r="E233" s="71"/>
      <c r="F233" s="71"/>
      <c r="G233" s="71"/>
      <c r="H233" s="71"/>
      <c r="I233" s="135"/>
    </row>
    <row r="234" spans="1:9" s="43" customFormat="1" ht="19.5" customHeight="1">
      <c r="A234" s="54"/>
      <c r="B234" s="72">
        <v>80197</v>
      </c>
      <c r="C234" s="72" t="s">
        <v>66</v>
      </c>
      <c r="D234" s="73">
        <f>D235</f>
        <v>104130</v>
      </c>
      <c r="E234" s="73">
        <f>E235</f>
        <v>95000</v>
      </c>
      <c r="F234" s="73">
        <f>F235</f>
        <v>95000</v>
      </c>
      <c r="G234" s="73"/>
      <c r="H234" s="73"/>
      <c r="I234" s="136">
        <f t="shared" si="12"/>
        <v>0.9123211370402382</v>
      </c>
    </row>
    <row r="235" spans="1:9" s="7" customFormat="1" ht="32.25" customHeight="1">
      <c r="A235" s="70"/>
      <c r="B235" s="84"/>
      <c r="C235" s="85" t="s">
        <v>120</v>
      </c>
      <c r="D235" s="86">
        <v>104130</v>
      </c>
      <c r="E235" s="71">
        <f t="shared" si="11"/>
        <v>95000</v>
      </c>
      <c r="F235" s="86">
        <v>95000</v>
      </c>
      <c r="G235" s="86"/>
      <c r="H235" s="86"/>
      <c r="I235" s="128">
        <f t="shared" si="12"/>
        <v>0.9123211370402382</v>
      </c>
    </row>
    <row r="236" spans="1:9" s="7" customFormat="1" ht="19.5" customHeight="1">
      <c r="A236" s="166"/>
      <c r="B236" s="166"/>
      <c r="C236" s="170"/>
      <c r="D236" s="167"/>
      <c r="E236" s="167"/>
      <c r="F236" s="167"/>
      <c r="G236" s="167"/>
      <c r="H236" s="167"/>
      <c r="I236" s="168"/>
    </row>
    <row r="237" spans="1:9" s="7" customFormat="1" ht="19.5" customHeight="1">
      <c r="A237" s="51">
        <v>851</v>
      </c>
      <c r="B237" s="51"/>
      <c r="C237" s="51" t="s">
        <v>50</v>
      </c>
      <c r="D237" s="52">
        <f>D238+D242+D244+D247+D250</f>
        <v>9910000</v>
      </c>
      <c r="E237" s="52">
        <f>E238+E242+E244+E247+E250</f>
        <v>6090000</v>
      </c>
      <c r="F237" s="52">
        <f>F238+F242+F244+F247+F250</f>
        <v>5325000</v>
      </c>
      <c r="G237" s="52"/>
      <c r="H237" s="52">
        <f>H238+H242+H244+H247+H250</f>
        <v>765000</v>
      </c>
      <c r="I237" s="126">
        <f t="shared" si="12"/>
        <v>0.6145307769929365</v>
      </c>
    </row>
    <row r="238" spans="1:9" s="43" customFormat="1" ht="19.5" customHeight="1">
      <c r="A238" s="54"/>
      <c r="B238" s="55">
        <v>85121</v>
      </c>
      <c r="C238" s="55" t="s">
        <v>49</v>
      </c>
      <c r="D238" s="56">
        <f>SUM(D239:D241)</f>
        <v>4455000</v>
      </c>
      <c r="E238" s="56">
        <f>SUM(E239:E241)</f>
        <v>900000</v>
      </c>
      <c r="F238" s="56">
        <f>SUM(F239:F241)</f>
        <v>900000</v>
      </c>
      <c r="G238" s="56"/>
      <c r="H238" s="56"/>
      <c r="I238" s="127">
        <f t="shared" si="12"/>
        <v>0.20202020202020202</v>
      </c>
    </row>
    <row r="239" spans="1:9" s="7" customFormat="1" ht="18.75" customHeight="1">
      <c r="A239" s="66"/>
      <c r="B239" s="66"/>
      <c r="C239" s="68" t="s">
        <v>179</v>
      </c>
      <c r="D239" s="69">
        <v>1000000</v>
      </c>
      <c r="E239" s="69">
        <f>F239+H239</f>
        <v>800000</v>
      </c>
      <c r="F239" s="69">
        <v>800000</v>
      </c>
      <c r="G239" s="69"/>
      <c r="H239" s="69"/>
      <c r="I239" s="133">
        <f t="shared" si="12"/>
        <v>0.8</v>
      </c>
    </row>
    <row r="240" spans="1:9" s="7" customFormat="1" ht="27.75" customHeight="1">
      <c r="A240" s="66"/>
      <c r="B240" s="66"/>
      <c r="C240" s="74" t="s">
        <v>266</v>
      </c>
      <c r="D240" s="75">
        <v>2955000</v>
      </c>
      <c r="E240" s="75">
        <f>F240+H240</f>
        <v>100000</v>
      </c>
      <c r="F240" s="75">
        <v>100000</v>
      </c>
      <c r="G240" s="75"/>
      <c r="H240" s="75"/>
      <c r="I240" s="134">
        <f t="shared" si="12"/>
        <v>0.0338409475465313</v>
      </c>
    </row>
    <row r="241" spans="1:9" s="7" customFormat="1" ht="18.75" customHeight="1">
      <c r="A241" s="66"/>
      <c r="B241" s="70"/>
      <c r="C241" s="70" t="s">
        <v>6</v>
      </c>
      <c r="D241" s="71">
        <v>500000</v>
      </c>
      <c r="E241" s="71"/>
      <c r="F241" s="71"/>
      <c r="G241" s="71"/>
      <c r="H241" s="71"/>
      <c r="I241" s="135"/>
    </row>
    <row r="242" spans="1:9" s="43" customFormat="1" ht="19.5" customHeight="1">
      <c r="A242" s="54"/>
      <c r="B242" s="72">
        <v>85149</v>
      </c>
      <c r="C242" s="72" t="s">
        <v>51</v>
      </c>
      <c r="D242" s="73">
        <f>D243</f>
        <v>100000</v>
      </c>
      <c r="E242" s="73">
        <f>E243</f>
        <v>150000</v>
      </c>
      <c r="F242" s="73">
        <f>F243</f>
        <v>150000</v>
      </c>
      <c r="G242" s="73"/>
      <c r="H242" s="73"/>
      <c r="I242" s="136">
        <f t="shared" si="12"/>
        <v>1.5</v>
      </c>
    </row>
    <row r="243" spans="1:9" s="7" customFormat="1" ht="18.75" customHeight="1">
      <c r="A243" s="66"/>
      <c r="B243" s="84"/>
      <c r="C243" s="84" t="s">
        <v>122</v>
      </c>
      <c r="D243" s="86">
        <v>100000</v>
      </c>
      <c r="E243" s="71">
        <f aca="true" t="shared" si="13" ref="E243:E253">F243+H243</f>
        <v>150000</v>
      </c>
      <c r="F243" s="86">
        <v>150000</v>
      </c>
      <c r="G243" s="86"/>
      <c r="H243" s="86"/>
      <c r="I243" s="128">
        <f t="shared" si="12"/>
        <v>1.5</v>
      </c>
    </row>
    <row r="244" spans="1:9" s="43" customFormat="1" ht="19.5" customHeight="1">
      <c r="A244" s="54"/>
      <c r="B244" s="55">
        <v>85153</v>
      </c>
      <c r="C244" s="55" t="s">
        <v>136</v>
      </c>
      <c r="D244" s="56">
        <f>D245</f>
        <v>110000</v>
      </c>
      <c r="E244" s="56">
        <f>E245</f>
        <v>250000</v>
      </c>
      <c r="F244" s="56">
        <f>F245</f>
        <v>250000</v>
      </c>
      <c r="G244" s="56"/>
      <c r="H244" s="56"/>
      <c r="I244" s="127">
        <f t="shared" si="12"/>
        <v>2.272727272727273</v>
      </c>
    </row>
    <row r="245" spans="1:9" s="7" customFormat="1" ht="29.25" customHeight="1">
      <c r="A245" s="66"/>
      <c r="B245" s="67"/>
      <c r="C245" s="87" t="s">
        <v>123</v>
      </c>
      <c r="D245" s="69">
        <v>110000</v>
      </c>
      <c r="E245" s="69">
        <f t="shared" si="13"/>
        <v>250000</v>
      </c>
      <c r="F245" s="69">
        <v>250000</v>
      </c>
      <c r="G245" s="69"/>
      <c r="H245" s="69"/>
      <c r="I245" s="133">
        <f t="shared" si="12"/>
        <v>2.272727272727273</v>
      </c>
    </row>
    <row r="246" spans="1:9" s="44" customFormat="1" ht="19.5" customHeight="1">
      <c r="A246" s="58"/>
      <c r="B246" s="205"/>
      <c r="C246" s="209" t="s">
        <v>283</v>
      </c>
      <c r="D246" s="210">
        <v>12090</v>
      </c>
      <c r="E246" s="210">
        <f>F246</f>
        <v>12090</v>
      </c>
      <c r="F246" s="210">
        <v>12090</v>
      </c>
      <c r="G246" s="210"/>
      <c r="H246" s="210"/>
      <c r="I246" s="211">
        <f t="shared" si="12"/>
        <v>1</v>
      </c>
    </row>
    <row r="247" spans="1:9" s="43" customFormat="1" ht="19.5" customHeight="1">
      <c r="A247" s="54"/>
      <c r="B247" s="72">
        <v>85154</v>
      </c>
      <c r="C247" s="72" t="s">
        <v>52</v>
      </c>
      <c r="D247" s="73">
        <f>D248</f>
        <v>4800000</v>
      </c>
      <c r="E247" s="73">
        <f>E248</f>
        <v>4370000</v>
      </c>
      <c r="F247" s="73">
        <f>F248</f>
        <v>3605000</v>
      </c>
      <c r="G247" s="73"/>
      <c r="H247" s="73">
        <f>H248</f>
        <v>765000</v>
      </c>
      <c r="I247" s="136">
        <f t="shared" si="12"/>
        <v>0.9104166666666667</v>
      </c>
    </row>
    <row r="248" spans="1:9" s="7" customFormat="1" ht="29.25" customHeight="1">
      <c r="A248" s="66"/>
      <c r="B248" s="67"/>
      <c r="C248" s="87" t="s">
        <v>275</v>
      </c>
      <c r="D248" s="69">
        <v>4800000</v>
      </c>
      <c r="E248" s="69">
        <f t="shared" si="13"/>
        <v>4370000</v>
      </c>
      <c r="F248" s="69">
        <v>3605000</v>
      </c>
      <c r="G248" s="69"/>
      <c r="H248" s="69">
        <f>665000+100000</f>
        <v>765000</v>
      </c>
      <c r="I248" s="133">
        <f t="shared" si="12"/>
        <v>0.9104166666666667</v>
      </c>
    </row>
    <row r="249" spans="1:9" s="44" customFormat="1" ht="19.5" customHeight="1">
      <c r="A249" s="58"/>
      <c r="B249" s="205"/>
      <c r="C249" s="209" t="s">
        <v>283</v>
      </c>
      <c r="D249" s="210">
        <v>704258</v>
      </c>
      <c r="E249" s="210">
        <f>F249</f>
        <v>710000</v>
      </c>
      <c r="F249" s="210">
        <v>710000</v>
      </c>
      <c r="G249" s="210"/>
      <c r="H249" s="210"/>
      <c r="I249" s="211">
        <f t="shared" si="12"/>
        <v>1.008153262014773</v>
      </c>
    </row>
    <row r="250" spans="1:9" s="43" customFormat="1" ht="19.5" customHeight="1">
      <c r="A250" s="54"/>
      <c r="B250" s="72">
        <v>85195</v>
      </c>
      <c r="C250" s="72" t="s">
        <v>4</v>
      </c>
      <c r="D250" s="73">
        <f>D251+D253</f>
        <v>445000</v>
      </c>
      <c r="E250" s="73">
        <f>E251+E253</f>
        <v>420000</v>
      </c>
      <c r="F250" s="73">
        <f>F251+F253</f>
        <v>420000</v>
      </c>
      <c r="G250" s="73"/>
      <c r="H250" s="73"/>
      <c r="I250" s="136">
        <f t="shared" si="12"/>
        <v>0.9438202247191011</v>
      </c>
    </row>
    <row r="251" spans="1:9" s="7" customFormat="1" ht="27.75" customHeight="1">
      <c r="A251" s="66"/>
      <c r="B251" s="66"/>
      <c r="C251" s="164" t="s">
        <v>276</v>
      </c>
      <c r="D251" s="163">
        <v>425000</v>
      </c>
      <c r="E251" s="163">
        <f t="shared" si="13"/>
        <v>400000</v>
      </c>
      <c r="F251" s="163">
        <v>400000</v>
      </c>
      <c r="G251" s="163"/>
      <c r="H251" s="163"/>
      <c r="I251" s="154">
        <f t="shared" si="12"/>
        <v>0.9411764705882353</v>
      </c>
    </row>
    <row r="252" spans="1:9" s="44" customFormat="1" ht="21" customHeight="1">
      <c r="A252" s="58"/>
      <c r="B252" s="58"/>
      <c r="C252" s="202" t="s">
        <v>283</v>
      </c>
      <c r="D252" s="203">
        <v>7120</v>
      </c>
      <c r="E252" s="203">
        <f>F252</f>
        <v>7000</v>
      </c>
      <c r="F252" s="203">
        <v>7000</v>
      </c>
      <c r="G252" s="203"/>
      <c r="H252" s="203"/>
      <c r="I252" s="204">
        <f t="shared" si="12"/>
        <v>0.9831460674157303</v>
      </c>
    </row>
    <row r="253" spans="1:9" s="7" customFormat="1" ht="19.5" customHeight="1">
      <c r="A253" s="70"/>
      <c r="B253" s="70"/>
      <c r="C253" s="70" t="s">
        <v>301</v>
      </c>
      <c r="D253" s="71">
        <v>20000</v>
      </c>
      <c r="E253" s="71">
        <f t="shared" si="13"/>
        <v>20000</v>
      </c>
      <c r="F253" s="71">
        <v>20000</v>
      </c>
      <c r="G253" s="71"/>
      <c r="H253" s="71"/>
      <c r="I253" s="135">
        <f t="shared" si="12"/>
        <v>1</v>
      </c>
    </row>
    <row r="254" spans="1:12" s="7" customFormat="1" ht="19.5" customHeight="1">
      <c r="A254" s="51">
        <v>852</v>
      </c>
      <c r="B254" s="51"/>
      <c r="C254" s="51" t="s">
        <v>198</v>
      </c>
      <c r="D254" s="52">
        <f>D255+D262+D269+D275+D278+D280+D282+D287+D300+D304+D310+D308+D306</f>
        <v>84344915</v>
      </c>
      <c r="E254" s="52">
        <f>E255+E262+E269+E275+E278+E280+E282+E287+E300+E304+E310+E308+E306</f>
        <v>91170495</v>
      </c>
      <c r="F254" s="52">
        <f>F255+F262+F269+F275+F278+F280+F282+F287+F300+F304+F310+F308+F306</f>
        <v>87714000</v>
      </c>
      <c r="G254" s="52">
        <f>G255+G262+G269+G275+G278+G280+G282+G287+G300+G304+G310+G308+G306</f>
        <v>285500</v>
      </c>
      <c r="H254" s="52">
        <f>H255+H262+H269+H275+H278+H280+H282+H287+H300+H304+H310+H308+H306</f>
        <v>3456495</v>
      </c>
      <c r="I254" s="126">
        <f t="shared" si="12"/>
        <v>1.0809246176844212</v>
      </c>
      <c r="J254" s="151">
        <f>D254+D485</f>
        <v>87118415</v>
      </c>
      <c r="L254" s="151">
        <f>E254+E485</f>
        <v>93630495</v>
      </c>
    </row>
    <row r="255" spans="1:12" s="7" customFormat="1" ht="19.5" customHeight="1">
      <c r="A255" s="66"/>
      <c r="B255" s="55">
        <v>85201</v>
      </c>
      <c r="C255" s="55" t="s">
        <v>53</v>
      </c>
      <c r="D255" s="56">
        <f>SUM(D256:D261)</f>
        <v>10340328</v>
      </c>
      <c r="E255" s="56">
        <f>SUM(E256:E261)</f>
        <v>10349300</v>
      </c>
      <c r="F255" s="56">
        <f>SUM(F256:F261)</f>
        <v>9369300</v>
      </c>
      <c r="G255" s="56">
        <f>SUM(G256:G261)</f>
        <v>25000</v>
      </c>
      <c r="H255" s="56">
        <f>SUM(H256:H261)</f>
        <v>980000</v>
      </c>
      <c r="I255" s="127">
        <f t="shared" si="12"/>
        <v>1.0008676707353965</v>
      </c>
      <c r="J255" s="151">
        <f>D255+D486</f>
        <v>12640328</v>
      </c>
      <c r="L255" s="151">
        <f>E255+E486</f>
        <v>12509300</v>
      </c>
    </row>
    <row r="256" spans="1:9" s="7" customFormat="1" ht="18.75" customHeight="1">
      <c r="A256" s="66"/>
      <c r="B256" s="54"/>
      <c r="C256" s="68" t="s">
        <v>279</v>
      </c>
      <c r="D256" s="69">
        <f>4545630-D487</f>
        <v>3484630</v>
      </c>
      <c r="E256" s="69">
        <f aca="true" t="shared" si="14" ref="E256:E277">F256+H256</f>
        <v>3490700</v>
      </c>
      <c r="F256" s="69">
        <f>4352000-F487+127100</f>
        <v>3490700</v>
      </c>
      <c r="G256" s="69"/>
      <c r="H256" s="69"/>
      <c r="I256" s="133">
        <f t="shared" si="12"/>
        <v>1.001741935298726</v>
      </c>
    </row>
    <row r="257" spans="1:9" s="7" customFormat="1" ht="18.75" customHeight="1">
      <c r="A257" s="66"/>
      <c r="B257" s="54"/>
      <c r="C257" s="76" t="s">
        <v>43</v>
      </c>
      <c r="D257" s="75">
        <f>2228456-D488</f>
        <v>1702456</v>
      </c>
      <c r="E257" s="75">
        <f t="shared" si="14"/>
        <v>1701600</v>
      </c>
      <c r="F257" s="75">
        <f>2116700-F488</f>
        <v>1701600</v>
      </c>
      <c r="G257" s="75">
        <v>25000</v>
      </c>
      <c r="H257" s="75"/>
      <c r="I257" s="134">
        <f t="shared" si="12"/>
        <v>0.9994971969907005</v>
      </c>
    </row>
    <row r="258" spans="1:9" s="7" customFormat="1" ht="18.75" customHeight="1">
      <c r="A258" s="66"/>
      <c r="B258" s="66"/>
      <c r="C258" s="76" t="s">
        <v>44</v>
      </c>
      <c r="D258" s="75">
        <f>892270-D489</f>
        <v>686270</v>
      </c>
      <c r="E258" s="75">
        <f t="shared" si="14"/>
        <v>677000</v>
      </c>
      <c r="F258" s="75">
        <f>848300-F489+22200+3000</f>
        <v>677000</v>
      </c>
      <c r="G258" s="75"/>
      <c r="H258" s="75"/>
      <c r="I258" s="134">
        <f t="shared" si="12"/>
        <v>0.9864921969487228</v>
      </c>
    </row>
    <row r="259" spans="1:12" s="7" customFormat="1" ht="18.75" customHeight="1">
      <c r="A259" s="66"/>
      <c r="B259" s="66"/>
      <c r="C259" s="74" t="s">
        <v>141</v>
      </c>
      <c r="D259" s="75">
        <v>1199620</v>
      </c>
      <c r="E259" s="75">
        <f t="shared" si="14"/>
        <v>1200000</v>
      </c>
      <c r="F259" s="75">
        <v>1200000</v>
      </c>
      <c r="G259" s="75"/>
      <c r="H259" s="75"/>
      <c r="I259" s="134">
        <f t="shared" si="12"/>
        <v>1.0003167669762092</v>
      </c>
      <c r="L259" s="151">
        <f>E260+E490</f>
        <v>2860000</v>
      </c>
    </row>
    <row r="260" spans="1:9" s="7" customFormat="1" ht="27.75" customHeight="1">
      <c r="A260" s="66"/>
      <c r="B260" s="66"/>
      <c r="C260" s="153" t="s">
        <v>267</v>
      </c>
      <c r="D260" s="163">
        <v>2168698</v>
      </c>
      <c r="E260" s="163">
        <f t="shared" si="14"/>
        <v>2300000</v>
      </c>
      <c r="F260" s="163">
        <v>2300000</v>
      </c>
      <c r="G260" s="163"/>
      <c r="H260" s="163"/>
      <c r="I260" s="134">
        <f t="shared" si="12"/>
        <v>1.060544160597741</v>
      </c>
    </row>
    <row r="261" spans="1:9" s="7" customFormat="1" ht="18.75" customHeight="1">
      <c r="A261" s="66"/>
      <c r="B261" s="70"/>
      <c r="C261" s="80" t="s">
        <v>6</v>
      </c>
      <c r="D261" s="62">
        <v>1098654</v>
      </c>
      <c r="E261" s="62">
        <f t="shared" si="14"/>
        <v>980000</v>
      </c>
      <c r="F261" s="62"/>
      <c r="G261" s="62"/>
      <c r="H261" s="62">
        <v>980000</v>
      </c>
      <c r="I261" s="138">
        <f t="shared" si="12"/>
        <v>0.8920005752493506</v>
      </c>
    </row>
    <row r="262" spans="1:9" s="7" customFormat="1" ht="19.5" customHeight="1">
      <c r="A262" s="66"/>
      <c r="B262" s="72">
        <v>85202</v>
      </c>
      <c r="C262" s="72" t="s">
        <v>54</v>
      </c>
      <c r="D262" s="73">
        <f>SUM(D263:D268)</f>
        <v>14668988</v>
      </c>
      <c r="E262" s="73">
        <f>SUM(E263:E268)</f>
        <v>16719195</v>
      </c>
      <c r="F262" s="73">
        <f>SUM(F263:F268)</f>
        <v>14242700</v>
      </c>
      <c r="G262" s="73">
        <f>SUM(G263:G268)</f>
        <v>70000</v>
      </c>
      <c r="H262" s="73">
        <f>SUM(H263:H268)</f>
        <v>2476495</v>
      </c>
      <c r="I262" s="136">
        <f t="shared" si="12"/>
        <v>1.1397647199656855</v>
      </c>
    </row>
    <row r="263" spans="1:9" s="7" customFormat="1" ht="19.5" customHeight="1">
      <c r="A263" s="66"/>
      <c r="B263" s="66"/>
      <c r="C263" s="68" t="s">
        <v>279</v>
      </c>
      <c r="D263" s="69">
        <v>7382346</v>
      </c>
      <c r="E263" s="69">
        <f t="shared" si="14"/>
        <v>8027500</v>
      </c>
      <c r="F263" s="69">
        <f>7358300+587500+81700</f>
        <v>8027500</v>
      </c>
      <c r="G263" s="69"/>
      <c r="H263" s="69"/>
      <c r="I263" s="133">
        <f t="shared" si="12"/>
        <v>1.087391460654919</v>
      </c>
    </row>
    <row r="264" spans="1:9" s="7" customFormat="1" ht="19.5" customHeight="1">
      <c r="A264" s="66"/>
      <c r="B264" s="54"/>
      <c r="C264" s="76" t="s">
        <v>43</v>
      </c>
      <c r="D264" s="75">
        <v>3758711</v>
      </c>
      <c r="E264" s="75">
        <f t="shared" si="14"/>
        <v>3714000</v>
      </c>
      <c r="F264" s="75">
        <f>3706500+7500</f>
        <v>3714000</v>
      </c>
      <c r="G264" s="75">
        <v>70000</v>
      </c>
      <c r="H264" s="75"/>
      <c r="I264" s="134">
        <f t="shared" si="12"/>
        <v>0.9881046986586625</v>
      </c>
    </row>
    <row r="265" spans="1:9" s="7" customFormat="1" ht="19.5" customHeight="1">
      <c r="A265" s="70"/>
      <c r="B265" s="70"/>
      <c r="C265" s="80" t="s">
        <v>44</v>
      </c>
      <c r="D265" s="62">
        <v>1422000</v>
      </c>
      <c r="E265" s="62">
        <f t="shared" si="14"/>
        <v>1561200</v>
      </c>
      <c r="F265" s="62">
        <f>1432000+100000+13600+13600+2000</f>
        <v>1561200</v>
      </c>
      <c r="G265" s="62"/>
      <c r="H265" s="62"/>
      <c r="I265" s="138">
        <f t="shared" si="12"/>
        <v>1.0978902953586498</v>
      </c>
    </row>
    <row r="266" spans="1:9" s="7" customFormat="1" ht="19.5" customHeight="1">
      <c r="A266" s="66"/>
      <c r="B266" s="66"/>
      <c r="C266" s="59" t="s">
        <v>272</v>
      </c>
      <c r="D266" s="60">
        <v>335200</v>
      </c>
      <c r="E266" s="60">
        <f t="shared" si="14"/>
        <v>340000</v>
      </c>
      <c r="F266" s="60">
        <f>340000</f>
        <v>340000</v>
      </c>
      <c r="G266" s="60"/>
      <c r="H266" s="60"/>
      <c r="I266" s="131">
        <f t="shared" si="12"/>
        <v>1.0143198090692125</v>
      </c>
    </row>
    <row r="267" spans="1:9" s="7" customFormat="1" ht="29.25" customHeight="1">
      <c r="A267" s="66"/>
      <c r="B267" s="66"/>
      <c r="C267" s="164" t="s">
        <v>249</v>
      </c>
      <c r="D267" s="163">
        <v>450000</v>
      </c>
      <c r="E267" s="163">
        <f t="shared" si="14"/>
        <v>600000</v>
      </c>
      <c r="F267" s="163">
        <v>600000</v>
      </c>
      <c r="G267" s="163"/>
      <c r="H267" s="163"/>
      <c r="I267" s="154">
        <f t="shared" si="12"/>
        <v>1.3333333333333333</v>
      </c>
    </row>
    <row r="268" spans="1:9" s="7" customFormat="1" ht="19.5" customHeight="1">
      <c r="A268" s="66"/>
      <c r="B268" s="70"/>
      <c r="C268" s="80" t="s">
        <v>6</v>
      </c>
      <c r="D268" s="62">
        <v>1320731</v>
      </c>
      <c r="E268" s="62">
        <f t="shared" si="14"/>
        <v>2476495</v>
      </c>
      <c r="F268" s="62"/>
      <c r="G268" s="62"/>
      <c r="H268" s="62">
        <v>2476495</v>
      </c>
      <c r="I268" s="138">
        <f aca="true" t="shared" si="15" ref="I268:I346">E268/D268</f>
        <v>1.8750941713339053</v>
      </c>
    </row>
    <row r="269" spans="1:9" s="7" customFormat="1" ht="19.5" customHeight="1">
      <c r="A269" s="66"/>
      <c r="B269" s="72">
        <v>85203</v>
      </c>
      <c r="C269" s="72" t="s">
        <v>55</v>
      </c>
      <c r="D269" s="73">
        <f>SUM(D270:D274)</f>
        <v>3526014</v>
      </c>
      <c r="E269" s="73">
        <f>SUM(E270:E274)</f>
        <v>2911000</v>
      </c>
      <c r="F269" s="73">
        <f>SUM(F270:F274)</f>
        <v>2911000</v>
      </c>
      <c r="G269" s="73"/>
      <c r="H269" s="73"/>
      <c r="I269" s="136">
        <f t="shared" si="15"/>
        <v>0.8255781173869418</v>
      </c>
    </row>
    <row r="270" spans="1:9" s="7" customFormat="1" ht="19.5" customHeight="1">
      <c r="A270" s="66"/>
      <c r="B270" s="66"/>
      <c r="C270" s="68" t="s">
        <v>279</v>
      </c>
      <c r="D270" s="69">
        <v>1570000</v>
      </c>
      <c r="E270" s="69">
        <f t="shared" si="14"/>
        <v>1749600</v>
      </c>
      <c r="F270" s="69">
        <f>1603000+113000+33600</f>
        <v>1749600</v>
      </c>
      <c r="G270" s="69"/>
      <c r="H270" s="69"/>
      <c r="I270" s="133">
        <f t="shared" si="15"/>
        <v>1.1143949044585988</v>
      </c>
    </row>
    <row r="271" spans="1:9" s="7" customFormat="1" ht="19.5" customHeight="1">
      <c r="A271" s="66"/>
      <c r="B271" s="54"/>
      <c r="C271" s="76" t="s">
        <v>43</v>
      </c>
      <c r="D271" s="75">
        <v>382000</v>
      </c>
      <c r="E271" s="75">
        <f t="shared" si="14"/>
        <v>363900</v>
      </c>
      <c r="F271" s="75">
        <f>363200+700</f>
        <v>363900</v>
      </c>
      <c r="G271" s="75"/>
      <c r="H271" s="75"/>
      <c r="I271" s="134">
        <f t="shared" si="15"/>
        <v>0.9526178010471205</v>
      </c>
    </row>
    <row r="272" spans="1:9" s="7" customFormat="1" ht="19.5" customHeight="1">
      <c r="A272" s="66"/>
      <c r="B272" s="66"/>
      <c r="C272" s="76" t="s">
        <v>44</v>
      </c>
      <c r="D272" s="75">
        <v>312000</v>
      </c>
      <c r="E272" s="75">
        <f t="shared" si="14"/>
        <v>347500</v>
      </c>
      <c r="F272" s="75">
        <f>319000+19300+2700+800+5700</f>
        <v>347500</v>
      </c>
      <c r="G272" s="75"/>
      <c r="H272" s="75"/>
      <c r="I272" s="134">
        <f t="shared" si="15"/>
        <v>1.1137820512820513</v>
      </c>
    </row>
    <row r="273" spans="1:9" s="7" customFormat="1" ht="27.75" customHeight="1">
      <c r="A273" s="66"/>
      <c r="B273" s="66"/>
      <c r="C273" s="74" t="s">
        <v>250</v>
      </c>
      <c r="D273" s="75">
        <v>440000</v>
      </c>
      <c r="E273" s="75">
        <f t="shared" si="14"/>
        <v>450000</v>
      </c>
      <c r="F273" s="75">
        <v>450000</v>
      </c>
      <c r="G273" s="75"/>
      <c r="H273" s="75"/>
      <c r="I273" s="134">
        <f t="shared" si="15"/>
        <v>1.0227272727272727</v>
      </c>
    </row>
    <row r="274" spans="1:9" s="7" customFormat="1" ht="18.75" customHeight="1">
      <c r="A274" s="66"/>
      <c r="B274" s="70"/>
      <c r="C274" s="80" t="s">
        <v>6</v>
      </c>
      <c r="D274" s="62">
        <v>822014</v>
      </c>
      <c r="E274" s="62"/>
      <c r="F274" s="62"/>
      <c r="G274" s="62"/>
      <c r="H274" s="62"/>
      <c r="I274" s="138"/>
    </row>
    <row r="275" spans="1:12" s="7" customFormat="1" ht="19.5" customHeight="1">
      <c r="A275" s="66"/>
      <c r="B275" s="72">
        <v>85204</v>
      </c>
      <c r="C275" s="82" t="s">
        <v>91</v>
      </c>
      <c r="D275" s="73">
        <f>SUM(D276:D277)</f>
        <v>5483264</v>
      </c>
      <c r="E275" s="73">
        <f>SUM(E276:E277)</f>
        <v>5750000</v>
      </c>
      <c r="F275" s="73">
        <f>SUM(F276:F277)</f>
        <v>5750000</v>
      </c>
      <c r="G275" s="73"/>
      <c r="H275" s="73"/>
      <c r="I275" s="136">
        <f t="shared" si="15"/>
        <v>1.0486454783136467</v>
      </c>
      <c r="J275" s="151">
        <f>D275+D491</f>
        <v>5668264</v>
      </c>
      <c r="L275" s="151">
        <f>E275+E491</f>
        <v>6050000</v>
      </c>
    </row>
    <row r="276" spans="1:9" s="7" customFormat="1" ht="18.75" customHeight="1">
      <c r="A276" s="66"/>
      <c r="B276" s="66"/>
      <c r="C276" s="68" t="s">
        <v>92</v>
      </c>
      <c r="D276" s="69">
        <v>5223264</v>
      </c>
      <c r="E276" s="69">
        <f t="shared" si="14"/>
        <v>5400000</v>
      </c>
      <c r="F276" s="69">
        <v>5400000</v>
      </c>
      <c r="G276" s="69"/>
      <c r="H276" s="69"/>
      <c r="I276" s="133">
        <f t="shared" si="15"/>
        <v>1.0338363138451359</v>
      </c>
    </row>
    <row r="277" spans="1:9" s="7" customFormat="1" ht="31.5" customHeight="1">
      <c r="A277" s="66"/>
      <c r="B277" s="72"/>
      <c r="C277" s="121" t="s">
        <v>268</v>
      </c>
      <c r="D277" s="62">
        <v>260000</v>
      </c>
      <c r="E277" s="62">
        <f t="shared" si="14"/>
        <v>350000</v>
      </c>
      <c r="F277" s="62">
        <v>350000</v>
      </c>
      <c r="G277" s="62"/>
      <c r="H277" s="62"/>
      <c r="I277" s="138">
        <f t="shared" si="15"/>
        <v>1.3461538461538463</v>
      </c>
    </row>
    <row r="278" spans="1:9" s="43" customFormat="1" ht="33.75" customHeight="1">
      <c r="A278" s="54"/>
      <c r="B278" s="72">
        <v>85214</v>
      </c>
      <c r="C278" s="82" t="s">
        <v>302</v>
      </c>
      <c r="D278" s="73">
        <f>D279</f>
        <v>8058378</v>
      </c>
      <c r="E278" s="73">
        <f>E279</f>
        <v>9200000</v>
      </c>
      <c r="F278" s="73">
        <f>F279</f>
        <v>9200000</v>
      </c>
      <c r="G278" s="73"/>
      <c r="H278" s="73"/>
      <c r="I278" s="136">
        <f t="shared" si="15"/>
        <v>1.1416689562093016</v>
      </c>
    </row>
    <row r="279" spans="1:9" s="7" customFormat="1" ht="18.75" customHeight="1">
      <c r="A279" s="66"/>
      <c r="B279" s="84"/>
      <c r="C279" s="84" t="s">
        <v>92</v>
      </c>
      <c r="D279" s="86">
        <v>8058378</v>
      </c>
      <c r="E279" s="86">
        <f>F279</f>
        <v>9200000</v>
      </c>
      <c r="F279" s="86">
        <v>9200000</v>
      </c>
      <c r="G279" s="86"/>
      <c r="H279" s="86"/>
      <c r="I279" s="128">
        <f t="shared" si="15"/>
        <v>1.1416689562093016</v>
      </c>
    </row>
    <row r="280" spans="1:9" s="43" customFormat="1" ht="19.5" customHeight="1">
      <c r="A280" s="54"/>
      <c r="B280" s="72">
        <v>85215</v>
      </c>
      <c r="C280" s="72" t="s">
        <v>57</v>
      </c>
      <c r="D280" s="73">
        <f>D281</f>
        <v>20500000</v>
      </c>
      <c r="E280" s="73">
        <f>E281</f>
        <v>20000000</v>
      </c>
      <c r="F280" s="73">
        <f>F281</f>
        <v>20000000</v>
      </c>
      <c r="G280" s="73"/>
      <c r="H280" s="73"/>
      <c r="I280" s="136">
        <f t="shared" si="15"/>
        <v>0.975609756097561</v>
      </c>
    </row>
    <row r="281" spans="1:9" s="7" customFormat="1" ht="19.5" customHeight="1">
      <c r="A281" s="66"/>
      <c r="B281" s="84"/>
      <c r="C281" s="84" t="s">
        <v>98</v>
      </c>
      <c r="D281" s="86">
        <v>20500000</v>
      </c>
      <c r="E281" s="86">
        <f>F281+H281</f>
        <v>20000000</v>
      </c>
      <c r="F281" s="86">
        <v>20000000</v>
      </c>
      <c r="G281" s="86"/>
      <c r="H281" s="86"/>
      <c r="I281" s="128">
        <f t="shared" si="15"/>
        <v>0.975609756097561</v>
      </c>
    </row>
    <row r="282" spans="1:9" s="7" customFormat="1" ht="19.5" customHeight="1">
      <c r="A282" s="66"/>
      <c r="B282" s="72">
        <v>85219</v>
      </c>
      <c r="C282" s="72" t="s">
        <v>160</v>
      </c>
      <c r="D282" s="73">
        <f>SUM(D283:D286)</f>
        <v>11348570</v>
      </c>
      <c r="E282" s="73">
        <f>SUM(E283:E286)</f>
        <v>11973000</v>
      </c>
      <c r="F282" s="73">
        <f>SUM(F283:F286)</f>
        <v>11973000</v>
      </c>
      <c r="G282" s="73">
        <f>SUM(G283:G286)</f>
        <v>40000</v>
      </c>
      <c r="H282" s="73"/>
      <c r="I282" s="136">
        <f t="shared" si="15"/>
        <v>1.0550227914177734</v>
      </c>
    </row>
    <row r="283" spans="1:9" s="7" customFormat="1" ht="18.75" customHeight="1">
      <c r="A283" s="66"/>
      <c r="B283" s="66"/>
      <c r="C283" s="68" t="s">
        <v>279</v>
      </c>
      <c r="D283" s="69">
        <v>8173970</v>
      </c>
      <c r="E283" s="69">
        <f>F283+H283</f>
        <v>8731000</v>
      </c>
      <c r="F283" s="69">
        <f>8200000+531000</f>
        <v>8731000</v>
      </c>
      <c r="G283" s="69"/>
      <c r="H283" s="69"/>
      <c r="I283" s="133">
        <f t="shared" si="15"/>
        <v>1.068146812381254</v>
      </c>
    </row>
    <row r="284" spans="1:9" s="7" customFormat="1" ht="18.75" customHeight="1">
      <c r="A284" s="66"/>
      <c r="B284" s="66"/>
      <c r="C284" s="76" t="s">
        <v>43</v>
      </c>
      <c r="D284" s="75">
        <v>1474600</v>
      </c>
      <c r="E284" s="75">
        <f>F284+H284</f>
        <v>1539000</v>
      </c>
      <c r="F284" s="75">
        <v>1539000</v>
      </c>
      <c r="G284" s="75">
        <v>40000</v>
      </c>
      <c r="H284" s="75"/>
      <c r="I284" s="134">
        <f t="shared" si="15"/>
        <v>1.0436728604367287</v>
      </c>
    </row>
    <row r="285" spans="1:9" s="7" customFormat="1" ht="18.75" customHeight="1">
      <c r="A285" s="66"/>
      <c r="B285" s="66"/>
      <c r="C285" s="76" t="s">
        <v>44</v>
      </c>
      <c r="D285" s="75">
        <v>1600000</v>
      </c>
      <c r="E285" s="75">
        <f>F285+H285</f>
        <v>1703000</v>
      </c>
      <c r="F285" s="75">
        <f>1600000+90000+13000</f>
        <v>1703000</v>
      </c>
      <c r="G285" s="75"/>
      <c r="H285" s="75"/>
      <c r="I285" s="134">
        <f t="shared" si="15"/>
        <v>1.064375</v>
      </c>
    </row>
    <row r="286" spans="1:9" s="7" customFormat="1" ht="18.75" customHeight="1">
      <c r="A286" s="66"/>
      <c r="B286" s="70"/>
      <c r="C286" s="70" t="s">
        <v>6</v>
      </c>
      <c r="D286" s="71">
        <v>100000</v>
      </c>
      <c r="E286" s="71"/>
      <c r="F286" s="71"/>
      <c r="G286" s="71"/>
      <c r="H286" s="71"/>
      <c r="I286" s="135"/>
    </row>
    <row r="287" spans="1:9" s="43" customFormat="1" ht="28.5" customHeight="1">
      <c r="A287" s="54"/>
      <c r="B287" s="72">
        <v>85220</v>
      </c>
      <c r="C287" s="88" t="s">
        <v>233</v>
      </c>
      <c r="D287" s="56">
        <f>D288+D292+D296</f>
        <v>374521</v>
      </c>
      <c r="E287" s="56">
        <f>E288+E292+E296</f>
        <v>660000</v>
      </c>
      <c r="F287" s="56">
        <f>F288+F292+F296</f>
        <v>660000</v>
      </c>
      <c r="G287" s="56">
        <f>G288+G292+G296</f>
        <v>80000</v>
      </c>
      <c r="H287" s="56"/>
      <c r="I287" s="127">
        <f t="shared" si="15"/>
        <v>1.762250981920907</v>
      </c>
    </row>
    <row r="288" spans="1:9" s="7" customFormat="1" ht="18.75" customHeight="1">
      <c r="A288" s="66"/>
      <c r="B288" s="66"/>
      <c r="C288" s="159" t="s">
        <v>338</v>
      </c>
      <c r="D288" s="156">
        <f>SUM(D289:D291)</f>
        <v>116521</v>
      </c>
      <c r="E288" s="156">
        <f>SUM(E289:E291)</f>
        <v>250000</v>
      </c>
      <c r="F288" s="156">
        <f>SUM(F289:F291)</f>
        <v>250000</v>
      </c>
      <c r="G288" s="156">
        <f>SUM(G289:G291)</f>
        <v>80000</v>
      </c>
      <c r="H288" s="156"/>
      <c r="I288" s="157">
        <f t="shared" si="15"/>
        <v>2.145535997802971</v>
      </c>
    </row>
    <row r="289" spans="1:9" s="7" customFormat="1" ht="19.5" customHeight="1">
      <c r="A289" s="66"/>
      <c r="B289" s="66"/>
      <c r="C289" s="94" t="s">
        <v>279</v>
      </c>
      <c r="D289" s="60">
        <v>400</v>
      </c>
      <c r="E289" s="60">
        <v>52200</v>
      </c>
      <c r="F289" s="60">
        <f>48600+3600</f>
        <v>52200</v>
      </c>
      <c r="G289" s="60"/>
      <c r="H289" s="60"/>
      <c r="I289" s="215">
        <f>E289/D289</f>
        <v>130.5</v>
      </c>
    </row>
    <row r="290" spans="1:9" s="7" customFormat="1" ht="19.5" customHeight="1">
      <c r="A290" s="66"/>
      <c r="B290" s="66"/>
      <c r="C290" s="76" t="s">
        <v>43</v>
      </c>
      <c r="D290" s="75">
        <v>116121</v>
      </c>
      <c r="E290" s="75">
        <f>F290+H290</f>
        <v>188600</v>
      </c>
      <c r="F290" s="75">
        <v>188600</v>
      </c>
      <c r="G290" s="75">
        <v>80000</v>
      </c>
      <c r="H290" s="75"/>
      <c r="I290" s="134">
        <f>E290/D290</f>
        <v>1.6241678938348791</v>
      </c>
    </row>
    <row r="291" spans="1:9" s="7" customFormat="1" ht="19.5" customHeight="1">
      <c r="A291" s="66"/>
      <c r="B291" s="66"/>
      <c r="C291" s="76" t="s">
        <v>44</v>
      </c>
      <c r="D291" s="75"/>
      <c r="E291" s="75">
        <f>F291+H291</f>
        <v>9200</v>
      </c>
      <c r="F291" s="75">
        <f>8500+620+80</f>
        <v>9200</v>
      </c>
      <c r="G291" s="75"/>
      <c r="H291" s="75"/>
      <c r="I291" s="134"/>
    </row>
    <row r="292" spans="1:9" s="7" customFormat="1" ht="18.75" customHeight="1">
      <c r="A292" s="66"/>
      <c r="B292" s="66"/>
      <c r="C292" s="214" t="s">
        <v>339</v>
      </c>
      <c r="D292" s="194">
        <f>SUM(D293:D295)</f>
        <v>8000</v>
      </c>
      <c r="E292" s="194">
        <f>SUM(E293:E295)</f>
        <v>210000</v>
      </c>
      <c r="F292" s="194">
        <f>SUM(F293:F295)</f>
        <v>210000</v>
      </c>
      <c r="G292" s="194"/>
      <c r="H292" s="194"/>
      <c r="I292" s="195">
        <f t="shared" si="15"/>
        <v>26.25</v>
      </c>
    </row>
    <row r="293" spans="1:9" s="7" customFormat="1" ht="19.5" customHeight="1">
      <c r="A293" s="66"/>
      <c r="B293" s="66"/>
      <c r="C293" s="94" t="s">
        <v>279</v>
      </c>
      <c r="D293" s="60"/>
      <c r="E293" s="60">
        <f>F293+H293</f>
        <v>165700</v>
      </c>
      <c r="F293" s="60">
        <v>165700</v>
      </c>
      <c r="G293" s="60"/>
      <c r="H293" s="60"/>
      <c r="I293" s="131"/>
    </row>
    <row r="294" spans="1:9" s="7" customFormat="1" ht="19.5" customHeight="1">
      <c r="A294" s="70"/>
      <c r="B294" s="70"/>
      <c r="C294" s="80" t="s">
        <v>43</v>
      </c>
      <c r="D294" s="62">
        <v>8000</v>
      </c>
      <c r="E294" s="62">
        <f>F294+H294</f>
        <v>13100</v>
      </c>
      <c r="F294" s="62">
        <v>13100</v>
      </c>
      <c r="G294" s="62"/>
      <c r="H294" s="62"/>
      <c r="I294" s="138">
        <f t="shared" si="15"/>
        <v>1.6375</v>
      </c>
    </row>
    <row r="295" spans="1:9" s="7" customFormat="1" ht="19.5" customHeight="1">
      <c r="A295" s="66"/>
      <c r="B295" s="66"/>
      <c r="C295" s="94" t="s">
        <v>44</v>
      </c>
      <c r="D295" s="60"/>
      <c r="E295" s="60">
        <f>F295+H295</f>
        <v>31200</v>
      </c>
      <c r="F295" s="60">
        <v>31200</v>
      </c>
      <c r="G295" s="60"/>
      <c r="H295" s="60"/>
      <c r="I295" s="131"/>
    </row>
    <row r="296" spans="1:9" s="7" customFormat="1" ht="18.75" customHeight="1">
      <c r="A296" s="66"/>
      <c r="B296" s="66"/>
      <c r="C296" s="214" t="s">
        <v>350</v>
      </c>
      <c r="D296" s="194">
        <f>SUM(D297:D299)</f>
        <v>250000</v>
      </c>
      <c r="E296" s="194">
        <f>SUM(E297:E299)</f>
        <v>200000</v>
      </c>
      <c r="F296" s="194">
        <f>SUM(F297:F299)</f>
        <v>200000</v>
      </c>
      <c r="G296" s="194"/>
      <c r="H296" s="194"/>
      <c r="I296" s="195">
        <f t="shared" si="15"/>
        <v>0.8</v>
      </c>
    </row>
    <row r="297" spans="1:9" s="7" customFormat="1" ht="19.5" customHeight="1">
      <c r="A297" s="66"/>
      <c r="B297" s="66"/>
      <c r="C297" s="94" t="s">
        <v>279</v>
      </c>
      <c r="D297" s="60">
        <v>40000</v>
      </c>
      <c r="E297" s="60">
        <f>F297+H297</f>
        <v>124000</v>
      </c>
      <c r="F297" s="60">
        <v>124000</v>
      </c>
      <c r="G297" s="60"/>
      <c r="H297" s="60"/>
      <c r="I297" s="131">
        <f>E297/D297</f>
        <v>3.1</v>
      </c>
    </row>
    <row r="298" spans="1:9" s="7" customFormat="1" ht="19.5" customHeight="1">
      <c r="A298" s="66"/>
      <c r="B298" s="66"/>
      <c r="C298" s="76" t="s">
        <v>43</v>
      </c>
      <c r="D298" s="75">
        <v>202000</v>
      </c>
      <c r="E298" s="75">
        <f>F298+H298</f>
        <v>51000</v>
      </c>
      <c r="F298" s="75">
        <v>51000</v>
      </c>
      <c r="G298" s="75"/>
      <c r="H298" s="75"/>
      <c r="I298" s="134">
        <f>E298/D298</f>
        <v>0.2524752475247525</v>
      </c>
    </row>
    <row r="299" spans="1:9" s="7" customFormat="1" ht="19.5" customHeight="1">
      <c r="A299" s="66"/>
      <c r="B299" s="70"/>
      <c r="C299" s="80" t="s">
        <v>44</v>
      </c>
      <c r="D299" s="62">
        <v>8000</v>
      </c>
      <c r="E299" s="62">
        <f>F299+H299</f>
        <v>25000</v>
      </c>
      <c r="F299" s="62">
        <v>25000</v>
      </c>
      <c r="G299" s="62"/>
      <c r="H299" s="62"/>
      <c r="I299" s="138">
        <f>E299/D299</f>
        <v>3.125</v>
      </c>
    </row>
    <row r="300" spans="1:9" s="43" customFormat="1" ht="19.5" customHeight="1">
      <c r="A300" s="54"/>
      <c r="B300" s="72">
        <v>85226</v>
      </c>
      <c r="C300" s="72" t="s">
        <v>58</v>
      </c>
      <c r="D300" s="73">
        <f>SUM(D301:D303)</f>
        <v>262682</v>
      </c>
      <c r="E300" s="73">
        <f>SUM(E301:E303)</f>
        <v>287000</v>
      </c>
      <c r="F300" s="73">
        <f>SUM(F301:F303)</f>
        <v>287000</v>
      </c>
      <c r="G300" s="73"/>
      <c r="H300" s="73"/>
      <c r="I300" s="136">
        <f t="shared" si="15"/>
        <v>1.0925758141022224</v>
      </c>
    </row>
    <row r="301" spans="1:9" s="7" customFormat="1" ht="19.5" customHeight="1">
      <c r="A301" s="66"/>
      <c r="B301" s="66"/>
      <c r="C301" s="68" t="s">
        <v>279</v>
      </c>
      <c r="D301" s="69">
        <v>184800</v>
      </c>
      <c r="E301" s="69">
        <f>F301+H301</f>
        <v>206100</v>
      </c>
      <c r="F301" s="69">
        <f>201600+4500</f>
        <v>206100</v>
      </c>
      <c r="G301" s="69"/>
      <c r="H301" s="69"/>
      <c r="I301" s="133">
        <f t="shared" si="15"/>
        <v>1.1152597402597402</v>
      </c>
    </row>
    <row r="302" spans="1:9" s="7" customFormat="1" ht="19.5" customHeight="1">
      <c r="A302" s="66"/>
      <c r="B302" s="66"/>
      <c r="C302" s="76" t="s">
        <v>43</v>
      </c>
      <c r="D302" s="75">
        <v>41882</v>
      </c>
      <c r="E302" s="75">
        <f>F302+H302</f>
        <v>40000</v>
      </c>
      <c r="F302" s="75">
        <v>40000</v>
      </c>
      <c r="G302" s="75"/>
      <c r="H302" s="75"/>
      <c r="I302" s="134">
        <f t="shared" si="15"/>
        <v>0.9550642280693377</v>
      </c>
    </row>
    <row r="303" spans="1:9" s="7" customFormat="1" ht="19.5" customHeight="1">
      <c r="A303" s="66"/>
      <c r="B303" s="70"/>
      <c r="C303" s="80" t="s">
        <v>44</v>
      </c>
      <c r="D303" s="62">
        <v>36000</v>
      </c>
      <c r="E303" s="62">
        <f>F303+H303</f>
        <v>40900</v>
      </c>
      <c r="F303" s="62">
        <f>40000+800+100</f>
        <v>40900</v>
      </c>
      <c r="G303" s="62"/>
      <c r="H303" s="62"/>
      <c r="I303" s="138">
        <f t="shared" si="15"/>
        <v>1.136111111111111</v>
      </c>
    </row>
    <row r="304" spans="1:9" s="43" customFormat="1" ht="19.5" customHeight="1">
      <c r="A304" s="54"/>
      <c r="B304" s="72">
        <v>85228</v>
      </c>
      <c r="C304" s="72" t="s">
        <v>59</v>
      </c>
      <c r="D304" s="73">
        <f>D305</f>
        <v>7300000</v>
      </c>
      <c r="E304" s="73">
        <f>E305</f>
        <v>10000000</v>
      </c>
      <c r="F304" s="73">
        <f>F305</f>
        <v>10000000</v>
      </c>
      <c r="G304" s="73"/>
      <c r="H304" s="73"/>
      <c r="I304" s="136">
        <f t="shared" si="15"/>
        <v>1.36986301369863</v>
      </c>
    </row>
    <row r="305" spans="1:9" s="7" customFormat="1" ht="19.5" customHeight="1">
      <c r="A305" s="66"/>
      <c r="B305" s="84"/>
      <c r="C305" s="84" t="s">
        <v>97</v>
      </c>
      <c r="D305" s="86">
        <v>7300000</v>
      </c>
      <c r="E305" s="86">
        <f>F305+H305</f>
        <v>10000000</v>
      </c>
      <c r="F305" s="86">
        <v>10000000</v>
      </c>
      <c r="G305" s="86"/>
      <c r="H305" s="86"/>
      <c r="I305" s="128">
        <f t="shared" si="15"/>
        <v>1.36986301369863</v>
      </c>
    </row>
    <row r="306" spans="1:9" s="43" customFormat="1" ht="19.5" customHeight="1">
      <c r="A306" s="54"/>
      <c r="B306" s="72">
        <v>85232</v>
      </c>
      <c r="C306" s="72" t="s">
        <v>303</v>
      </c>
      <c r="D306" s="73">
        <f>D307</f>
        <v>200000</v>
      </c>
      <c r="E306" s="73">
        <f>E307</f>
        <v>480000</v>
      </c>
      <c r="F306" s="73">
        <f>F307</f>
        <v>480000</v>
      </c>
      <c r="G306" s="73">
        <f>G307</f>
        <v>70500</v>
      </c>
      <c r="H306" s="73"/>
      <c r="I306" s="136">
        <f t="shared" si="15"/>
        <v>2.4</v>
      </c>
    </row>
    <row r="307" spans="1:9" s="7" customFormat="1" ht="19.5" customHeight="1">
      <c r="A307" s="66"/>
      <c r="B307" s="84"/>
      <c r="C307" s="84" t="s">
        <v>304</v>
      </c>
      <c r="D307" s="86">
        <v>200000</v>
      </c>
      <c r="E307" s="86">
        <f>F307+H307</f>
        <v>480000</v>
      </c>
      <c r="F307" s="86">
        <f>580000-100000</f>
        <v>480000</v>
      </c>
      <c r="G307" s="86">
        <v>70500</v>
      </c>
      <c r="H307" s="86"/>
      <c r="I307" s="128">
        <f t="shared" si="15"/>
        <v>2.4</v>
      </c>
    </row>
    <row r="308" spans="1:9" s="43" customFormat="1" ht="19.5" customHeight="1">
      <c r="A308" s="54"/>
      <c r="B308" s="72">
        <v>85233</v>
      </c>
      <c r="C308" s="72" t="s">
        <v>177</v>
      </c>
      <c r="D308" s="73">
        <f>D309</f>
        <v>15900</v>
      </c>
      <c r="E308" s="73">
        <f>E309</f>
        <v>26000</v>
      </c>
      <c r="F308" s="73">
        <f>F309</f>
        <v>26000</v>
      </c>
      <c r="G308" s="73"/>
      <c r="H308" s="73"/>
      <c r="I308" s="136">
        <f t="shared" si="15"/>
        <v>1.6352201257861636</v>
      </c>
    </row>
    <row r="309" spans="1:9" s="7" customFormat="1" ht="19.5" customHeight="1">
      <c r="A309" s="66"/>
      <c r="B309" s="84"/>
      <c r="C309" s="84" t="s">
        <v>178</v>
      </c>
      <c r="D309" s="86">
        <v>15900</v>
      </c>
      <c r="E309" s="86">
        <f>F309+H309</f>
        <v>26000</v>
      </c>
      <c r="F309" s="86">
        <v>26000</v>
      </c>
      <c r="G309" s="86"/>
      <c r="H309" s="86"/>
      <c r="I309" s="128">
        <f t="shared" si="15"/>
        <v>1.6352201257861636</v>
      </c>
    </row>
    <row r="310" spans="1:12" s="43" customFormat="1" ht="19.5" customHeight="1">
      <c r="A310" s="54"/>
      <c r="B310" s="72">
        <v>85295</v>
      </c>
      <c r="C310" s="72" t="s">
        <v>4</v>
      </c>
      <c r="D310" s="73">
        <f>SUM(D311:D315)</f>
        <v>2266270</v>
      </c>
      <c r="E310" s="73">
        <f>SUM(E311:E315)</f>
        <v>2815000</v>
      </c>
      <c r="F310" s="73">
        <f>SUM(F311:F315)</f>
        <v>2815000</v>
      </c>
      <c r="G310" s="73"/>
      <c r="H310" s="73"/>
      <c r="I310" s="136">
        <f t="shared" si="15"/>
        <v>1.2421291373049108</v>
      </c>
      <c r="J310" s="182">
        <f>D310+D493</f>
        <v>2554770</v>
      </c>
      <c r="L310" s="182">
        <f>E310+E493</f>
        <v>2815000</v>
      </c>
    </row>
    <row r="311" spans="1:9" s="43" customFormat="1" ht="30" customHeight="1">
      <c r="A311" s="54"/>
      <c r="B311" s="54"/>
      <c r="C311" s="79" t="s">
        <v>252</v>
      </c>
      <c r="D311" s="78">
        <v>694800</v>
      </c>
      <c r="E311" s="78">
        <f>F311+H311</f>
        <v>1141000</v>
      </c>
      <c r="F311" s="78">
        <f>681000+460000</f>
        <v>1141000</v>
      </c>
      <c r="G311" s="78"/>
      <c r="H311" s="78"/>
      <c r="I311" s="137">
        <f t="shared" si="15"/>
        <v>1.6421991940126655</v>
      </c>
    </row>
    <row r="312" spans="1:9" s="7" customFormat="1" ht="19.5" customHeight="1">
      <c r="A312" s="66"/>
      <c r="B312" s="66"/>
      <c r="C312" s="74" t="s">
        <v>253</v>
      </c>
      <c r="D312" s="75">
        <v>33000</v>
      </c>
      <c r="E312" s="75">
        <f>F312+H312</f>
        <v>33000</v>
      </c>
      <c r="F312" s="75">
        <v>33000</v>
      </c>
      <c r="G312" s="75"/>
      <c r="H312" s="75"/>
      <c r="I312" s="134">
        <f t="shared" si="15"/>
        <v>1</v>
      </c>
    </row>
    <row r="313" spans="1:9" s="7" customFormat="1" ht="19.5" customHeight="1">
      <c r="A313" s="66"/>
      <c r="B313" s="66"/>
      <c r="C313" s="74" t="s">
        <v>254</v>
      </c>
      <c r="D313" s="75">
        <v>18000</v>
      </c>
      <c r="E313" s="75">
        <f>F313+H313</f>
        <v>18000</v>
      </c>
      <c r="F313" s="75">
        <v>18000</v>
      </c>
      <c r="G313" s="75"/>
      <c r="H313" s="75"/>
      <c r="I313" s="134">
        <f t="shared" si="15"/>
        <v>1</v>
      </c>
    </row>
    <row r="314" spans="1:9" s="7" customFormat="1" ht="28.5" customHeight="1">
      <c r="A314" s="66"/>
      <c r="B314" s="66"/>
      <c r="C314" s="164" t="s">
        <v>255</v>
      </c>
      <c r="D314" s="163">
        <v>14000</v>
      </c>
      <c r="E314" s="163">
        <f>F314+H314</f>
        <v>14000</v>
      </c>
      <c r="F314" s="163">
        <v>14000</v>
      </c>
      <c r="G314" s="163"/>
      <c r="H314" s="163"/>
      <c r="I314" s="154">
        <f t="shared" si="15"/>
        <v>1</v>
      </c>
    </row>
    <row r="315" spans="1:9" s="7" customFormat="1" ht="19.5" customHeight="1">
      <c r="A315" s="70"/>
      <c r="B315" s="70"/>
      <c r="C315" s="61" t="s">
        <v>305</v>
      </c>
      <c r="D315" s="62">
        <v>1506470</v>
      </c>
      <c r="E315" s="62">
        <f>F315+H315</f>
        <v>1609000</v>
      </c>
      <c r="F315" s="62">
        <v>1609000</v>
      </c>
      <c r="G315" s="62"/>
      <c r="H315" s="62"/>
      <c r="I315" s="138">
        <f t="shared" si="15"/>
        <v>1.0680597688636349</v>
      </c>
    </row>
    <row r="316" spans="1:9" s="7" customFormat="1" ht="19.5" customHeight="1">
      <c r="A316" s="51">
        <v>853</v>
      </c>
      <c r="B316" s="51"/>
      <c r="C316" s="51" t="s">
        <v>199</v>
      </c>
      <c r="D316" s="52">
        <f>D317+D322+D332</f>
        <v>8377528</v>
      </c>
      <c r="E316" s="52">
        <f>E317+E322+E332</f>
        <v>9452294</v>
      </c>
      <c r="F316" s="52">
        <f>F317+F322+F332</f>
        <v>8842044</v>
      </c>
      <c r="G316" s="52">
        <f>G317+G322+G332</f>
        <v>70000</v>
      </c>
      <c r="H316" s="52">
        <f>H317+H322+H332</f>
        <v>610250</v>
      </c>
      <c r="I316" s="126">
        <f t="shared" si="15"/>
        <v>1.128291543758493</v>
      </c>
    </row>
    <row r="317" spans="1:9" s="7" customFormat="1" ht="19.5" customHeight="1">
      <c r="A317" s="66"/>
      <c r="B317" s="72">
        <v>85305</v>
      </c>
      <c r="C317" s="72" t="s">
        <v>56</v>
      </c>
      <c r="D317" s="73">
        <f>SUM(D318:D321)</f>
        <v>4715996</v>
      </c>
      <c r="E317" s="73">
        <f>SUM(E318:E321)</f>
        <v>5254800</v>
      </c>
      <c r="F317" s="73">
        <f>SUM(F318:F321)</f>
        <v>4954800</v>
      </c>
      <c r="G317" s="73">
        <f>SUM(G318:G321)</f>
        <v>20000</v>
      </c>
      <c r="H317" s="73">
        <f>SUM(H318:H321)</f>
        <v>300000</v>
      </c>
      <c r="I317" s="136">
        <f t="shared" si="15"/>
        <v>1.1142503089485232</v>
      </c>
    </row>
    <row r="318" spans="1:9" s="7" customFormat="1" ht="19.5" customHeight="1">
      <c r="A318" s="66"/>
      <c r="B318" s="66"/>
      <c r="C318" s="68" t="s">
        <v>279</v>
      </c>
      <c r="D318" s="69">
        <v>3284996</v>
      </c>
      <c r="E318" s="69">
        <f aca="true" t="shared" si="16" ref="E318:E333">F318+H318</f>
        <v>3589400</v>
      </c>
      <c r="F318" s="69">
        <f>3287000+302400</f>
        <v>3589400</v>
      </c>
      <c r="G318" s="69"/>
      <c r="H318" s="69"/>
      <c r="I318" s="133">
        <f t="shared" si="15"/>
        <v>1.0926649530166856</v>
      </c>
    </row>
    <row r="319" spans="1:9" s="7" customFormat="1" ht="19.5" customHeight="1">
      <c r="A319" s="66"/>
      <c r="B319" s="66"/>
      <c r="C319" s="76" t="s">
        <v>43</v>
      </c>
      <c r="D319" s="75">
        <v>769000</v>
      </c>
      <c r="E319" s="75">
        <f t="shared" si="16"/>
        <v>704000</v>
      </c>
      <c r="F319" s="75">
        <v>704000</v>
      </c>
      <c r="G319" s="75">
        <v>20000</v>
      </c>
      <c r="H319" s="75"/>
      <c r="I319" s="134">
        <f t="shared" si="15"/>
        <v>0.9154746423927178</v>
      </c>
    </row>
    <row r="320" spans="1:9" s="7" customFormat="1" ht="19.5" customHeight="1">
      <c r="A320" s="66"/>
      <c r="B320" s="66"/>
      <c r="C320" s="76" t="s">
        <v>44</v>
      </c>
      <c r="D320" s="75">
        <v>633000</v>
      </c>
      <c r="E320" s="75">
        <f t="shared" si="16"/>
        <v>661400</v>
      </c>
      <c r="F320" s="75">
        <f>602000+52000+7400</f>
        <v>661400</v>
      </c>
      <c r="G320" s="75"/>
      <c r="H320" s="75"/>
      <c r="I320" s="134">
        <f t="shared" si="15"/>
        <v>1.0448657187993682</v>
      </c>
    </row>
    <row r="321" spans="1:9" s="7" customFormat="1" ht="19.5" customHeight="1">
      <c r="A321" s="66"/>
      <c r="B321" s="70"/>
      <c r="C321" s="80" t="s">
        <v>6</v>
      </c>
      <c r="D321" s="62">
        <v>29000</v>
      </c>
      <c r="E321" s="62">
        <f t="shared" si="16"/>
        <v>300000</v>
      </c>
      <c r="F321" s="62"/>
      <c r="G321" s="62"/>
      <c r="H321" s="62">
        <v>300000</v>
      </c>
      <c r="I321" s="138">
        <f t="shared" si="15"/>
        <v>10.344827586206897</v>
      </c>
    </row>
    <row r="322" spans="1:9" s="43" customFormat="1" ht="19.5" customHeight="1">
      <c r="A322" s="54"/>
      <c r="B322" s="72">
        <v>85333</v>
      </c>
      <c r="C322" s="72" t="s">
        <v>60</v>
      </c>
      <c r="D322" s="73">
        <f>D323+D324+D325+D326+D328+D330+D331</f>
        <v>3661532</v>
      </c>
      <c r="E322" s="73">
        <f>E323+E324+E325+E326+E328+E330+E331</f>
        <v>4177494</v>
      </c>
      <c r="F322" s="73">
        <f>F323+F324+F325+F326+F328+F330+F331</f>
        <v>3867244</v>
      </c>
      <c r="G322" s="73">
        <f>G323+G324+G325+G326+G328+G330+G331</f>
        <v>50000</v>
      </c>
      <c r="H322" s="73">
        <f>H323+H324+H325+H326+H328+H330+H331</f>
        <v>310250</v>
      </c>
      <c r="I322" s="136">
        <f t="shared" si="15"/>
        <v>1.1409142402688273</v>
      </c>
    </row>
    <row r="323" spans="1:9" s="7" customFormat="1" ht="19.5" customHeight="1">
      <c r="A323" s="66"/>
      <c r="B323" s="66"/>
      <c r="C323" s="68" t="s">
        <v>279</v>
      </c>
      <c r="D323" s="69">
        <v>2025798</v>
      </c>
      <c r="E323" s="69">
        <f t="shared" si="16"/>
        <v>2733000</v>
      </c>
      <c r="F323" s="69">
        <f>2058000+255000+420000</f>
        <v>2733000</v>
      </c>
      <c r="G323" s="69"/>
      <c r="H323" s="69"/>
      <c r="I323" s="133">
        <f t="shared" si="15"/>
        <v>1.34909798509032</v>
      </c>
    </row>
    <row r="324" spans="1:9" s="7" customFormat="1" ht="19.5" customHeight="1">
      <c r="A324" s="70"/>
      <c r="B324" s="70"/>
      <c r="C324" s="80" t="s">
        <v>43</v>
      </c>
      <c r="D324" s="62">
        <v>580800</v>
      </c>
      <c r="E324" s="62">
        <f t="shared" si="16"/>
        <v>541000</v>
      </c>
      <c r="F324" s="62">
        <f>522000+19000</f>
        <v>541000</v>
      </c>
      <c r="G324" s="62">
        <v>50000</v>
      </c>
      <c r="H324" s="62"/>
      <c r="I324" s="138">
        <f t="shared" si="15"/>
        <v>0.9314738292011019</v>
      </c>
    </row>
    <row r="325" spans="1:9" s="7" customFormat="1" ht="19.5" customHeight="1">
      <c r="A325" s="67"/>
      <c r="B325" s="67"/>
      <c r="C325" s="68" t="s">
        <v>44</v>
      </c>
      <c r="D325" s="69">
        <v>398284</v>
      </c>
      <c r="E325" s="69">
        <f t="shared" si="16"/>
        <v>521000</v>
      </c>
      <c r="F325" s="69">
        <f>390000+43000+6000+72000+10000</f>
        <v>521000</v>
      </c>
      <c r="G325" s="69"/>
      <c r="H325" s="69"/>
      <c r="I325" s="133">
        <f t="shared" si="15"/>
        <v>1.3081117996203715</v>
      </c>
    </row>
    <row r="326" spans="1:9" s="7" customFormat="1" ht="18.75" customHeight="1">
      <c r="A326" s="66"/>
      <c r="B326" s="66"/>
      <c r="C326" s="94" t="s">
        <v>306</v>
      </c>
      <c r="D326" s="60">
        <v>15259</v>
      </c>
      <c r="E326" s="60">
        <f t="shared" si="16"/>
        <v>38622</v>
      </c>
      <c r="F326" s="60">
        <v>38622</v>
      </c>
      <c r="G326" s="60"/>
      <c r="H326" s="60"/>
      <c r="I326" s="131">
        <f t="shared" si="15"/>
        <v>2.531096402123337</v>
      </c>
    </row>
    <row r="327" spans="1:9" s="44" customFormat="1" ht="18.75" customHeight="1">
      <c r="A327" s="58"/>
      <c r="B327" s="58"/>
      <c r="C327" s="213" t="s">
        <v>283</v>
      </c>
      <c r="D327" s="203">
        <f>6097+2304</f>
        <v>8401</v>
      </c>
      <c r="E327" s="203">
        <f t="shared" si="16"/>
        <v>7201</v>
      </c>
      <c r="F327" s="203">
        <f>5226+1975</f>
        <v>7201</v>
      </c>
      <c r="G327" s="203"/>
      <c r="H327" s="203"/>
      <c r="I327" s="204">
        <f t="shared" si="15"/>
        <v>0.8571598619211999</v>
      </c>
    </row>
    <row r="328" spans="1:9" s="7" customFormat="1" ht="19.5" customHeight="1">
      <c r="A328" s="66"/>
      <c r="B328" s="66"/>
      <c r="C328" s="171" t="s">
        <v>307</v>
      </c>
      <c r="D328" s="172">
        <v>15259</v>
      </c>
      <c r="E328" s="172">
        <f t="shared" si="16"/>
        <v>33622</v>
      </c>
      <c r="F328" s="172">
        <v>33622</v>
      </c>
      <c r="G328" s="172"/>
      <c r="H328" s="172"/>
      <c r="I328" s="173">
        <f t="shared" si="15"/>
        <v>2.2034209319090374</v>
      </c>
    </row>
    <row r="329" spans="1:9" s="44" customFormat="1" ht="18.75" customHeight="1">
      <c r="A329" s="58"/>
      <c r="B329" s="58"/>
      <c r="C329" s="213" t="s">
        <v>283</v>
      </c>
      <c r="D329" s="203">
        <v>8401</v>
      </c>
      <c r="E329" s="203">
        <f>F329+H329</f>
        <v>7201</v>
      </c>
      <c r="F329" s="203">
        <f>5310+1891</f>
        <v>7201</v>
      </c>
      <c r="G329" s="203"/>
      <c r="H329" s="203"/>
      <c r="I329" s="204">
        <f>E329/D329</f>
        <v>0.8571598619211999</v>
      </c>
    </row>
    <row r="330" spans="1:9" s="7" customFormat="1" ht="19.5" customHeight="1">
      <c r="A330" s="66"/>
      <c r="B330" s="66"/>
      <c r="C330" s="66" t="s">
        <v>248</v>
      </c>
      <c r="D330" s="78">
        <v>187953</v>
      </c>
      <c r="E330" s="78"/>
      <c r="F330" s="78"/>
      <c r="G330" s="78"/>
      <c r="H330" s="78"/>
      <c r="I330" s="137"/>
    </row>
    <row r="331" spans="1:9" s="7" customFormat="1" ht="19.5" customHeight="1">
      <c r="A331" s="66"/>
      <c r="B331" s="70"/>
      <c r="C331" s="80" t="s">
        <v>6</v>
      </c>
      <c r="D331" s="62">
        <v>438179</v>
      </c>
      <c r="E331" s="62">
        <f>F331+H331</f>
        <v>310250</v>
      </c>
      <c r="F331" s="62"/>
      <c r="G331" s="62"/>
      <c r="H331" s="62">
        <v>310250</v>
      </c>
      <c r="I331" s="138">
        <f t="shared" si="15"/>
        <v>0.7080439728969211</v>
      </c>
    </row>
    <row r="332" spans="1:9" s="43" customFormat="1" ht="19.5" customHeight="1">
      <c r="A332" s="54"/>
      <c r="B332" s="72">
        <v>85334</v>
      </c>
      <c r="C332" s="72" t="s">
        <v>183</v>
      </c>
      <c r="D332" s="73"/>
      <c r="E332" s="73">
        <f>E333</f>
        <v>20000</v>
      </c>
      <c r="F332" s="73">
        <f>F333</f>
        <v>20000</v>
      </c>
      <c r="G332" s="73"/>
      <c r="H332" s="73"/>
      <c r="I332" s="136"/>
    </row>
    <row r="333" spans="1:9" s="7" customFormat="1" ht="19.5" customHeight="1">
      <c r="A333" s="70"/>
      <c r="B333" s="84"/>
      <c r="C333" s="84" t="s">
        <v>216</v>
      </c>
      <c r="D333" s="86"/>
      <c r="E333" s="86">
        <f t="shared" si="16"/>
        <v>20000</v>
      </c>
      <c r="F333" s="86">
        <v>20000</v>
      </c>
      <c r="G333" s="86"/>
      <c r="H333" s="86"/>
      <c r="I333" s="128"/>
    </row>
    <row r="334" spans="1:9" s="7" customFormat="1" ht="19.5" customHeight="1">
      <c r="A334" s="51">
        <v>854</v>
      </c>
      <c r="B334" s="51"/>
      <c r="C334" s="51" t="s">
        <v>61</v>
      </c>
      <c r="D334" s="52">
        <f>D335+D339+D346+D350+D356+D361+D363+D368+D379+D388+D376+D372</f>
        <v>39107012</v>
      </c>
      <c r="E334" s="52">
        <f>E335+E339+E346+E350+E356+E361+E363+E368+E379+E388+E376+E372</f>
        <v>40198000</v>
      </c>
      <c r="F334" s="52">
        <f>F335+F339+F346+F350+F356+F361+F363+F368+F379+F388+F376+F372</f>
        <v>40098000</v>
      </c>
      <c r="G334" s="52">
        <f>G335+G339+G346+G350+G356+G361+G363+G368+G379+G388+G376+G372</f>
        <v>425000</v>
      </c>
      <c r="H334" s="52">
        <f>H335+H339+H346+H350+H356+H361+H363+H368+H379+H388+H376+H372</f>
        <v>100000</v>
      </c>
      <c r="I334" s="126">
        <f t="shared" si="15"/>
        <v>1.0278975033940205</v>
      </c>
    </row>
    <row r="335" spans="1:9" s="7" customFormat="1" ht="19.5" customHeight="1">
      <c r="A335" s="66"/>
      <c r="B335" s="55">
        <v>85401</v>
      </c>
      <c r="C335" s="55" t="s">
        <v>62</v>
      </c>
      <c r="D335" s="56">
        <f>SUM(D336:D338)</f>
        <v>6947158</v>
      </c>
      <c r="E335" s="56">
        <f>SUM(E336:E338)</f>
        <v>7300000</v>
      </c>
      <c r="F335" s="56">
        <f>SUM(F336:F338)</f>
        <v>7300000</v>
      </c>
      <c r="G335" s="56"/>
      <c r="H335" s="56"/>
      <c r="I335" s="127">
        <f t="shared" si="15"/>
        <v>1.0507894019396133</v>
      </c>
    </row>
    <row r="336" spans="1:9" s="7" customFormat="1" ht="18.75" customHeight="1">
      <c r="A336" s="66"/>
      <c r="B336" s="66"/>
      <c r="C336" s="68" t="s">
        <v>279</v>
      </c>
      <c r="D336" s="69">
        <v>5489326</v>
      </c>
      <c r="E336" s="69">
        <f aca="true" t="shared" si="17" ref="E336:E378">F336+H336</f>
        <v>5732900</v>
      </c>
      <c r="F336" s="69">
        <v>5732900</v>
      </c>
      <c r="G336" s="69"/>
      <c r="H336" s="69"/>
      <c r="I336" s="133">
        <f t="shared" si="15"/>
        <v>1.0443722963438498</v>
      </c>
    </row>
    <row r="337" spans="1:9" s="7" customFormat="1" ht="18.75" customHeight="1">
      <c r="A337" s="66"/>
      <c r="B337" s="66"/>
      <c r="C337" s="94" t="s">
        <v>43</v>
      </c>
      <c r="D337" s="60">
        <f>399786</f>
        <v>399786</v>
      </c>
      <c r="E337" s="60">
        <f t="shared" si="17"/>
        <v>438100</v>
      </c>
      <c r="F337" s="60">
        <f>438100</f>
        <v>438100</v>
      </c>
      <c r="G337" s="60"/>
      <c r="H337" s="60"/>
      <c r="I337" s="131">
        <f t="shared" si="15"/>
        <v>1.095836272405737</v>
      </c>
    </row>
    <row r="338" spans="1:9" s="7" customFormat="1" ht="18.75" customHeight="1">
      <c r="A338" s="66"/>
      <c r="B338" s="70"/>
      <c r="C338" s="70" t="s">
        <v>44</v>
      </c>
      <c r="D338" s="71">
        <v>1058046</v>
      </c>
      <c r="E338" s="71">
        <f t="shared" si="17"/>
        <v>1129000</v>
      </c>
      <c r="F338" s="71">
        <v>1129000</v>
      </c>
      <c r="G338" s="71"/>
      <c r="H338" s="71"/>
      <c r="I338" s="135">
        <f t="shared" si="15"/>
        <v>1.067061356500568</v>
      </c>
    </row>
    <row r="339" spans="1:9" s="7" customFormat="1" ht="19.5" customHeight="1">
      <c r="A339" s="66"/>
      <c r="B339" s="72">
        <v>85403</v>
      </c>
      <c r="C339" s="72" t="s">
        <v>124</v>
      </c>
      <c r="D339" s="73">
        <f>SUM(D340:D345)</f>
        <v>8043278</v>
      </c>
      <c r="E339" s="73">
        <f>SUM(E340:E345)</f>
        <v>8480000</v>
      </c>
      <c r="F339" s="73">
        <f>SUM(F340:F345)</f>
        <v>8380000</v>
      </c>
      <c r="G339" s="73">
        <f>SUM(G340:G345)</f>
        <v>150000</v>
      </c>
      <c r="H339" s="73">
        <f>SUM(H340:H345)</f>
        <v>100000</v>
      </c>
      <c r="I339" s="136">
        <f t="shared" si="15"/>
        <v>1.0542965194041534</v>
      </c>
    </row>
    <row r="340" spans="1:9" s="7" customFormat="1" ht="18.75" customHeight="1">
      <c r="A340" s="66"/>
      <c r="B340" s="66"/>
      <c r="C340" s="68" t="s">
        <v>279</v>
      </c>
      <c r="D340" s="69">
        <v>5009900</v>
      </c>
      <c r="E340" s="69">
        <f t="shared" si="17"/>
        <v>5480200</v>
      </c>
      <c r="F340" s="69">
        <f>5394500+85700</f>
        <v>5480200</v>
      </c>
      <c r="G340" s="69"/>
      <c r="H340" s="69"/>
      <c r="I340" s="133">
        <f t="shared" si="15"/>
        <v>1.0938741292241363</v>
      </c>
    </row>
    <row r="341" spans="1:9" s="7" customFormat="1" ht="18.75" customHeight="1">
      <c r="A341" s="66"/>
      <c r="B341" s="66"/>
      <c r="C341" s="94" t="s">
        <v>43</v>
      </c>
      <c r="D341" s="60">
        <f>1113500+365698</f>
        <v>1479198</v>
      </c>
      <c r="E341" s="60">
        <f t="shared" si="17"/>
        <v>1279300</v>
      </c>
      <c r="F341" s="60">
        <f>1129300+150000</f>
        <v>1279300</v>
      </c>
      <c r="G341" s="60">
        <v>150000</v>
      </c>
      <c r="H341" s="60"/>
      <c r="I341" s="131">
        <f t="shared" si="15"/>
        <v>0.8648605528130784</v>
      </c>
    </row>
    <row r="342" spans="1:9" s="7" customFormat="1" ht="18.75" customHeight="1">
      <c r="A342" s="66"/>
      <c r="B342" s="66"/>
      <c r="C342" s="76" t="s">
        <v>44</v>
      </c>
      <c r="D342" s="75">
        <v>980780</v>
      </c>
      <c r="E342" s="75">
        <f t="shared" si="17"/>
        <v>1040500</v>
      </c>
      <c r="F342" s="75">
        <f>1023000+15400+2100</f>
        <v>1040500</v>
      </c>
      <c r="G342" s="75"/>
      <c r="H342" s="75"/>
      <c r="I342" s="134">
        <f t="shared" si="15"/>
        <v>1.060890311792655</v>
      </c>
    </row>
    <row r="343" spans="1:9" s="7" customFormat="1" ht="26.25" customHeight="1">
      <c r="A343" s="66"/>
      <c r="B343" s="66"/>
      <c r="C343" s="74" t="s">
        <v>340</v>
      </c>
      <c r="D343" s="75">
        <v>556200</v>
      </c>
      <c r="E343" s="75">
        <f t="shared" si="17"/>
        <v>580000</v>
      </c>
      <c r="F343" s="75">
        <v>580000</v>
      </c>
      <c r="G343" s="75"/>
      <c r="H343" s="75"/>
      <c r="I343" s="134">
        <f t="shared" si="15"/>
        <v>1.0427903631787128</v>
      </c>
    </row>
    <row r="344" spans="1:9" s="7" customFormat="1" ht="18.75" customHeight="1">
      <c r="A344" s="66"/>
      <c r="B344" s="66"/>
      <c r="C344" s="76" t="s">
        <v>242</v>
      </c>
      <c r="D344" s="75">
        <v>17200</v>
      </c>
      <c r="E344" s="75"/>
      <c r="F344" s="75"/>
      <c r="G344" s="75"/>
      <c r="H344" s="75"/>
      <c r="I344" s="134"/>
    </row>
    <row r="345" spans="1:9" s="7" customFormat="1" ht="19.5" customHeight="1">
      <c r="A345" s="66"/>
      <c r="B345" s="70"/>
      <c r="C345" s="70" t="s">
        <v>6</v>
      </c>
      <c r="D345" s="71"/>
      <c r="E345" s="71">
        <f>F345+H345</f>
        <v>100000</v>
      </c>
      <c r="F345" s="71"/>
      <c r="G345" s="71"/>
      <c r="H345" s="71">
        <v>100000</v>
      </c>
      <c r="I345" s="135"/>
    </row>
    <row r="346" spans="1:9" s="43" customFormat="1" ht="29.25" customHeight="1">
      <c r="A346" s="54"/>
      <c r="B346" s="115">
        <v>85406</v>
      </c>
      <c r="C346" s="82" t="s">
        <v>201</v>
      </c>
      <c r="D346" s="73">
        <f>SUM(D347:D349)</f>
        <v>5771847</v>
      </c>
      <c r="E346" s="73">
        <f>SUM(E347:E349)</f>
        <v>6200000</v>
      </c>
      <c r="F346" s="73">
        <f>SUM(F347:F349)</f>
        <v>6200000</v>
      </c>
      <c r="G346" s="73"/>
      <c r="H346" s="73"/>
      <c r="I346" s="136">
        <f t="shared" si="15"/>
        <v>1.0741795477253642</v>
      </c>
    </row>
    <row r="347" spans="1:9" s="7" customFormat="1" ht="18.75" customHeight="1">
      <c r="A347" s="66"/>
      <c r="B347" s="66"/>
      <c r="C347" s="68" t="s">
        <v>279</v>
      </c>
      <c r="D347" s="69">
        <v>4368200</v>
      </c>
      <c r="E347" s="69">
        <f t="shared" si="17"/>
        <v>4697300</v>
      </c>
      <c r="F347" s="69">
        <f>4662800+34500</f>
        <v>4697300</v>
      </c>
      <c r="G347" s="69"/>
      <c r="H347" s="69"/>
      <c r="I347" s="133">
        <f aca="true" t="shared" si="18" ref="I347:I416">E347/D347</f>
        <v>1.0753399569616775</v>
      </c>
    </row>
    <row r="348" spans="1:9" s="7" customFormat="1" ht="18.75" customHeight="1">
      <c r="A348" s="66"/>
      <c r="B348" s="66"/>
      <c r="C348" s="76" t="s">
        <v>43</v>
      </c>
      <c r="D348" s="75">
        <v>582917</v>
      </c>
      <c r="E348" s="75">
        <f t="shared" si="17"/>
        <v>584400</v>
      </c>
      <c r="F348" s="75">
        <v>584400</v>
      </c>
      <c r="G348" s="75"/>
      <c r="H348" s="75"/>
      <c r="I348" s="134">
        <f t="shared" si="18"/>
        <v>1.0025441014758534</v>
      </c>
    </row>
    <row r="349" spans="1:9" s="7" customFormat="1" ht="18.75" customHeight="1">
      <c r="A349" s="66"/>
      <c r="B349" s="70"/>
      <c r="C349" s="80" t="s">
        <v>44</v>
      </c>
      <c r="D349" s="62">
        <v>820730</v>
      </c>
      <c r="E349" s="62">
        <f t="shared" si="17"/>
        <v>918300</v>
      </c>
      <c r="F349" s="62">
        <f>911300+6200+800</f>
        <v>918300</v>
      </c>
      <c r="G349" s="62"/>
      <c r="H349" s="62"/>
      <c r="I349" s="138">
        <f t="shared" si="18"/>
        <v>1.11888197092832</v>
      </c>
    </row>
    <row r="350" spans="1:9" s="43" customFormat="1" ht="19.5" customHeight="1">
      <c r="A350" s="54"/>
      <c r="B350" s="72">
        <v>85407</v>
      </c>
      <c r="C350" s="72" t="s">
        <v>64</v>
      </c>
      <c r="D350" s="73">
        <f>SUM(D351:D353)</f>
        <v>2419000</v>
      </c>
      <c r="E350" s="73">
        <f>SUM(E351:E353)</f>
        <v>2600000</v>
      </c>
      <c r="F350" s="73">
        <f>SUM(F351:F353)</f>
        <v>2600000</v>
      </c>
      <c r="G350" s="73">
        <f>SUM(G351:G353)</f>
        <v>50000</v>
      </c>
      <c r="H350" s="73"/>
      <c r="I350" s="136">
        <f t="shared" si="18"/>
        <v>1.0748243075651096</v>
      </c>
    </row>
    <row r="351" spans="1:9" s="7" customFormat="1" ht="18.75" customHeight="1">
      <c r="A351" s="66"/>
      <c r="B351" s="66"/>
      <c r="C351" s="68" t="s">
        <v>279</v>
      </c>
      <c r="D351" s="69">
        <v>1747281</v>
      </c>
      <c r="E351" s="69">
        <f t="shared" si="17"/>
        <v>1866200</v>
      </c>
      <c r="F351" s="69">
        <f>1825700+40500</f>
        <v>1866200</v>
      </c>
      <c r="G351" s="69"/>
      <c r="H351" s="69"/>
      <c r="I351" s="133">
        <f t="shared" si="18"/>
        <v>1.0680594592398132</v>
      </c>
    </row>
    <row r="352" spans="1:9" s="7" customFormat="1" ht="18.75" customHeight="1">
      <c r="A352" s="66"/>
      <c r="B352" s="66"/>
      <c r="C352" s="94" t="s">
        <v>43</v>
      </c>
      <c r="D352" s="60">
        <f>328519+5000</f>
        <v>333519</v>
      </c>
      <c r="E352" s="60">
        <f t="shared" si="17"/>
        <v>380700</v>
      </c>
      <c r="F352" s="60">
        <f>330700+50000</f>
        <v>380700</v>
      </c>
      <c r="G352" s="60">
        <v>50000</v>
      </c>
      <c r="H352" s="60"/>
      <c r="I352" s="131">
        <f t="shared" si="18"/>
        <v>1.141464204438128</v>
      </c>
    </row>
    <row r="353" spans="1:9" s="7" customFormat="1" ht="18.75" customHeight="1">
      <c r="A353" s="66"/>
      <c r="B353" s="66"/>
      <c r="C353" s="165" t="s">
        <v>44</v>
      </c>
      <c r="D353" s="163">
        <v>338200</v>
      </c>
      <c r="E353" s="163">
        <f t="shared" si="17"/>
        <v>353100</v>
      </c>
      <c r="F353" s="163">
        <f>345000+7200+900</f>
        <v>353100</v>
      </c>
      <c r="G353" s="163"/>
      <c r="H353" s="163"/>
      <c r="I353" s="154">
        <f t="shared" si="18"/>
        <v>1.0440567711413364</v>
      </c>
    </row>
    <row r="354" spans="1:9" s="7" customFormat="1" ht="18.75" customHeight="1">
      <c r="A354" s="166"/>
      <c r="B354" s="166"/>
      <c r="C354" s="166"/>
      <c r="D354" s="167"/>
      <c r="E354" s="167"/>
      <c r="F354" s="167"/>
      <c r="G354" s="167"/>
      <c r="H354" s="167"/>
      <c r="I354" s="168"/>
    </row>
    <row r="355" spans="1:9" s="7" customFormat="1" ht="18.75" customHeight="1">
      <c r="A355" s="179"/>
      <c r="B355" s="179"/>
      <c r="C355" s="179"/>
      <c r="D355" s="180"/>
      <c r="E355" s="180"/>
      <c r="F355" s="180"/>
      <c r="G355" s="180"/>
      <c r="H355" s="180"/>
      <c r="I355" s="181"/>
    </row>
    <row r="356" spans="1:9" s="43" customFormat="1" ht="19.5" customHeight="1">
      <c r="A356" s="54"/>
      <c r="B356" s="72">
        <v>85410</v>
      </c>
      <c r="C356" s="72" t="s">
        <v>65</v>
      </c>
      <c r="D356" s="73">
        <f>SUM(D357:D360)</f>
        <v>6923225</v>
      </c>
      <c r="E356" s="73">
        <f>SUM(E357:E360)</f>
        <v>7351200</v>
      </c>
      <c r="F356" s="73">
        <f>SUM(F357:F360)</f>
        <v>7351200</v>
      </c>
      <c r="G356" s="73">
        <f>SUM(G357:G360)</f>
        <v>200000</v>
      </c>
      <c r="H356" s="73"/>
      <c r="I356" s="136">
        <f t="shared" si="18"/>
        <v>1.0618172889079873</v>
      </c>
    </row>
    <row r="357" spans="1:9" s="7" customFormat="1" ht="19.5" customHeight="1">
      <c r="A357" s="66"/>
      <c r="B357" s="66"/>
      <c r="C357" s="68" t="s">
        <v>279</v>
      </c>
      <c r="D357" s="69">
        <v>4022800</v>
      </c>
      <c r="E357" s="69">
        <f t="shared" si="17"/>
        <v>4304400</v>
      </c>
      <c r="F357" s="69">
        <f>4175100+129300</f>
        <v>4304400</v>
      </c>
      <c r="G357" s="69"/>
      <c r="H357" s="69"/>
      <c r="I357" s="133">
        <f t="shared" si="18"/>
        <v>1.0700009943323059</v>
      </c>
    </row>
    <row r="358" spans="1:9" s="7" customFormat="1" ht="19.5" customHeight="1">
      <c r="A358" s="66"/>
      <c r="B358" s="66"/>
      <c r="C358" s="76" t="s">
        <v>43</v>
      </c>
      <c r="D358" s="75">
        <f>1340000+193317</f>
        <v>1533317</v>
      </c>
      <c r="E358" s="75">
        <f t="shared" si="17"/>
        <v>1600500</v>
      </c>
      <c r="F358" s="75">
        <f>1400500+200000</f>
        <v>1600500</v>
      </c>
      <c r="G358" s="75">
        <v>200000</v>
      </c>
      <c r="H358" s="75"/>
      <c r="I358" s="134">
        <f t="shared" si="18"/>
        <v>1.0438154667299717</v>
      </c>
    </row>
    <row r="359" spans="1:9" s="7" customFormat="1" ht="19.5" customHeight="1">
      <c r="A359" s="66"/>
      <c r="B359" s="66"/>
      <c r="C359" s="94" t="s">
        <v>44</v>
      </c>
      <c r="D359" s="60">
        <v>783800</v>
      </c>
      <c r="E359" s="60">
        <f t="shared" si="17"/>
        <v>856300</v>
      </c>
      <c r="F359" s="60">
        <f>830000+23200+3100</f>
        <v>856300</v>
      </c>
      <c r="G359" s="60"/>
      <c r="H359" s="60"/>
      <c r="I359" s="131">
        <f t="shared" si="18"/>
        <v>1.0924980862464915</v>
      </c>
    </row>
    <row r="360" spans="1:9" s="7" customFormat="1" ht="19.5" customHeight="1">
      <c r="A360" s="66"/>
      <c r="B360" s="70"/>
      <c r="C360" s="80" t="s">
        <v>165</v>
      </c>
      <c r="D360" s="62">
        <v>583308</v>
      </c>
      <c r="E360" s="62">
        <f t="shared" si="17"/>
        <v>590000</v>
      </c>
      <c r="F360" s="62">
        <v>590000</v>
      </c>
      <c r="G360" s="62"/>
      <c r="H360" s="62"/>
      <c r="I360" s="138">
        <f t="shared" si="18"/>
        <v>1.011472498234209</v>
      </c>
    </row>
    <row r="361" spans="1:9" s="43" customFormat="1" ht="29.25" customHeight="1">
      <c r="A361" s="54"/>
      <c r="B361" s="81">
        <v>85412</v>
      </c>
      <c r="C361" s="82" t="s">
        <v>232</v>
      </c>
      <c r="D361" s="73">
        <f>D362</f>
        <v>150000</v>
      </c>
      <c r="E361" s="73">
        <f>SUM(E362:E362)</f>
        <v>150000</v>
      </c>
      <c r="F361" s="73">
        <f>SUM(F362:F362)</f>
        <v>150000</v>
      </c>
      <c r="G361" s="73"/>
      <c r="H361" s="73"/>
      <c r="I361" s="136">
        <f t="shared" si="18"/>
        <v>1</v>
      </c>
    </row>
    <row r="362" spans="1:9" s="7" customFormat="1" ht="27.75" customHeight="1">
      <c r="A362" s="66"/>
      <c r="B362" s="84"/>
      <c r="C362" s="85" t="s">
        <v>277</v>
      </c>
      <c r="D362" s="86">
        <v>150000</v>
      </c>
      <c r="E362" s="86">
        <f t="shared" si="17"/>
        <v>150000</v>
      </c>
      <c r="F362" s="86">
        <v>150000</v>
      </c>
      <c r="G362" s="86"/>
      <c r="H362" s="86"/>
      <c r="I362" s="128">
        <f t="shared" si="18"/>
        <v>1</v>
      </c>
    </row>
    <row r="363" spans="1:9" s="43" customFormat="1" ht="19.5" customHeight="1">
      <c r="A363" s="54"/>
      <c r="B363" s="72">
        <v>85415</v>
      </c>
      <c r="C363" s="72" t="s">
        <v>125</v>
      </c>
      <c r="D363" s="73">
        <f>SUM(D364:D367)</f>
        <v>1814787</v>
      </c>
      <c r="E363" s="73">
        <f>SUM(E364:E366)</f>
        <v>454000</v>
      </c>
      <c r="F363" s="73">
        <f>SUM(F364:F366)</f>
        <v>454000</v>
      </c>
      <c r="G363" s="73"/>
      <c r="H363" s="73"/>
      <c r="I363" s="136">
        <f t="shared" si="18"/>
        <v>0.2501670994998311</v>
      </c>
    </row>
    <row r="364" spans="1:9" s="7" customFormat="1" ht="18.75" customHeight="1">
      <c r="A364" s="66"/>
      <c r="B364" s="66"/>
      <c r="C364" s="74" t="s">
        <v>138</v>
      </c>
      <c r="D364" s="75">
        <v>392674</v>
      </c>
      <c r="E364" s="75">
        <f t="shared" si="17"/>
        <v>454000</v>
      </c>
      <c r="F364" s="75">
        <v>454000</v>
      </c>
      <c r="G364" s="75"/>
      <c r="H364" s="75"/>
      <c r="I364" s="134">
        <f t="shared" si="18"/>
        <v>1.1561753515638926</v>
      </c>
    </row>
    <row r="365" spans="1:9" s="7" customFormat="1" ht="18.75" customHeight="1">
      <c r="A365" s="66"/>
      <c r="B365" s="66"/>
      <c r="C365" s="74" t="s">
        <v>208</v>
      </c>
      <c r="D365" s="75">
        <v>200401</v>
      </c>
      <c r="E365" s="75"/>
      <c r="F365" s="75"/>
      <c r="G365" s="75"/>
      <c r="H365" s="75"/>
      <c r="I365" s="134"/>
    </row>
    <row r="366" spans="1:9" s="7" customFormat="1" ht="27.75" customHeight="1">
      <c r="A366" s="66"/>
      <c r="B366" s="66"/>
      <c r="C366" s="59" t="s">
        <v>309</v>
      </c>
      <c r="D366" s="60">
        <v>1215212</v>
      </c>
      <c r="E366" s="60"/>
      <c r="F366" s="60"/>
      <c r="G366" s="60"/>
      <c r="H366" s="60"/>
      <c r="I366" s="131"/>
    </row>
    <row r="367" spans="1:9" s="7" customFormat="1" ht="28.5" customHeight="1">
      <c r="A367" s="79"/>
      <c r="B367" s="70"/>
      <c r="C367" s="61" t="s">
        <v>310</v>
      </c>
      <c r="D367" s="62">
        <v>6500</v>
      </c>
      <c r="E367" s="62"/>
      <c r="F367" s="62"/>
      <c r="G367" s="62"/>
      <c r="H367" s="62"/>
      <c r="I367" s="138"/>
    </row>
    <row r="368" spans="1:9" s="43" customFormat="1" ht="19.5" customHeight="1">
      <c r="A368" s="54"/>
      <c r="B368" s="72">
        <v>85417</v>
      </c>
      <c r="C368" s="72" t="s">
        <v>144</v>
      </c>
      <c r="D368" s="73">
        <f>SUM(D369:D371)</f>
        <v>260200</v>
      </c>
      <c r="E368" s="73">
        <f>SUM(E369:E371)</f>
        <v>282000</v>
      </c>
      <c r="F368" s="73">
        <f>SUM(F369:F371)</f>
        <v>282000</v>
      </c>
      <c r="G368" s="73">
        <f>SUM(G369:G371)</f>
        <v>10000</v>
      </c>
      <c r="H368" s="73"/>
      <c r="I368" s="136">
        <f t="shared" si="18"/>
        <v>1.083781706379708</v>
      </c>
    </row>
    <row r="369" spans="1:9" s="7" customFormat="1" ht="18.75" customHeight="1">
      <c r="A369" s="66"/>
      <c r="B369" s="66"/>
      <c r="C369" s="68" t="s">
        <v>279</v>
      </c>
      <c r="D369" s="69">
        <v>163300</v>
      </c>
      <c r="E369" s="69">
        <f t="shared" si="17"/>
        <v>171500</v>
      </c>
      <c r="F369" s="69">
        <f>160700+10800</f>
        <v>171500</v>
      </c>
      <c r="G369" s="69"/>
      <c r="H369" s="69"/>
      <c r="I369" s="133">
        <f t="shared" si="18"/>
        <v>1.0502143294549908</v>
      </c>
    </row>
    <row r="370" spans="1:9" s="7" customFormat="1" ht="18.75" customHeight="1">
      <c r="A370" s="66"/>
      <c r="B370" s="66"/>
      <c r="C370" s="76" t="s">
        <v>43</v>
      </c>
      <c r="D370" s="75">
        <v>62000</v>
      </c>
      <c r="E370" s="75">
        <f t="shared" si="17"/>
        <v>76100</v>
      </c>
      <c r="F370" s="75">
        <f>66100+10000</f>
        <v>76100</v>
      </c>
      <c r="G370" s="75">
        <v>10000</v>
      </c>
      <c r="H370" s="75"/>
      <c r="I370" s="134">
        <f t="shared" si="18"/>
        <v>1.2274193548387098</v>
      </c>
    </row>
    <row r="371" spans="1:9" s="7" customFormat="1" ht="18.75" customHeight="1">
      <c r="A371" s="66"/>
      <c r="B371" s="70"/>
      <c r="C371" s="70" t="s">
        <v>44</v>
      </c>
      <c r="D371" s="71">
        <v>34900</v>
      </c>
      <c r="E371" s="71">
        <f t="shared" si="17"/>
        <v>34400</v>
      </c>
      <c r="F371" s="71">
        <f>32200+2000+200</f>
        <v>34400</v>
      </c>
      <c r="G371" s="71"/>
      <c r="H371" s="71"/>
      <c r="I371" s="135">
        <f t="shared" si="18"/>
        <v>0.9856733524355301</v>
      </c>
    </row>
    <row r="372" spans="1:9" s="43" customFormat="1" ht="19.5" customHeight="1">
      <c r="A372" s="54"/>
      <c r="B372" s="72">
        <v>85421</v>
      </c>
      <c r="C372" s="72" t="s">
        <v>202</v>
      </c>
      <c r="D372" s="73">
        <f>SUM(D373:D375)</f>
        <v>521370</v>
      </c>
      <c r="E372" s="73">
        <f>SUM(E373:E375)</f>
        <v>570000</v>
      </c>
      <c r="F372" s="73">
        <f>SUM(F373:F375)</f>
        <v>570000</v>
      </c>
      <c r="G372" s="73">
        <f>SUM(G373:G375)</f>
        <v>15000</v>
      </c>
      <c r="H372" s="73"/>
      <c r="I372" s="136">
        <f t="shared" si="18"/>
        <v>1.093273490994879</v>
      </c>
    </row>
    <row r="373" spans="1:9" s="7" customFormat="1" ht="18.75" customHeight="1">
      <c r="A373" s="66"/>
      <c r="B373" s="66"/>
      <c r="C373" s="68" t="s">
        <v>279</v>
      </c>
      <c r="D373" s="69">
        <v>391600</v>
      </c>
      <c r="E373" s="69">
        <f t="shared" si="17"/>
        <v>417500</v>
      </c>
      <c r="F373" s="69">
        <f>412100+5400</f>
        <v>417500</v>
      </c>
      <c r="G373" s="69"/>
      <c r="H373" s="69"/>
      <c r="I373" s="133">
        <f t="shared" si="18"/>
        <v>1.0661389172625129</v>
      </c>
    </row>
    <row r="374" spans="1:9" s="7" customFormat="1" ht="18.75" customHeight="1">
      <c r="A374" s="66"/>
      <c r="B374" s="66"/>
      <c r="C374" s="76" t="s">
        <v>43</v>
      </c>
      <c r="D374" s="75">
        <v>54370</v>
      </c>
      <c r="E374" s="75">
        <f t="shared" si="17"/>
        <v>69800</v>
      </c>
      <c r="F374" s="75">
        <f>54800+15000</f>
        <v>69800</v>
      </c>
      <c r="G374" s="75">
        <v>15000</v>
      </c>
      <c r="H374" s="75"/>
      <c r="I374" s="134">
        <f t="shared" si="18"/>
        <v>1.2837962111458525</v>
      </c>
    </row>
    <row r="375" spans="1:9" s="7" customFormat="1" ht="18.75" customHeight="1">
      <c r="A375" s="66"/>
      <c r="B375" s="70"/>
      <c r="C375" s="70" t="s">
        <v>44</v>
      </c>
      <c r="D375" s="71">
        <v>75400</v>
      </c>
      <c r="E375" s="71">
        <f t="shared" si="17"/>
        <v>82700</v>
      </c>
      <c r="F375" s="71">
        <f>81600+1000+100</f>
        <v>82700</v>
      </c>
      <c r="G375" s="71"/>
      <c r="H375" s="71"/>
      <c r="I375" s="135">
        <f t="shared" si="18"/>
        <v>1.096816976127321</v>
      </c>
    </row>
    <row r="376" spans="1:9" s="43" customFormat="1" ht="19.5" customHeight="1">
      <c r="A376" s="54"/>
      <c r="B376" s="72">
        <v>85446</v>
      </c>
      <c r="C376" s="72" t="s">
        <v>177</v>
      </c>
      <c r="D376" s="73">
        <f>D377</f>
        <v>150000</v>
      </c>
      <c r="E376" s="73">
        <f>E377</f>
        <v>178000</v>
      </c>
      <c r="F376" s="73">
        <f>F377</f>
        <v>178000</v>
      </c>
      <c r="G376" s="73"/>
      <c r="H376" s="73"/>
      <c r="I376" s="136">
        <f t="shared" si="18"/>
        <v>1.1866666666666668</v>
      </c>
    </row>
    <row r="377" spans="1:9" s="7" customFormat="1" ht="18.75" customHeight="1">
      <c r="A377" s="66"/>
      <c r="B377" s="67"/>
      <c r="C377" s="87" t="s">
        <v>178</v>
      </c>
      <c r="D377" s="69">
        <v>150000</v>
      </c>
      <c r="E377" s="69">
        <f t="shared" si="17"/>
        <v>178000</v>
      </c>
      <c r="F377" s="69">
        <v>178000</v>
      </c>
      <c r="G377" s="69"/>
      <c r="H377" s="69"/>
      <c r="I377" s="133">
        <f t="shared" si="18"/>
        <v>1.1866666666666668</v>
      </c>
    </row>
    <row r="378" spans="1:9" s="44" customFormat="1" ht="18" customHeight="1">
      <c r="A378" s="58"/>
      <c r="B378" s="205"/>
      <c r="C378" s="209" t="s">
        <v>283</v>
      </c>
      <c r="D378" s="210">
        <f>49248+11800</f>
        <v>61048</v>
      </c>
      <c r="E378" s="210">
        <f t="shared" si="17"/>
        <v>71200</v>
      </c>
      <c r="F378" s="210">
        <f>F377*40%</f>
        <v>71200</v>
      </c>
      <c r="G378" s="210"/>
      <c r="H378" s="210"/>
      <c r="I378" s="211">
        <f t="shared" si="18"/>
        <v>1.1662953741318307</v>
      </c>
    </row>
    <row r="379" spans="1:9" s="43" customFormat="1" ht="19.5" customHeight="1">
      <c r="A379" s="54"/>
      <c r="B379" s="72">
        <v>85495</v>
      </c>
      <c r="C379" s="72" t="s">
        <v>4</v>
      </c>
      <c r="D379" s="73">
        <f>D380+D385+D386+D387</f>
        <v>6073147</v>
      </c>
      <c r="E379" s="73">
        <f>E380+E385+E386+E387</f>
        <v>6599800</v>
      </c>
      <c r="F379" s="73">
        <f>F380+F385+F386+F387</f>
        <v>6599800</v>
      </c>
      <c r="G379" s="73"/>
      <c r="H379" s="73"/>
      <c r="I379" s="136">
        <f t="shared" si="18"/>
        <v>1.0867183027185081</v>
      </c>
    </row>
    <row r="380" spans="1:9" s="7" customFormat="1" ht="19.5" customHeight="1">
      <c r="A380" s="66"/>
      <c r="B380" s="66"/>
      <c r="C380" s="159" t="s">
        <v>352</v>
      </c>
      <c r="D380" s="156">
        <f>SUM(D381:D384)</f>
        <v>5873897</v>
      </c>
      <c r="E380" s="156">
        <f>SUM(E381:E384)</f>
        <v>6352800</v>
      </c>
      <c r="F380" s="156">
        <f>SUM(F381:F384)</f>
        <v>6352800</v>
      </c>
      <c r="G380" s="156"/>
      <c r="H380" s="156"/>
      <c r="I380" s="157">
        <f t="shared" si="18"/>
        <v>1.0815307112126753</v>
      </c>
    </row>
    <row r="381" spans="1:9" s="7" customFormat="1" ht="18.75" customHeight="1">
      <c r="A381" s="66"/>
      <c r="B381" s="66"/>
      <c r="C381" s="160" t="s">
        <v>279</v>
      </c>
      <c r="D381" s="161">
        <v>3728438</v>
      </c>
      <c r="E381" s="161">
        <f aca="true" t="shared" si="19" ref="E381:E389">F381+H381</f>
        <v>4131100</v>
      </c>
      <c r="F381" s="161">
        <f>3745200+385900</f>
        <v>4131100</v>
      </c>
      <c r="G381" s="161"/>
      <c r="H381" s="161"/>
      <c r="I381" s="162">
        <f t="shared" si="18"/>
        <v>1.1079975045850299</v>
      </c>
    </row>
    <row r="382" spans="1:9" s="7" customFormat="1" ht="18.75" customHeight="1">
      <c r="A382" s="66"/>
      <c r="B382" s="66"/>
      <c r="C382" s="76" t="s">
        <v>43</v>
      </c>
      <c r="D382" s="75">
        <v>1408469</v>
      </c>
      <c r="E382" s="75">
        <f t="shared" si="19"/>
        <v>1417400</v>
      </c>
      <c r="F382" s="75">
        <v>1417400</v>
      </c>
      <c r="G382" s="75"/>
      <c r="H382" s="75"/>
      <c r="I382" s="134">
        <f t="shared" si="18"/>
        <v>1.00634092763135</v>
      </c>
    </row>
    <row r="383" spans="1:9" s="7" customFormat="1" ht="18.75" customHeight="1">
      <c r="A383" s="66"/>
      <c r="B383" s="66"/>
      <c r="C383" s="76" t="s">
        <v>44</v>
      </c>
      <c r="D383" s="75">
        <v>711790</v>
      </c>
      <c r="E383" s="75">
        <f t="shared" si="19"/>
        <v>804300</v>
      </c>
      <c r="F383" s="75">
        <f>725800+69000+9500</f>
        <v>804300</v>
      </c>
      <c r="G383" s="75"/>
      <c r="H383" s="75"/>
      <c r="I383" s="134">
        <f t="shared" si="18"/>
        <v>1.1299681085713482</v>
      </c>
    </row>
    <row r="384" spans="1:9" s="7" customFormat="1" ht="18.75" customHeight="1">
      <c r="A384" s="66"/>
      <c r="B384" s="66"/>
      <c r="C384" s="165" t="s">
        <v>6</v>
      </c>
      <c r="D384" s="163">
        <v>25200</v>
      </c>
      <c r="E384" s="163"/>
      <c r="F384" s="163"/>
      <c r="G384" s="163"/>
      <c r="H384" s="163"/>
      <c r="I384" s="154"/>
    </row>
    <row r="385" spans="1:9" s="7" customFormat="1" ht="18.75" customHeight="1">
      <c r="A385" s="70"/>
      <c r="B385" s="70"/>
      <c r="C385" s="61" t="s">
        <v>121</v>
      </c>
      <c r="D385" s="62">
        <v>2000</v>
      </c>
      <c r="E385" s="62">
        <f t="shared" si="19"/>
        <v>2000</v>
      </c>
      <c r="F385" s="62">
        <v>2000</v>
      </c>
      <c r="G385" s="62"/>
      <c r="H385" s="62"/>
      <c r="I385" s="138">
        <f t="shared" si="18"/>
        <v>1</v>
      </c>
    </row>
    <row r="386" spans="1:9" s="7" customFormat="1" ht="18.75" customHeight="1">
      <c r="A386" s="66"/>
      <c r="B386" s="66"/>
      <c r="C386" s="184" t="s">
        <v>112</v>
      </c>
      <c r="D386" s="185">
        <v>5000</v>
      </c>
      <c r="E386" s="185">
        <f t="shared" si="19"/>
        <v>5000</v>
      </c>
      <c r="F386" s="185">
        <v>5000</v>
      </c>
      <c r="G386" s="185"/>
      <c r="H386" s="185"/>
      <c r="I386" s="186">
        <f t="shared" si="18"/>
        <v>1</v>
      </c>
    </row>
    <row r="387" spans="1:9" s="7" customFormat="1" ht="27.75" customHeight="1">
      <c r="A387" s="66"/>
      <c r="B387" s="70"/>
      <c r="C387" s="83" t="s">
        <v>231</v>
      </c>
      <c r="D387" s="71">
        <v>192250</v>
      </c>
      <c r="E387" s="71">
        <f t="shared" si="19"/>
        <v>240000</v>
      </c>
      <c r="F387" s="71">
        <v>240000</v>
      </c>
      <c r="G387" s="71"/>
      <c r="H387" s="71"/>
      <c r="I387" s="135">
        <f t="shared" si="18"/>
        <v>1.2483745123537062</v>
      </c>
    </row>
    <row r="388" spans="1:9" s="43" customFormat="1" ht="19.5" customHeight="1">
      <c r="A388" s="54"/>
      <c r="B388" s="72">
        <v>85497</v>
      </c>
      <c r="C388" s="72" t="s">
        <v>66</v>
      </c>
      <c r="D388" s="73">
        <f>D389</f>
        <v>33000</v>
      </c>
      <c r="E388" s="73">
        <f>SUM(E389:E389)</f>
        <v>33000</v>
      </c>
      <c r="F388" s="73">
        <f>SUM(F389:F389)</f>
        <v>33000</v>
      </c>
      <c r="G388" s="73"/>
      <c r="H388" s="73"/>
      <c r="I388" s="136">
        <f t="shared" si="18"/>
        <v>1</v>
      </c>
    </row>
    <row r="389" spans="1:9" s="7" customFormat="1" ht="27.75" customHeight="1">
      <c r="A389" s="70"/>
      <c r="B389" s="70"/>
      <c r="C389" s="85" t="s">
        <v>120</v>
      </c>
      <c r="D389" s="86">
        <v>33000</v>
      </c>
      <c r="E389" s="86">
        <f t="shared" si="19"/>
        <v>33000</v>
      </c>
      <c r="F389" s="86">
        <v>33000</v>
      </c>
      <c r="G389" s="86"/>
      <c r="H389" s="86"/>
      <c r="I389" s="128">
        <f t="shared" si="18"/>
        <v>1</v>
      </c>
    </row>
    <row r="390" spans="1:9" s="7" customFormat="1" ht="19.5" customHeight="1">
      <c r="A390" s="51">
        <v>900</v>
      </c>
      <c r="B390" s="51"/>
      <c r="C390" s="51" t="s">
        <v>67</v>
      </c>
      <c r="D390" s="52">
        <f>D391+D405+D412+D418+D420+D424+D400</f>
        <v>44481566</v>
      </c>
      <c r="E390" s="52">
        <f>E391+E405+E412+E418+E420+E424+E400</f>
        <v>59122000</v>
      </c>
      <c r="F390" s="52">
        <f>F391+F405+F412+F418+F420+F424+F400</f>
        <v>27414000</v>
      </c>
      <c r="G390" s="52">
        <f>G391+G405+G412+G418+G420+G424+G400</f>
        <v>300000</v>
      </c>
      <c r="H390" s="52">
        <f>H391+H405+H412+H418+H420+H424+H400</f>
        <v>31708000</v>
      </c>
      <c r="I390" s="126">
        <f t="shared" si="18"/>
        <v>1.3291348600451702</v>
      </c>
    </row>
    <row r="391" spans="1:9" s="43" customFormat="1" ht="19.5" customHeight="1">
      <c r="A391" s="54"/>
      <c r="B391" s="55">
        <v>90001</v>
      </c>
      <c r="C391" s="55" t="s">
        <v>68</v>
      </c>
      <c r="D391" s="56">
        <f>SUM(D392:D399)</f>
        <v>5478097</v>
      </c>
      <c r="E391" s="56">
        <f>SUM(E392:E399)</f>
        <v>11042000</v>
      </c>
      <c r="F391" s="56">
        <f>SUM(F392:F399)</f>
        <v>2517000</v>
      </c>
      <c r="G391" s="56">
        <f>SUM(G392:G399)</f>
        <v>250000</v>
      </c>
      <c r="H391" s="56">
        <f>SUM(H392:H399)</f>
        <v>8525000</v>
      </c>
      <c r="I391" s="127">
        <f t="shared" si="18"/>
        <v>2.0156634685366104</v>
      </c>
    </row>
    <row r="392" spans="1:9" s="7" customFormat="1" ht="18.75" customHeight="1">
      <c r="A392" s="66"/>
      <c r="B392" s="66"/>
      <c r="C392" s="87" t="s">
        <v>102</v>
      </c>
      <c r="D392" s="69">
        <v>1750000</v>
      </c>
      <c r="E392" s="69">
        <f aca="true" t="shared" si="20" ref="E392:E428">F392+H392</f>
        <v>1800000</v>
      </c>
      <c r="F392" s="69">
        <v>1800000</v>
      </c>
      <c r="G392" s="69">
        <v>150000</v>
      </c>
      <c r="H392" s="69"/>
      <c r="I392" s="133">
        <f t="shared" si="18"/>
        <v>1.0285714285714285</v>
      </c>
    </row>
    <row r="393" spans="1:9" s="45" customFormat="1" ht="27.75" customHeight="1">
      <c r="A393" s="66"/>
      <c r="B393" s="66"/>
      <c r="C393" s="74" t="s">
        <v>180</v>
      </c>
      <c r="D393" s="75">
        <v>209000</v>
      </c>
      <c r="E393" s="75">
        <f t="shared" si="20"/>
        <v>210000</v>
      </c>
      <c r="F393" s="75">
        <v>210000</v>
      </c>
      <c r="G393" s="75"/>
      <c r="H393" s="75"/>
      <c r="I393" s="134">
        <f t="shared" si="18"/>
        <v>1.0047846889952152</v>
      </c>
    </row>
    <row r="394" spans="1:9" s="7" customFormat="1" ht="18.75" customHeight="1">
      <c r="A394" s="66"/>
      <c r="B394" s="66"/>
      <c r="C394" s="76" t="s">
        <v>194</v>
      </c>
      <c r="D394" s="75">
        <v>60000</v>
      </c>
      <c r="E394" s="75">
        <f t="shared" si="20"/>
        <v>62000</v>
      </c>
      <c r="F394" s="75">
        <v>62000</v>
      </c>
      <c r="G394" s="75"/>
      <c r="H394" s="75"/>
      <c r="I394" s="134">
        <f t="shared" si="18"/>
        <v>1.0333333333333334</v>
      </c>
    </row>
    <row r="395" spans="1:9" s="7" customFormat="1" ht="18.75" customHeight="1">
      <c r="A395" s="66"/>
      <c r="B395" s="66"/>
      <c r="C395" s="76" t="s">
        <v>103</v>
      </c>
      <c r="D395" s="75">
        <v>150000</v>
      </c>
      <c r="E395" s="75">
        <f t="shared" si="20"/>
        <v>160000</v>
      </c>
      <c r="F395" s="75">
        <v>160000</v>
      </c>
      <c r="G395" s="75"/>
      <c r="H395" s="75"/>
      <c r="I395" s="134">
        <f t="shared" si="18"/>
        <v>1.0666666666666667</v>
      </c>
    </row>
    <row r="396" spans="1:9" s="45" customFormat="1" ht="18.75" customHeight="1">
      <c r="A396" s="66"/>
      <c r="B396" s="66"/>
      <c r="C396" s="76" t="s">
        <v>205</v>
      </c>
      <c r="D396" s="75">
        <v>120000</v>
      </c>
      <c r="E396" s="75">
        <f t="shared" si="20"/>
        <v>190000</v>
      </c>
      <c r="F396" s="75">
        <v>190000</v>
      </c>
      <c r="G396" s="75">
        <v>100000</v>
      </c>
      <c r="H396" s="75"/>
      <c r="I396" s="134">
        <f t="shared" si="18"/>
        <v>1.5833333333333333</v>
      </c>
    </row>
    <row r="397" spans="1:9" s="7" customFormat="1" ht="18.75" customHeight="1">
      <c r="A397" s="66"/>
      <c r="B397" s="66"/>
      <c r="C397" s="76" t="s">
        <v>184</v>
      </c>
      <c r="D397" s="75">
        <v>71000</v>
      </c>
      <c r="E397" s="75">
        <f t="shared" si="20"/>
        <v>75000</v>
      </c>
      <c r="F397" s="75">
        <v>75000</v>
      </c>
      <c r="G397" s="75"/>
      <c r="H397" s="75"/>
      <c r="I397" s="134">
        <f t="shared" si="18"/>
        <v>1.056338028169014</v>
      </c>
    </row>
    <row r="398" spans="1:9" s="45" customFormat="1" ht="18.75" customHeight="1">
      <c r="A398" s="66"/>
      <c r="B398" s="66"/>
      <c r="C398" s="76" t="s">
        <v>240</v>
      </c>
      <c r="D398" s="75">
        <v>20000</v>
      </c>
      <c r="E398" s="75">
        <f t="shared" si="20"/>
        <v>20000</v>
      </c>
      <c r="F398" s="75">
        <v>20000</v>
      </c>
      <c r="G398" s="75"/>
      <c r="H398" s="75"/>
      <c r="I398" s="134">
        <f t="shared" si="18"/>
        <v>1</v>
      </c>
    </row>
    <row r="399" spans="1:9" s="7" customFormat="1" ht="18.75" customHeight="1">
      <c r="A399" s="66"/>
      <c r="B399" s="70"/>
      <c r="C399" s="70" t="s">
        <v>6</v>
      </c>
      <c r="D399" s="71">
        <v>3098097</v>
      </c>
      <c r="E399" s="71">
        <f t="shared" si="20"/>
        <v>8525000</v>
      </c>
      <c r="F399" s="71"/>
      <c r="G399" s="71"/>
      <c r="H399" s="71">
        <v>8525000</v>
      </c>
      <c r="I399" s="135">
        <f t="shared" si="18"/>
        <v>2.7516891821011416</v>
      </c>
    </row>
    <row r="400" spans="1:9" s="43" customFormat="1" ht="19.5" customHeight="1">
      <c r="A400" s="54"/>
      <c r="B400" s="72">
        <v>90002</v>
      </c>
      <c r="C400" s="72" t="s">
        <v>228</v>
      </c>
      <c r="D400" s="73">
        <f>SUM(D401:D404)</f>
        <v>8092470</v>
      </c>
      <c r="E400" s="73">
        <f>SUM(E401:E404)</f>
        <v>14237000</v>
      </c>
      <c r="F400" s="73">
        <f>SUM(F401:F404)</f>
        <v>5400000</v>
      </c>
      <c r="G400" s="73"/>
      <c r="H400" s="73">
        <f>SUM(H401:H404)</f>
        <v>8837000</v>
      </c>
      <c r="I400" s="136">
        <f t="shared" si="18"/>
        <v>1.7592898089211328</v>
      </c>
    </row>
    <row r="401" spans="1:9" s="7" customFormat="1" ht="18.75" customHeight="1">
      <c r="A401" s="66"/>
      <c r="B401" s="66"/>
      <c r="C401" s="76" t="s">
        <v>104</v>
      </c>
      <c r="D401" s="75">
        <v>3934470</v>
      </c>
      <c r="E401" s="75">
        <f t="shared" si="20"/>
        <v>4000000</v>
      </c>
      <c r="F401" s="75">
        <v>4000000</v>
      </c>
      <c r="G401" s="69"/>
      <c r="H401" s="69"/>
      <c r="I401" s="133">
        <f t="shared" si="18"/>
        <v>1.016655356375827</v>
      </c>
    </row>
    <row r="402" spans="1:9" s="7" customFormat="1" ht="18.75" customHeight="1">
      <c r="A402" s="66"/>
      <c r="B402" s="66"/>
      <c r="C402" s="76" t="s">
        <v>184</v>
      </c>
      <c r="D402" s="75">
        <v>1660000</v>
      </c>
      <c r="E402" s="75">
        <f t="shared" si="20"/>
        <v>1400000</v>
      </c>
      <c r="F402" s="75">
        <v>1400000</v>
      </c>
      <c r="G402" s="75"/>
      <c r="H402" s="75"/>
      <c r="I402" s="134">
        <f t="shared" si="18"/>
        <v>0.8433734939759037</v>
      </c>
    </row>
    <row r="403" spans="1:9" s="7" customFormat="1" ht="18.75" customHeight="1">
      <c r="A403" s="66"/>
      <c r="B403" s="66"/>
      <c r="C403" s="76" t="s">
        <v>311</v>
      </c>
      <c r="D403" s="75">
        <v>78000</v>
      </c>
      <c r="E403" s="75"/>
      <c r="F403" s="75"/>
      <c r="G403" s="75"/>
      <c r="H403" s="75"/>
      <c r="I403" s="134"/>
    </row>
    <row r="404" spans="1:9" s="7" customFormat="1" ht="18.75" customHeight="1">
      <c r="A404" s="66"/>
      <c r="B404" s="70"/>
      <c r="C404" s="70" t="s">
        <v>6</v>
      </c>
      <c r="D404" s="71">
        <v>2420000</v>
      </c>
      <c r="E404" s="71">
        <f t="shared" si="20"/>
        <v>8837000</v>
      </c>
      <c r="F404" s="71"/>
      <c r="G404" s="71"/>
      <c r="H404" s="71">
        <v>8837000</v>
      </c>
      <c r="I404" s="138">
        <f t="shared" si="18"/>
        <v>3.6516528925619833</v>
      </c>
    </row>
    <row r="405" spans="1:9" s="43" customFormat="1" ht="19.5" customHeight="1">
      <c r="A405" s="54"/>
      <c r="B405" s="72">
        <v>90003</v>
      </c>
      <c r="C405" s="72" t="s">
        <v>69</v>
      </c>
      <c r="D405" s="73">
        <f>SUM(D406:D411)</f>
        <v>7708000</v>
      </c>
      <c r="E405" s="73">
        <f>SUM(E406:E411)</f>
        <v>8717000</v>
      </c>
      <c r="F405" s="73">
        <f>SUM(F406:F411)</f>
        <v>8617000</v>
      </c>
      <c r="G405" s="73"/>
      <c r="H405" s="73">
        <f>SUM(H406:H411)</f>
        <v>100000</v>
      </c>
      <c r="I405" s="136">
        <f t="shared" si="18"/>
        <v>1.13090295796575</v>
      </c>
    </row>
    <row r="406" spans="1:9" s="7" customFormat="1" ht="18.75" customHeight="1">
      <c r="A406" s="66"/>
      <c r="B406" s="66"/>
      <c r="C406" s="68" t="s">
        <v>206</v>
      </c>
      <c r="D406" s="69">
        <v>6200000</v>
      </c>
      <c r="E406" s="69">
        <f t="shared" si="20"/>
        <v>7000000</v>
      </c>
      <c r="F406" s="69">
        <v>7000000</v>
      </c>
      <c r="G406" s="69"/>
      <c r="H406" s="69"/>
      <c r="I406" s="133">
        <f t="shared" si="18"/>
        <v>1.1290322580645162</v>
      </c>
    </row>
    <row r="407" spans="1:9" s="7" customFormat="1" ht="18.75" customHeight="1">
      <c r="A407" s="66"/>
      <c r="B407" s="66"/>
      <c r="C407" s="76" t="s">
        <v>185</v>
      </c>
      <c r="D407" s="75">
        <v>1000000</v>
      </c>
      <c r="E407" s="75">
        <f t="shared" si="20"/>
        <v>1100000</v>
      </c>
      <c r="F407" s="75">
        <v>1100000</v>
      </c>
      <c r="G407" s="75"/>
      <c r="H407" s="75"/>
      <c r="I407" s="134">
        <f t="shared" si="18"/>
        <v>1.1</v>
      </c>
    </row>
    <row r="408" spans="1:9" s="7" customFormat="1" ht="18.75" customHeight="1">
      <c r="A408" s="66"/>
      <c r="B408" s="66"/>
      <c r="C408" s="76" t="s">
        <v>107</v>
      </c>
      <c r="D408" s="75">
        <v>117000</v>
      </c>
      <c r="E408" s="75">
        <f t="shared" si="20"/>
        <v>120000</v>
      </c>
      <c r="F408" s="75">
        <v>120000</v>
      </c>
      <c r="G408" s="75"/>
      <c r="H408" s="75"/>
      <c r="I408" s="134">
        <f t="shared" si="18"/>
        <v>1.0256410256410255</v>
      </c>
    </row>
    <row r="409" spans="1:9" s="7" customFormat="1" ht="18.75" customHeight="1">
      <c r="A409" s="66"/>
      <c r="B409" s="66"/>
      <c r="C409" s="76" t="s">
        <v>105</v>
      </c>
      <c r="D409" s="75">
        <v>375000</v>
      </c>
      <c r="E409" s="75">
        <f t="shared" si="20"/>
        <v>380000</v>
      </c>
      <c r="F409" s="75">
        <v>380000</v>
      </c>
      <c r="G409" s="75"/>
      <c r="H409" s="75"/>
      <c r="I409" s="134">
        <f t="shared" si="18"/>
        <v>1.0133333333333334</v>
      </c>
    </row>
    <row r="410" spans="1:9" s="7" customFormat="1" ht="18.75" customHeight="1">
      <c r="A410" s="66"/>
      <c r="B410" s="66"/>
      <c r="C410" s="76" t="s">
        <v>106</v>
      </c>
      <c r="D410" s="75">
        <v>16000</v>
      </c>
      <c r="E410" s="75">
        <f t="shared" si="20"/>
        <v>17000</v>
      </c>
      <c r="F410" s="75">
        <v>17000</v>
      </c>
      <c r="G410" s="75"/>
      <c r="H410" s="75"/>
      <c r="I410" s="134">
        <f t="shared" si="18"/>
        <v>1.0625</v>
      </c>
    </row>
    <row r="411" spans="1:9" s="7" customFormat="1" ht="18.75" customHeight="1">
      <c r="A411" s="66"/>
      <c r="B411" s="70"/>
      <c r="C411" s="70" t="s">
        <v>6</v>
      </c>
      <c r="D411" s="71"/>
      <c r="E411" s="71">
        <f>F411+H411</f>
        <v>100000</v>
      </c>
      <c r="F411" s="71"/>
      <c r="G411" s="71"/>
      <c r="H411" s="71">
        <v>100000</v>
      </c>
      <c r="I411" s="135"/>
    </row>
    <row r="412" spans="1:9" s="43" customFormat="1" ht="19.5" customHeight="1">
      <c r="A412" s="54"/>
      <c r="B412" s="72">
        <v>90004</v>
      </c>
      <c r="C412" s="72" t="s">
        <v>70</v>
      </c>
      <c r="D412" s="73">
        <f>SUM(D413:D417)</f>
        <v>3040000</v>
      </c>
      <c r="E412" s="73">
        <f>SUM(E413:E417)</f>
        <v>3640000</v>
      </c>
      <c r="F412" s="73">
        <f>SUM(F413:F417)</f>
        <v>2840000</v>
      </c>
      <c r="G412" s="73"/>
      <c r="H412" s="73">
        <f>SUM(H413:H417)</f>
        <v>800000</v>
      </c>
      <c r="I412" s="136">
        <f t="shared" si="18"/>
        <v>1.1973684210526316</v>
      </c>
    </row>
    <row r="413" spans="1:9" s="7" customFormat="1" ht="18.75" customHeight="1">
      <c r="A413" s="66"/>
      <c r="B413" s="66"/>
      <c r="C413" s="87" t="s">
        <v>108</v>
      </c>
      <c r="D413" s="69">
        <v>240000</v>
      </c>
      <c r="E413" s="69">
        <f t="shared" si="20"/>
        <v>240000</v>
      </c>
      <c r="F413" s="69">
        <v>240000</v>
      </c>
      <c r="G413" s="69"/>
      <c r="H413" s="69"/>
      <c r="I413" s="133">
        <f t="shared" si="18"/>
        <v>1</v>
      </c>
    </row>
    <row r="414" spans="1:9" s="7" customFormat="1" ht="18.75" customHeight="1">
      <c r="A414" s="66"/>
      <c r="B414" s="66"/>
      <c r="C414" s="76" t="s">
        <v>109</v>
      </c>
      <c r="D414" s="75">
        <v>2700000</v>
      </c>
      <c r="E414" s="75">
        <f t="shared" si="20"/>
        <v>2500000</v>
      </c>
      <c r="F414" s="75">
        <v>2500000</v>
      </c>
      <c r="G414" s="75"/>
      <c r="H414" s="75"/>
      <c r="I414" s="134">
        <f t="shared" si="18"/>
        <v>0.9259259259259259</v>
      </c>
    </row>
    <row r="415" spans="1:9" s="7" customFormat="1" ht="18.75" customHeight="1">
      <c r="A415" s="70"/>
      <c r="B415" s="70"/>
      <c r="C415" s="61" t="s">
        <v>192</v>
      </c>
      <c r="D415" s="62">
        <v>30000</v>
      </c>
      <c r="E415" s="62">
        <f t="shared" si="20"/>
        <v>30000</v>
      </c>
      <c r="F415" s="62">
        <v>30000</v>
      </c>
      <c r="G415" s="62"/>
      <c r="H415" s="62"/>
      <c r="I415" s="138">
        <f t="shared" si="18"/>
        <v>1</v>
      </c>
    </row>
    <row r="416" spans="1:9" s="7" customFormat="1" ht="27" customHeight="1">
      <c r="A416" s="66"/>
      <c r="B416" s="66"/>
      <c r="C416" s="59" t="s">
        <v>237</v>
      </c>
      <c r="D416" s="60">
        <v>70000</v>
      </c>
      <c r="E416" s="60">
        <f t="shared" si="20"/>
        <v>70000</v>
      </c>
      <c r="F416" s="60">
        <v>70000</v>
      </c>
      <c r="G416" s="60"/>
      <c r="H416" s="60"/>
      <c r="I416" s="131">
        <f t="shared" si="18"/>
        <v>1</v>
      </c>
    </row>
    <row r="417" spans="1:9" s="7" customFormat="1" ht="18.75" customHeight="1">
      <c r="A417" s="66"/>
      <c r="B417" s="70"/>
      <c r="C417" s="70" t="s">
        <v>6</v>
      </c>
      <c r="D417" s="71"/>
      <c r="E417" s="71">
        <f t="shared" si="20"/>
        <v>800000</v>
      </c>
      <c r="F417" s="71"/>
      <c r="G417" s="71"/>
      <c r="H417" s="71">
        <v>800000</v>
      </c>
      <c r="I417" s="135"/>
    </row>
    <row r="418" spans="1:9" s="43" customFormat="1" ht="19.5" customHeight="1">
      <c r="A418" s="54"/>
      <c r="B418" s="72">
        <v>90013</v>
      </c>
      <c r="C418" s="72" t="s">
        <v>71</v>
      </c>
      <c r="D418" s="73">
        <f>SUM(D419:D419)</f>
        <v>310000</v>
      </c>
      <c r="E418" s="73">
        <f>SUM(E419:E419)</f>
        <v>310000</v>
      </c>
      <c r="F418" s="73">
        <f>SUM(F419:F419)</f>
        <v>310000</v>
      </c>
      <c r="G418" s="73"/>
      <c r="H418" s="73"/>
      <c r="I418" s="136">
        <f aca="true" t="shared" si="21" ref="I418:I486">E418/D418</f>
        <v>1</v>
      </c>
    </row>
    <row r="419" spans="1:9" s="7" customFormat="1" ht="18.75" customHeight="1">
      <c r="A419" s="66"/>
      <c r="B419" s="70"/>
      <c r="C419" s="70" t="s">
        <v>217</v>
      </c>
      <c r="D419" s="71">
        <v>310000</v>
      </c>
      <c r="E419" s="71">
        <f t="shared" si="20"/>
        <v>310000</v>
      </c>
      <c r="F419" s="71">
        <v>310000</v>
      </c>
      <c r="G419" s="71"/>
      <c r="H419" s="71"/>
      <c r="I419" s="135">
        <f t="shared" si="21"/>
        <v>1</v>
      </c>
    </row>
    <row r="420" spans="1:9" s="43" customFormat="1" ht="19.5" customHeight="1">
      <c r="A420" s="54"/>
      <c r="B420" s="72">
        <v>90015</v>
      </c>
      <c r="C420" s="72" t="s">
        <v>72</v>
      </c>
      <c r="D420" s="73">
        <f>SUM(D421:D423)</f>
        <v>7460000</v>
      </c>
      <c r="E420" s="73">
        <f>SUM(E421:E423)</f>
        <v>7900000</v>
      </c>
      <c r="F420" s="73">
        <f>SUM(F421:F423)</f>
        <v>7600000</v>
      </c>
      <c r="G420" s="73">
        <f>SUM(G421:G423)</f>
        <v>50000</v>
      </c>
      <c r="H420" s="73">
        <f>SUM(H421:H423)</f>
        <v>300000</v>
      </c>
      <c r="I420" s="136">
        <f t="shared" si="21"/>
        <v>1.0589812332439679</v>
      </c>
    </row>
    <row r="421" spans="1:9" s="7" customFormat="1" ht="18.75" customHeight="1">
      <c r="A421" s="66"/>
      <c r="B421" s="66"/>
      <c r="C421" s="68" t="s">
        <v>110</v>
      </c>
      <c r="D421" s="69">
        <v>4301000</v>
      </c>
      <c r="E421" s="69">
        <f t="shared" si="20"/>
        <v>4500000</v>
      </c>
      <c r="F421" s="69">
        <v>4500000</v>
      </c>
      <c r="G421" s="69"/>
      <c r="H421" s="69"/>
      <c r="I421" s="133">
        <f t="shared" si="21"/>
        <v>1.0462683096954197</v>
      </c>
    </row>
    <row r="422" spans="1:9" s="7" customFormat="1" ht="18.75" customHeight="1">
      <c r="A422" s="66"/>
      <c r="B422" s="66"/>
      <c r="C422" s="76" t="s">
        <v>164</v>
      </c>
      <c r="D422" s="75">
        <f>3109000</f>
        <v>3109000</v>
      </c>
      <c r="E422" s="75">
        <f t="shared" si="20"/>
        <v>3100000</v>
      </c>
      <c r="F422" s="75">
        <f>3100000</f>
        <v>3100000</v>
      </c>
      <c r="G422" s="75">
        <v>50000</v>
      </c>
      <c r="H422" s="75"/>
      <c r="I422" s="134">
        <f t="shared" si="21"/>
        <v>0.9971051785139916</v>
      </c>
    </row>
    <row r="423" spans="1:9" s="7" customFormat="1" ht="18.75" customHeight="1">
      <c r="A423" s="66"/>
      <c r="B423" s="70"/>
      <c r="C423" s="70" t="s">
        <v>6</v>
      </c>
      <c r="D423" s="71">
        <v>50000</v>
      </c>
      <c r="E423" s="71">
        <f t="shared" si="20"/>
        <v>300000</v>
      </c>
      <c r="F423" s="71"/>
      <c r="G423" s="71"/>
      <c r="H423" s="71">
        <v>300000</v>
      </c>
      <c r="I423" s="138">
        <f t="shared" si="21"/>
        <v>6</v>
      </c>
    </row>
    <row r="424" spans="1:9" s="43" customFormat="1" ht="19.5" customHeight="1">
      <c r="A424" s="54"/>
      <c r="B424" s="72">
        <v>90095</v>
      </c>
      <c r="C424" s="72" t="s">
        <v>4</v>
      </c>
      <c r="D424" s="73">
        <f>SUM(D425:D428)</f>
        <v>12392999</v>
      </c>
      <c r="E424" s="73">
        <f>SUM(E425:E428)</f>
        <v>13276000</v>
      </c>
      <c r="F424" s="73">
        <f>SUM(F425:F428)</f>
        <v>130000</v>
      </c>
      <c r="G424" s="73"/>
      <c r="H424" s="73">
        <f>SUM(H425:H428)</f>
        <v>13146000</v>
      </c>
      <c r="I424" s="136">
        <f t="shared" si="21"/>
        <v>1.071249985576534</v>
      </c>
    </row>
    <row r="425" spans="1:9" s="7" customFormat="1" ht="19.5" customHeight="1">
      <c r="A425" s="66"/>
      <c r="B425" s="66"/>
      <c r="C425" s="76" t="s">
        <v>186</v>
      </c>
      <c r="D425" s="75">
        <v>43000</v>
      </c>
      <c r="E425" s="75">
        <f t="shared" si="20"/>
        <v>45000</v>
      </c>
      <c r="F425" s="75">
        <v>45000</v>
      </c>
      <c r="G425" s="75"/>
      <c r="H425" s="75"/>
      <c r="I425" s="134">
        <f t="shared" si="21"/>
        <v>1.0465116279069768</v>
      </c>
    </row>
    <row r="426" spans="1:9" s="7" customFormat="1" ht="19.5" customHeight="1">
      <c r="A426" s="66"/>
      <c r="B426" s="66"/>
      <c r="C426" s="76" t="s">
        <v>247</v>
      </c>
      <c r="D426" s="75">
        <v>39999</v>
      </c>
      <c r="E426" s="75">
        <f t="shared" si="20"/>
        <v>45000</v>
      </c>
      <c r="F426" s="75">
        <v>45000</v>
      </c>
      <c r="G426" s="75"/>
      <c r="H426" s="75"/>
      <c r="I426" s="134">
        <f t="shared" si="21"/>
        <v>1.1250281257031425</v>
      </c>
    </row>
    <row r="427" spans="1:9" s="7" customFormat="1" ht="19.5" customHeight="1">
      <c r="A427" s="66"/>
      <c r="B427" s="66"/>
      <c r="C427" s="76" t="s">
        <v>341</v>
      </c>
      <c r="D427" s="75"/>
      <c r="E427" s="75">
        <f t="shared" si="20"/>
        <v>40000</v>
      </c>
      <c r="F427" s="75">
        <v>40000</v>
      </c>
      <c r="G427" s="75"/>
      <c r="H427" s="75"/>
      <c r="I427" s="134"/>
    </row>
    <row r="428" spans="1:9" s="7" customFormat="1" ht="19.5" customHeight="1">
      <c r="A428" s="70"/>
      <c r="B428" s="70"/>
      <c r="C428" s="70" t="s">
        <v>6</v>
      </c>
      <c r="D428" s="71">
        <v>12310000</v>
      </c>
      <c r="E428" s="71">
        <f t="shared" si="20"/>
        <v>13146000</v>
      </c>
      <c r="F428" s="71"/>
      <c r="G428" s="71"/>
      <c r="H428" s="71">
        <v>13146000</v>
      </c>
      <c r="I428" s="135">
        <f t="shared" si="21"/>
        <v>1.0679122664500407</v>
      </c>
    </row>
    <row r="429" spans="1:9" s="7" customFormat="1" ht="19.5" customHeight="1">
      <c r="A429" s="51">
        <v>921</v>
      </c>
      <c r="B429" s="51"/>
      <c r="C429" s="51" t="s">
        <v>131</v>
      </c>
      <c r="D429" s="52">
        <f>D430+D437+D439+D446+D448+D455+D451</f>
        <v>13594946</v>
      </c>
      <c r="E429" s="52">
        <f>E430+E437+E439+E446+E448+E455+E451</f>
        <v>14311000</v>
      </c>
      <c r="F429" s="52">
        <f>F430+F437+F439+F446+F448+F455+F451</f>
        <v>13771000</v>
      </c>
      <c r="G429" s="52">
        <f>G430+G437+G439+G446+G448+G455+G451</f>
        <v>780000</v>
      </c>
      <c r="H429" s="52">
        <f>H430+H437+H439+H446+H448+H455+H451</f>
        <v>540000</v>
      </c>
      <c r="I429" s="126">
        <f t="shared" si="21"/>
        <v>1.052670602737223</v>
      </c>
    </row>
    <row r="430" spans="1:9" s="42" customFormat="1" ht="19.5" customHeight="1">
      <c r="A430" s="89"/>
      <c r="B430" s="90">
        <v>92105</v>
      </c>
      <c r="C430" s="90" t="s">
        <v>126</v>
      </c>
      <c r="D430" s="91">
        <f>D431+D432+D433+D434+D435</f>
        <v>948406</v>
      </c>
      <c r="E430" s="91">
        <f>E431+E432+E433+E434+E435</f>
        <v>696000</v>
      </c>
      <c r="F430" s="91">
        <f>F431+F432+F433+F434+F435</f>
        <v>696000</v>
      </c>
      <c r="G430" s="91"/>
      <c r="H430" s="91"/>
      <c r="I430" s="139">
        <f t="shared" si="21"/>
        <v>0.7338629236845824</v>
      </c>
    </row>
    <row r="431" spans="1:9" s="21" customFormat="1" ht="19.5" customHeight="1">
      <c r="A431" s="89"/>
      <c r="B431" s="95"/>
      <c r="C431" s="96" t="s">
        <v>127</v>
      </c>
      <c r="D431" s="97">
        <v>743000</v>
      </c>
      <c r="E431" s="97">
        <f aca="true" t="shared" si="22" ref="E431:E457">F431+H431</f>
        <v>621000</v>
      </c>
      <c r="F431" s="97">
        <f>651000-30000</f>
        <v>621000</v>
      </c>
      <c r="G431" s="97"/>
      <c r="H431" s="97"/>
      <c r="I431" s="140">
        <f t="shared" si="21"/>
        <v>0.8358008075370121</v>
      </c>
    </row>
    <row r="432" spans="1:9" s="21" customFormat="1" ht="19.5" customHeight="1">
      <c r="A432" s="98"/>
      <c r="B432" s="98"/>
      <c r="C432" s="99" t="s">
        <v>143</v>
      </c>
      <c r="D432" s="100">
        <v>36000</v>
      </c>
      <c r="E432" s="100">
        <f t="shared" si="22"/>
        <v>35000</v>
      </c>
      <c r="F432" s="100">
        <v>35000</v>
      </c>
      <c r="G432" s="100"/>
      <c r="H432" s="100"/>
      <c r="I432" s="141">
        <f t="shared" si="21"/>
        <v>0.9722222222222222</v>
      </c>
    </row>
    <row r="433" spans="1:9" s="21" customFormat="1" ht="19.5" customHeight="1">
      <c r="A433" s="98"/>
      <c r="B433" s="98"/>
      <c r="C433" s="101" t="s">
        <v>218</v>
      </c>
      <c r="D433" s="102">
        <v>30000</v>
      </c>
      <c r="E433" s="102">
        <f t="shared" si="22"/>
        <v>30000</v>
      </c>
      <c r="F433" s="102">
        <v>30000</v>
      </c>
      <c r="G433" s="102"/>
      <c r="H433" s="102"/>
      <c r="I433" s="141">
        <f t="shared" si="21"/>
        <v>1</v>
      </c>
    </row>
    <row r="434" spans="1:9" s="21" customFormat="1" ht="28.5" customHeight="1">
      <c r="A434" s="98"/>
      <c r="B434" s="98"/>
      <c r="C434" s="153" t="s">
        <v>246</v>
      </c>
      <c r="D434" s="100">
        <v>139406</v>
      </c>
      <c r="E434" s="100"/>
      <c r="F434" s="100"/>
      <c r="G434" s="100"/>
      <c r="H434" s="100"/>
      <c r="I434" s="141"/>
    </row>
    <row r="435" spans="1:9" s="21" customFormat="1" ht="18.75" customHeight="1">
      <c r="A435" s="98"/>
      <c r="B435" s="98"/>
      <c r="C435" s="153" t="s">
        <v>342</v>
      </c>
      <c r="D435" s="100"/>
      <c r="E435" s="100">
        <f t="shared" si="22"/>
        <v>10000</v>
      </c>
      <c r="F435" s="100">
        <v>10000</v>
      </c>
      <c r="G435" s="100"/>
      <c r="H435" s="100"/>
      <c r="I435" s="141"/>
    </row>
    <row r="436" spans="1:9" s="221" customFormat="1" ht="20.25" customHeight="1">
      <c r="A436" s="216"/>
      <c r="B436" s="217"/>
      <c r="C436" s="218" t="s">
        <v>281</v>
      </c>
      <c r="D436" s="219"/>
      <c r="E436" s="219">
        <f t="shared" si="22"/>
        <v>8000</v>
      </c>
      <c r="F436" s="219">
        <v>8000</v>
      </c>
      <c r="G436" s="219"/>
      <c r="H436" s="219"/>
      <c r="I436" s="220"/>
    </row>
    <row r="437" spans="1:9" s="43" customFormat="1" ht="19.5" customHeight="1">
      <c r="A437" s="54"/>
      <c r="B437" s="72">
        <v>92106</v>
      </c>
      <c r="C437" s="72" t="s">
        <v>73</v>
      </c>
      <c r="D437" s="73">
        <f>D438</f>
        <v>1940000</v>
      </c>
      <c r="E437" s="73">
        <f>E438</f>
        <v>2270000</v>
      </c>
      <c r="F437" s="73">
        <f>F438</f>
        <v>2270000</v>
      </c>
      <c r="G437" s="73">
        <f>G438</f>
        <v>20000</v>
      </c>
      <c r="H437" s="73"/>
      <c r="I437" s="136">
        <f t="shared" si="21"/>
        <v>1.1701030927835052</v>
      </c>
    </row>
    <row r="438" spans="1:9" s="7" customFormat="1" ht="19.5" customHeight="1">
      <c r="A438" s="66"/>
      <c r="B438" s="84"/>
      <c r="C438" s="84" t="s">
        <v>244</v>
      </c>
      <c r="D438" s="86">
        <v>1940000</v>
      </c>
      <c r="E438" s="86">
        <f t="shared" si="22"/>
        <v>2270000</v>
      </c>
      <c r="F438" s="86">
        <v>2270000</v>
      </c>
      <c r="G438" s="86">
        <v>20000</v>
      </c>
      <c r="H438" s="86"/>
      <c r="I438" s="128">
        <f t="shared" si="21"/>
        <v>1.1701030927835052</v>
      </c>
    </row>
    <row r="439" spans="1:9" s="7" customFormat="1" ht="19.5" customHeight="1">
      <c r="A439" s="66"/>
      <c r="B439" s="72">
        <v>92109</v>
      </c>
      <c r="C439" s="72" t="s">
        <v>74</v>
      </c>
      <c r="D439" s="73">
        <f>D440+D441+D442+D444</f>
        <v>2430500</v>
      </c>
      <c r="E439" s="73">
        <f>E440+E441+E442+E444</f>
        <v>2203000</v>
      </c>
      <c r="F439" s="73">
        <f>F440+F441+F442+F444</f>
        <v>2193000</v>
      </c>
      <c r="G439" s="73">
        <f>G440+G441+G442+G444</f>
        <v>10000</v>
      </c>
      <c r="H439" s="73">
        <f>H440+H441+H442+H444</f>
        <v>10000</v>
      </c>
      <c r="I439" s="136">
        <f t="shared" si="21"/>
        <v>0.9063978605225262</v>
      </c>
    </row>
    <row r="440" spans="1:9" s="7" customFormat="1" ht="18.75" customHeight="1">
      <c r="A440" s="66"/>
      <c r="B440" s="66"/>
      <c r="C440" s="87" t="s">
        <v>188</v>
      </c>
      <c r="D440" s="69">
        <v>497000</v>
      </c>
      <c r="E440" s="69">
        <f t="shared" si="22"/>
        <v>520000</v>
      </c>
      <c r="F440" s="69">
        <v>520000</v>
      </c>
      <c r="G440" s="69">
        <v>10000</v>
      </c>
      <c r="H440" s="69"/>
      <c r="I440" s="133">
        <f t="shared" si="21"/>
        <v>1.0462776659959758</v>
      </c>
    </row>
    <row r="441" spans="1:9" s="21" customFormat="1" ht="18.75" customHeight="1">
      <c r="A441" s="98"/>
      <c r="B441" s="98"/>
      <c r="C441" s="153" t="s">
        <v>224</v>
      </c>
      <c r="D441" s="100">
        <v>1023500</v>
      </c>
      <c r="E441" s="100">
        <f t="shared" si="22"/>
        <v>1020000</v>
      </c>
      <c r="F441" s="100">
        <v>1020000</v>
      </c>
      <c r="G441" s="100"/>
      <c r="H441" s="100"/>
      <c r="I441" s="141">
        <f t="shared" si="21"/>
        <v>0.9965803615046409</v>
      </c>
    </row>
    <row r="442" spans="1:9" s="21" customFormat="1" ht="21" customHeight="1">
      <c r="A442" s="98"/>
      <c r="B442" s="98"/>
      <c r="C442" s="153" t="s">
        <v>189</v>
      </c>
      <c r="D442" s="100">
        <v>610000</v>
      </c>
      <c r="E442" s="100">
        <v>663000</v>
      </c>
      <c r="F442" s="100">
        <v>653000</v>
      </c>
      <c r="G442" s="100"/>
      <c r="H442" s="100">
        <v>10000</v>
      </c>
      <c r="I442" s="141">
        <f t="shared" si="21"/>
        <v>1.0868852459016394</v>
      </c>
    </row>
    <row r="443" spans="1:9" s="221" customFormat="1" ht="20.25" customHeight="1">
      <c r="A443" s="216"/>
      <c r="B443" s="216"/>
      <c r="C443" s="222" t="s">
        <v>323</v>
      </c>
      <c r="D443" s="223">
        <v>200000</v>
      </c>
      <c r="E443" s="223">
        <f t="shared" si="22"/>
        <v>190000</v>
      </c>
      <c r="F443" s="223">
        <v>180000</v>
      </c>
      <c r="G443" s="223"/>
      <c r="H443" s="223">
        <v>10000</v>
      </c>
      <c r="I443" s="224">
        <f t="shared" si="21"/>
        <v>0.95</v>
      </c>
    </row>
    <row r="444" spans="1:9" s="21" customFormat="1" ht="30.75" customHeight="1">
      <c r="A444" s="98"/>
      <c r="B444" s="98"/>
      <c r="C444" s="233" t="s">
        <v>269</v>
      </c>
      <c r="D444" s="234">
        <v>300000</v>
      </c>
      <c r="E444" s="234"/>
      <c r="F444" s="234"/>
      <c r="G444" s="234"/>
      <c r="H444" s="234"/>
      <c r="I444" s="235"/>
    </row>
    <row r="445" spans="1:9" s="21" customFormat="1" ht="18" customHeight="1">
      <c r="A445" s="183"/>
      <c r="B445" s="183"/>
      <c r="C445" s="236"/>
      <c r="D445" s="187"/>
      <c r="E445" s="187"/>
      <c r="F445" s="187"/>
      <c r="G445" s="187"/>
      <c r="H445" s="187"/>
      <c r="I445" s="188"/>
    </row>
    <row r="446" spans="1:9" s="43" customFormat="1" ht="19.5" customHeight="1">
      <c r="A446" s="54"/>
      <c r="B446" s="72">
        <v>92110</v>
      </c>
      <c r="C446" s="72" t="s">
        <v>75</v>
      </c>
      <c r="D446" s="73">
        <f>D447</f>
        <v>690000</v>
      </c>
      <c r="E446" s="73">
        <f>E447</f>
        <v>747000</v>
      </c>
      <c r="F446" s="73">
        <f>F447</f>
        <v>747000</v>
      </c>
      <c r="G446" s="73"/>
      <c r="H446" s="73"/>
      <c r="I446" s="136">
        <f t="shared" si="21"/>
        <v>1.0826086956521739</v>
      </c>
    </row>
    <row r="447" spans="1:9" s="7" customFormat="1" ht="18.75" customHeight="1">
      <c r="A447" s="66"/>
      <c r="B447" s="84"/>
      <c r="C447" s="84" t="s">
        <v>190</v>
      </c>
      <c r="D447" s="86">
        <v>690000</v>
      </c>
      <c r="E447" s="86">
        <v>747000</v>
      </c>
      <c r="F447" s="86">
        <v>747000</v>
      </c>
      <c r="G447" s="86"/>
      <c r="H447" s="86"/>
      <c r="I447" s="128">
        <f t="shared" si="21"/>
        <v>1.0826086956521739</v>
      </c>
    </row>
    <row r="448" spans="1:9" s="43" customFormat="1" ht="19.5" customHeight="1">
      <c r="A448" s="54"/>
      <c r="B448" s="72">
        <v>92113</v>
      </c>
      <c r="C448" s="72" t="s">
        <v>128</v>
      </c>
      <c r="D448" s="73">
        <f>SUM(D449:D450)</f>
        <v>2408000</v>
      </c>
      <c r="E448" s="73">
        <f>SUM(E449:E450)</f>
        <v>2230000</v>
      </c>
      <c r="F448" s="73">
        <f>SUM(F449:F450)</f>
        <v>2030000</v>
      </c>
      <c r="G448" s="73"/>
      <c r="H448" s="73">
        <f>SUM(H449:H450)</f>
        <v>200000</v>
      </c>
      <c r="I448" s="136">
        <f t="shared" si="21"/>
        <v>0.9260797342192691</v>
      </c>
    </row>
    <row r="449" spans="1:9" s="7" customFormat="1" ht="18.75" customHeight="1">
      <c r="A449" s="66"/>
      <c r="B449" s="66"/>
      <c r="C449" s="87" t="s">
        <v>191</v>
      </c>
      <c r="D449" s="69">
        <v>1840000</v>
      </c>
      <c r="E449" s="69">
        <f t="shared" si="22"/>
        <v>2030000</v>
      </c>
      <c r="F449" s="69">
        <f>2000000+30000</f>
        <v>2030000</v>
      </c>
      <c r="G449" s="69"/>
      <c r="H449" s="69"/>
      <c r="I449" s="133">
        <f t="shared" si="21"/>
        <v>1.1032608695652173</v>
      </c>
    </row>
    <row r="450" spans="1:9" s="21" customFormat="1" ht="18.75" customHeight="1">
      <c r="A450" s="98"/>
      <c r="B450" s="92"/>
      <c r="C450" s="121" t="s">
        <v>6</v>
      </c>
      <c r="D450" s="104">
        <v>568000</v>
      </c>
      <c r="E450" s="104">
        <f t="shared" si="22"/>
        <v>200000</v>
      </c>
      <c r="F450" s="104"/>
      <c r="G450" s="104"/>
      <c r="H450" s="104">
        <v>200000</v>
      </c>
      <c r="I450" s="142">
        <f t="shared" si="21"/>
        <v>0.352112676056338</v>
      </c>
    </row>
    <row r="451" spans="1:9" s="43" customFormat="1" ht="19.5" customHeight="1">
      <c r="A451" s="54"/>
      <c r="B451" s="72">
        <v>92116</v>
      </c>
      <c r="C451" s="72" t="s">
        <v>129</v>
      </c>
      <c r="D451" s="73">
        <f>SUM(D452:D454)</f>
        <v>4766040</v>
      </c>
      <c r="E451" s="73">
        <f>SUM(E452:E454)</f>
        <v>5415000</v>
      </c>
      <c r="F451" s="73">
        <f>SUM(F452:F454)</f>
        <v>5185000</v>
      </c>
      <c r="G451" s="73">
        <f>SUM(G452:G454)</f>
        <v>100000</v>
      </c>
      <c r="H451" s="73">
        <f>SUM(H452:H454)</f>
        <v>230000</v>
      </c>
      <c r="I451" s="136">
        <f t="shared" si="21"/>
        <v>1.1361633557418738</v>
      </c>
    </row>
    <row r="452" spans="1:9" s="7" customFormat="1" ht="19.5" customHeight="1">
      <c r="A452" s="66"/>
      <c r="B452" s="66"/>
      <c r="C452" s="87" t="s">
        <v>245</v>
      </c>
      <c r="D452" s="69">
        <v>4625000</v>
      </c>
      <c r="E452" s="69">
        <f t="shared" si="22"/>
        <v>5150000</v>
      </c>
      <c r="F452" s="69">
        <v>5150000</v>
      </c>
      <c r="G452" s="69">
        <v>100000</v>
      </c>
      <c r="H452" s="69"/>
      <c r="I452" s="133">
        <f t="shared" si="21"/>
        <v>1.1135135135135135</v>
      </c>
    </row>
    <row r="453" spans="1:9" s="21" customFormat="1" ht="56.25" customHeight="1">
      <c r="A453" s="98"/>
      <c r="B453" s="98"/>
      <c r="C453" s="153" t="s">
        <v>312</v>
      </c>
      <c r="D453" s="100">
        <v>111040</v>
      </c>
      <c r="E453" s="100">
        <f t="shared" si="22"/>
        <v>230000</v>
      </c>
      <c r="F453" s="100"/>
      <c r="G453" s="100"/>
      <c r="H453" s="100">
        <v>230000</v>
      </c>
      <c r="I453" s="141">
        <f t="shared" si="21"/>
        <v>2.0713256484149856</v>
      </c>
    </row>
    <row r="454" spans="1:9" s="21" customFormat="1" ht="19.5" customHeight="1">
      <c r="A454" s="98"/>
      <c r="B454" s="92"/>
      <c r="C454" s="121" t="s">
        <v>130</v>
      </c>
      <c r="D454" s="104">
        <v>30000</v>
      </c>
      <c r="E454" s="104">
        <f t="shared" si="22"/>
        <v>35000</v>
      </c>
      <c r="F454" s="104">
        <v>35000</v>
      </c>
      <c r="G454" s="104"/>
      <c r="H454" s="104"/>
      <c r="I454" s="142">
        <f t="shared" si="21"/>
        <v>1.1666666666666667</v>
      </c>
    </row>
    <row r="455" spans="1:9" s="43" customFormat="1" ht="19.5" customHeight="1">
      <c r="A455" s="54"/>
      <c r="B455" s="72">
        <v>92120</v>
      </c>
      <c r="C455" s="72" t="s">
        <v>313</v>
      </c>
      <c r="D455" s="73">
        <f>D456+D457</f>
        <v>412000</v>
      </c>
      <c r="E455" s="73">
        <f>E456+E457</f>
        <v>750000</v>
      </c>
      <c r="F455" s="73">
        <f>F456+F457</f>
        <v>650000</v>
      </c>
      <c r="G455" s="73">
        <f>G456+G457</f>
        <v>650000</v>
      </c>
      <c r="H455" s="73">
        <f>H456+H457</f>
        <v>100000</v>
      </c>
      <c r="I455" s="136">
        <f t="shared" si="21"/>
        <v>1.8203883495145632</v>
      </c>
    </row>
    <row r="456" spans="1:9" s="7" customFormat="1" ht="30.75" customHeight="1">
      <c r="A456" s="66"/>
      <c r="B456" s="67"/>
      <c r="C456" s="87" t="s">
        <v>333</v>
      </c>
      <c r="D456" s="69">
        <v>150000</v>
      </c>
      <c r="E456" s="69">
        <f t="shared" si="22"/>
        <v>700000</v>
      </c>
      <c r="F456" s="69">
        <f>700000-50000</f>
        <v>650000</v>
      </c>
      <c r="G456" s="69">
        <v>650000</v>
      </c>
      <c r="H456" s="69">
        <v>50000</v>
      </c>
      <c r="I456" s="133">
        <f t="shared" si="21"/>
        <v>4.666666666666667</v>
      </c>
    </row>
    <row r="457" spans="1:9" s="7" customFormat="1" ht="19.5" customHeight="1">
      <c r="A457" s="70"/>
      <c r="B457" s="70"/>
      <c r="C457" s="70" t="s">
        <v>6</v>
      </c>
      <c r="D457" s="71">
        <f>40000+222000</f>
        <v>262000</v>
      </c>
      <c r="E457" s="71">
        <f t="shared" si="22"/>
        <v>50000</v>
      </c>
      <c r="F457" s="71"/>
      <c r="G457" s="71"/>
      <c r="H457" s="71">
        <v>50000</v>
      </c>
      <c r="I457" s="135">
        <f t="shared" si="21"/>
        <v>0.19083969465648856</v>
      </c>
    </row>
    <row r="458" spans="1:9" s="7" customFormat="1" ht="19.5" customHeight="1">
      <c r="A458" s="51">
        <v>926</v>
      </c>
      <c r="B458" s="51"/>
      <c r="C458" s="51" t="s">
        <v>76</v>
      </c>
      <c r="D458" s="52">
        <f>D459+D462+D464</f>
        <v>14956000</v>
      </c>
      <c r="E458" s="52">
        <f>E459+E462+E464</f>
        <v>11766000</v>
      </c>
      <c r="F458" s="52">
        <f>F459+F462+F464</f>
        <v>4346000</v>
      </c>
      <c r="G458" s="52"/>
      <c r="H458" s="52">
        <f>H459+H462+H464</f>
        <v>7420000</v>
      </c>
      <c r="I458" s="126">
        <f t="shared" si="21"/>
        <v>0.7867076758491576</v>
      </c>
    </row>
    <row r="459" spans="1:9" s="43" customFormat="1" ht="19.5" customHeight="1">
      <c r="A459" s="54"/>
      <c r="B459" s="55">
        <v>92601</v>
      </c>
      <c r="C459" s="55" t="s">
        <v>77</v>
      </c>
      <c r="D459" s="56">
        <f>SUM(D460:D461)</f>
        <v>266000</v>
      </c>
      <c r="E459" s="56">
        <f>SUM(E460:E461)</f>
        <v>206000</v>
      </c>
      <c r="F459" s="56">
        <f>SUM(F460:F461)</f>
        <v>206000</v>
      </c>
      <c r="G459" s="56"/>
      <c r="H459" s="56"/>
      <c r="I459" s="127">
        <f t="shared" si="21"/>
        <v>0.7744360902255639</v>
      </c>
    </row>
    <row r="460" spans="1:9" s="7" customFormat="1" ht="40.5" customHeight="1">
      <c r="A460" s="66"/>
      <c r="B460" s="67"/>
      <c r="C460" s="87" t="s">
        <v>334</v>
      </c>
      <c r="D460" s="69">
        <v>206000</v>
      </c>
      <c r="E460" s="69">
        <f aca="true" t="shared" si="23" ref="E460:E472">F460+H460</f>
        <v>206000</v>
      </c>
      <c r="F460" s="69">
        <v>206000</v>
      </c>
      <c r="G460" s="69"/>
      <c r="H460" s="69"/>
      <c r="I460" s="133">
        <f t="shared" si="21"/>
        <v>1</v>
      </c>
    </row>
    <row r="461" spans="1:9" s="7" customFormat="1" ht="19.5" customHeight="1">
      <c r="A461" s="66"/>
      <c r="B461" s="70"/>
      <c r="C461" s="70" t="s">
        <v>335</v>
      </c>
      <c r="D461" s="71">
        <v>60000</v>
      </c>
      <c r="E461" s="71"/>
      <c r="F461" s="71"/>
      <c r="G461" s="71"/>
      <c r="H461" s="71"/>
      <c r="I461" s="135"/>
    </row>
    <row r="462" spans="1:9" s="43" customFormat="1" ht="21" customHeight="1">
      <c r="A462" s="54"/>
      <c r="B462" s="72">
        <v>92604</v>
      </c>
      <c r="C462" s="72" t="s">
        <v>78</v>
      </c>
      <c r="D462" s="73">
        <f>SUM(D463:D463)</f>
        <v>11900000</v>
      </c>
      <c r="E462" s="73">
        <f>SUM(E463:E463)</f>
        <v>8200000</v>
      </c>
      <c r="F462" s="73">
        <f>SUM(F463:F463)</f>
        <v>1800000</v>
      </c>
      <c r="G462" s="73"/>
      <c r="H462" s="73">
        <f>SUM(H463:H463)</f>
        <v>6400000</v>
      </c>
      <c r="I462" s="136">
        <f t="shared" si="21"/>
        <v>0.6890756302521008</v>
      </c>
    </row>
    <row r="463" spans="1:9" s="7" customFormat="1" ht="21" customHeight="1">
      <c r="A463" s="66"/>
      <c r="B463" s="84"/>
      <c r="C463" s="84" t="s">
        <v>146</v>
      </c>
      <c r="D463" s="86">
        <v>11900000</v>
      </c>
      <c r="E463" s="86">
        <f t="shared" si="23"/>
        <v>8200000</v>
      </c>
      <c r="F463" s="86">
        <f>7200000-5400000</f>
        <v>1800000</v>
      </c>
      <c r="G463" s="86"/>
      <c r="H463" s="86">
        <f>6150000+250000</f>
        <v>6400000</v>
      </c>
      <c r="I463" s="128">
        <f t="shared" si="21"/>
        <v>0.6890756302521008</v>
      </c>
    </row>
    <row r="464" spans="1:9" s="43" customFormat="1" ht="19.5" customHeight="1">
      <c r="A464" s="54"/>
      <c r="B464" s="72">
        <v>92605</v>
      </c>
      <c r="C464" s="72" t="s">
        <v>132</v>
      </c>
      <c r="D464" s="73">
        <f>D465+D466+D468+D470+D471+D472</f>
        <v>2790000</v>
      </c>
      <c r="E464" s="73">
        <f>E465+E466+E468+E470+E471+E472</f>
        <v>3360000</v>
      </c>
      <c r="F464" s="73">
        <f>F465+F466+F468+F470+F471+F472</f>
        <v>2340000</v>
      </c>
      <c r="G464" s="73"/>
      <c r="H464" s="73">
        <f>H465+H466+H468+H470+H471+H472</f>
        <v>1020000</v>
      </c>
      <c r="I464" s="136">
        <f t="shared" si="21"/>
        <v>1.2043010752688172</v>
      </c>
    </row>
    <row r="465" spans="1:9" s="7" customFormat="1" ht="19.5" customHeight="1">
      <c r="A465" s="66"/>
      <c r="B465" s="66"/>
      <c r="C465" s="68" t="s">
        <v>270</v>
      </c>
      <c r="D465" s="69">
        <v>880000</v>
      </c>
      <c r="E465" s="69">
        <f t="shared" si="23"/>
        <v>880000</v>
      </c>
      <c r="F465" s="69">
        <v>880000</v>
      </c>
      <c r="G465" s="69"/>
      <c r="H465" s="69"/>
      <c r="I465" s="133">
        <f t="shared" si="21"/>
        <v>1</v>
      </c>
    </row>
    <row r="466" spans="1:9" s="7" customFormat="1" ht="19.5" customHeight="1">
      <c r="A466" s="66"/>
      <c r="B466" s="66"/>
      <c r="C466" s="66" t="s">
        <v>314</v>
      </c>
      <c r="D466" s="78">
        <v>700000</v>
      </c>
      <c r="E466" s="78">
        <f t="shared" si="23"/>
        <v>700000</v>
      </c>
      <c r="F466" s="78">
        <v>700000</v>
      </c>
      <c r="G466" s="78"/>
      <c r="H466" s="78"/>
      <c r="I466" s="137">
        <f>E466/D466</f>
        <v>1</v>
      </c>
    </row>
    <row r="467" spans="1:9" s="225" customFormat="1" ht="18.75" customHeight="1">
      <c r="A467" s="58"/>
      <c r="B467" s="58"/>
      <c r="C467" s="213" t="s">
        <v>281</v>
      </c>
      <c r="D467" s="203">
        <v>10000</v>
      </c>
      <c r="E467" s="203">
        <f t="shared" si="23"/>
        <v>10000</v>
      </c>
      <c r="F467" s="203">
        <v>10000</v>
      </c>
      <c r="G467" s="203"/>
      <c r="H467" s="203"/>
      <c r="I467" s="204">
        <f>E467/D467</f>
        <v>1</v>
      </c>
    </row>
    <row r="468" spans="1:9" s="7" customFormat="1" ht="19.5" customHeight="1">
      <c r="A468" s="66"/>
      <c r="B468" s="66"/>
      <c r="C468" s="66" t="s">
        <v>167</v>
      </c>
      <c r="D468" s="78">
        <v>700000</v>
      </c>
      <c r="E468" s="78">
        <f t="shared" si="23"/>
        <v>700000</v>
      </c>
      <c r="F468" s="78">
        <v>700000</v>
      </c>
      <c r="G468" s="78"/>
      <c r="H468" s="78"/>
      <c r="I468" s="137">
        <f t="shared" si="21"/>
        <v>1</v>
      </c>
    </row>
    <row r="469" spans="1:9" s="225" customFormat="1" ht="18.75" customHeight="1">
      <c r="A469" s="58"/>
      <c r="B469" s="58"/>
      <c r="C469" s="213" t="s">
        <v>281</v>
      </c>
      <c r="D469" s="203">
        <v>581476</v>
      </c>
      <c r="E469" s="203">
        <f t="shared" si="23"/>
        <v>582000</v>
      </c>
      <c r="F469" s="203">
        <v>582000</v>
      </c>
      <c r="G469" s="203"/>
      <c r="H469" s="203"/>
      <c r="I469" s="204">
        <f t="shared" si="21"/>
        <v>1.0009011549917795</v>
      </c>
    </row>
    <row r="470" spans="1:9" s="7" customFormat="1" ht="29.25" customHeight="1">
      <c r="A470" s="66"/>
      <c r="B470" s="66"/>
      <c r="C470" s="174" t="s">
        <v>315</v>
      </c>
      <c r="D470" s="172">
        <v>20000</v>
      </c>
      <c r="E470" s="172">
        <f t="shared" si="23"/>
        <v>20000</v>
      </c>
      <c r="F470" s="172">
        <v>20000</v>
      </c>
      <c r="G470" s="172"/>
      <c r="H470" s="172"/>
      <c r="I470" s="173">
        <f t="shared" si="21"/>
        <v>1</v>
      </c>
    </row>
    <row r="471" spans="1:9" s="7" customFormat="1" ht="17.25" customHeight="1">
      <c r="A471" s="66"/>
      <c r="B471" s="66"/>
      <c r="C471" s="59" t="s">
        <v>343</v>
      </c>
      <c r="D471" s="60">
        <v>40000</v>
      </c>
      <c r="E471" s="60">
        <f t="shared" si="23"/>
        <v>40000</v>
      </c>
      <c r="F471" s="60">
        <v>40000</v>
      </c>
      <c r="G471" s="60"/>
      <c r="H471" s="60"/>
      <c r="I471" s="131">
        <f t="shared" si="21"/>
        <v>1</v>
      </c>
    </row>
    <row r="472" spans="1:9" s="7" customFormat="1" ht="19.5" customHeight="1">
      <c r="A472" s="70"/>
      <c r="B472" s="70"/>
      <c r="C472" s="80" t="s">
        <v>6</v>
      </c>
      <c r="D472" s="62">
        <v>450000</v>
      </c>
      <c r="E472" s="62">
        <f t="shared" si="23"/>
        <v>1020000</v>
      </c>
      <c r="F472" s="62"/>
      <c r="G472" s="62"/>
      <c r="H472" s="62">
        <f>320000+700000</f>
        <v>1020000</v>
      </c>
      <c r="I472" s="138">
        <f t="shared" si="21"/>
        <v>2.2666666666666666</v>
      </c>
    </row>
    <row r="473" spans="1:10" ht="24.75" customHeight="1" thickBot="1">
      <c r="A473" s="70"/>
      <c r="B473" s="70"/>
      <c r="C473" s="18" t="s">
        <v>234</v>
      </c>
      <c r="D473" s="19">
        <f>D474+D480+D485+D477+D495+D498</f>
        <v>5263913</v>
      </c>
      <c r="E473" s="19">
        <f>E474+E480+E485+E477+E495+E498</f>
        <v>2837000</v>
      </c>
      <c r="F473" s="19">
        <f>F474+F480+F485+F477+F495+F498</f>
        <v>2837000</v>
      </c>
      <c r="G473" s="19"/>
      <c r="H473" s="19"/>
      <c r="I473" s="143">
        <f t="shared" si="21"/>
        <v>0.5389526764595084</v>
      </c>
      <c r="J473" s="6">
        <f>D473-5263913</f>
        <v>0</v>
      </c>
    </row>
    <row r="474" spans="1:9" s="7" customFormat="1" ht="21" customHeight="1" thickTop="1">
      <c r="A474" s="51">
        <v>710</v>
      </c>
      <c r="B474" s="51"/>
      <c r="C474" s="51" t="s">
        <v>26</v>
      </c>
      <c r="D474" s="52">
        <f>D475</f>
        <v>40000</v>
      </c>
      <c r="E474" s="52"/>
      <c r="F474" s="52"/>
      <c r="G474" s="52"/>
      <c r="H474" s="52"/>
      <c r="I474" s="126"/>
    </row>
    <row r="475" spans="1:9" ht="21" customHeight="1">
      <c r="A475" s="67"/>
      <c r="B475" s="72">
        <v>71035</v>
      </c>
      <c r="C475" s="105" t="s">
        <v>157</v>
      </c>
      <c r="D475" s="46">
        <f>D476</f>
        <v>40000</v>
      </c>
      <c r="E475" s="46"/>
      <c r="F475" s="46"/>
      <c r="G475" s="46"/>
      <c r="H475" s="46"/>
      <c r="I475" s="144"/>
    </row>
    <row r="476" spans="1:9" s="7" customFormat="1" ht="21" customHeight="1">
      <c r="A476" s="70"/>
      <c r="B476" s="84"/>
      <c r="C476" s="85" t="s">
        <v>219</v>
      </c>
      <c r="D476" s="86">
        <v>40000</v>
      </c>
      <c r="E476" s="86"/>
      <c r="F476" s="86"/>
      <c r="G476" s="86"/>
      <c r="H476" s="86"/>
      <c r="I476" s="128"/>
    </row>
    <row r="477" spans="1:9" s="7" customFormat="1" ht="21" customHeight="1">
      <c r="A477" s="51">
        <v>750</v>
      </c>
      <c r="B477" s="51"/>
      <c r="C477" s="51" t="s">
        <v>29</v>
      </c>
      <c r="D477" s="52">
        <f>D478</f>
        <v>60000</v>
      </c>
      <c r="E477" s="52"/>
      <c r="F477" s="52"/>
      <c r="G477" s="52"/>
      <c r="H477" s="52"/>
      <c r="I477" s="126"/>
    </row>
    <row r="478" spans="1:9" s="43" customFormat="1" ht="21" customHeight="1">
      <c r="A478" s="54"/>
      <c r="B478" s="72">
        <v>75011</v>
      </c>
      <c r="C478" s="72" t="s">
        <v>80</v>
      </c>
      <c r="D478" s="73">
        <f>D479</f>
        <v>60000</v>
      </c>
      <c r="E478" s="73"/>
      <c r="F478" s="73"/>
      <c r="G478" s="73"/>
      <c r="H478" s="73"/>
      <c r="I478" s="136"/>
    </row>
    <row r="479" spans="1:9" s="7" customFormat="1" ht="21" customHeight="1">
      <c r="A479" s="70"/>
      <c r="B479" s="84"/>
      <c r="C479" s="85" t="s">
        <v>318</v>
      </c>
      <c r="D479" s="86">
        <v>60000</v>
      </c>
      <c r="E479" s="86"/>
      <c r="F479" s="86"/>
      <c r="G479" s="86"/>
      <c r="H479" s="86"/>
      <c r="I479" s="128"/>
    </row>
    <row r="480" spans="1:9" s="7" customFormat="1" ht="21" customHeight="1">
      <c r="A480" s="51">
        <v>801</v>
      </c>
      <c r="B480" s="51"/>
      <c r="C480" s="51" t="s">
        <v>41</v>
      </c>
      <c r="D480" s="52">
        <f>D481+D483</f>
        <v>410000</v>
      </c>
      <c r="E480" s="52">
        <f>E481+E483</f>
        <v>377000</v>
      </c>
      <c r="F480" s="52">
        <f>F481+F483</f>
        <v>377000</v>
      </c>
      <c r="G480" s="52"/>
      <c r="H480" s="52"/>
      <c r="I480" s="126">
        <f t="shared" si="21"/>
        <v>0.9195121951219513</v>
      </c>
    </row>
    <row r="481" spans="1:9" s="43" customFormat="1" ht="21" customHeight="1">
      <c r="A481" s="54"/>
      <c r="B481" s="72">
        <v>80104</v>
      </c>
      <c r="C481" s="72" t="s">
        <v>282</v>
      </c>
      <c r="D481" s="73">
        <f>D482</f>
        <v>310000</v>
      </c>
      <c r="E481" s="73">
        <f>E482</f>
        <v>377000</v>
      </c>
      <c r="F481" s="73">
        <f>F482</f>
        <v>377000</v>
      </c>
      <c r="G481" s="73"/>
      <c r="H481" s="73"/>
      <c r="I481" s="136">
        <f t="shared" si="21"/>
        <v>1.2161290322580645</v>
      </c>
    </row>
    <row r="482" spans="1:9" s="7" customFormat="1" ht="19.5" customHeight="1">
      <c r="A482" s="66"/>
      <c r="B482" s="70"/>
      <c r="C482" s="169" t="s">
        <v>263</v>
      </c>
      <c r="D482" s="71">
        <v>310000</v>
      </c>
      <c r="E482" s="71">
        <f>F482</f>
        <v>377000</v>
      </c>
      <c r="F482" s="71">
        <v>377000</v>
      </c>
      <c r="G482" s="71"/>
      <c r="H482" s="71"/>
      <c r="I482" s="135">
        <f t="shared" si="21"/>
        <v>1.2161290322580645</v>
      </c>
    </row>
    <row r="483" spans="1:9" s="43" customFormat="1" ht="21" customHeight="1">
      <c r="A483" s="54"/>
      <c r="B483" s="72">
        <v>80195</v>
      </c>
      <c r="C483" s="72" t="s">
        <v>4</v>
      </c>
      <c r="D483" s="73">
        <f>D484</f>
        <v>100000</v>
      </c>
      <c r="E483" s="73"/>
      <c r="F483" s="73"/>
      <c r="G483" s="73"/>
      <c r="H483" s="73"/>
      <c r="I483" s="136"/>
    </row>
    <row r="484" spans="1:9" s="7" customFormat="1" ht="26.25" customHeight="1">
      <c r="A484" s="70"/>
      <c r="B484" s="70"/>
      <c r="C484" s="83" t="s">
        <v>258</v>
      </c>
      <c r="D484" s="71">
        <v>100000</v>
      </c>
      <c r="E484" s="71"/>
      <c r="F484" s="71"/>
      <c r="G484" s="71"/>
      <c r="H484" s="71"/>
      <c r="I484" s="135"/>
    </row>
    <row r="485" spans="1:9" s="7" customFormat="1" ht="21" customHeight="1">
      <c r="A485" s="51">
        <v>852</v>
      </c>
      <c r="B485" s="51"/>
      <c r="C485" s="51" t="s">
        <v>198</v>
      </c>
      <c r="D485" s="52">
        <f>D486+D491+D493</f>
        <v>2773500</v>
      </c>
      <c r="E485" s="52">
        <f>E486+E491+E493</f>
        <v>2460000</v>
      </c>
      <c r="F485" s="52">
        <f>F486+F491+F493</f>
        <v>2460000</v>
      </c>
      <c r="G485" s="52"/>
      <c r="H485" s="52"/>
      <c r="I485" s="126">
        <f t="shared" si="21"/>
        <v>0.8869659275283938</v>
      </c>
    </row>
    <row r="486" spans="1:9" s="7" customFormat="1" ht="19.5" customHeight="1">
      <c r="A486" s="66"/>
      <c r="B486" s="55">
        <v>85201</v>
      </c>
      <c r="C486" s="55" t="s">
        <v>53</v>
      </c>
      <c r="D486" s="56">
        <f>SUM(D487:D490)</f>
        <v>2300000</v>
      </c>
      <c r="E486" s="56">
        <f>SUM(E487:E490)</f>
        <v>2160000</v>
      </c>
      <c r="F486" s="56">
        <f>SUM(F487:F490)</f>
        <v>2160000</v>
      </c>
      <c r="G486" s="56"/>
      <c r="H486" s="56"/>
      <c r="I486" s="127">
        <f t="shared" si="21"/>
        <v>0.9391304347826087</v>
      </c>
    </row>
    <row r="487" spans="1:9" s="7" customFormat="1" ht="18.75" customHeight="1">
      <c r="A487" s="66"/>
      <c r="B487" s="54"/>
      <c r="C487" s="68" t="s">
        <v>279</v>
      </c>
      <c r="D487" s="69">
        <v>1061000</v>
      </c>
      <c r="E487" s="69">
        <f>F487</f>
        <v>988400</v>
      </c>
      <c r="F487" s="69">
        <f>300000+137000+235000+316400</f>
        <v>988400</v>
      </c>
      <c r="G487" s="69"/>
      <c r="H487" s="69"/>
      <c r="I487" s="133">
        <f aca="true" t="shared" si="24" ref="I487:I558">E487/D487</f>
        <v>0.931573986804901</v>
      </c>
    </row>
    <row r="488" spans="1:9" s="7" customFormat="1" ht="18.75" customHeight="1">
      <c r="A488" s="66"/>
      <c r="B488" s="54"/>
      <c r="C488" s="76" t="s">
        <v>43</v>
      </c>
      <c r="D488" s="75">
        <v>526000</v>
      </c>
      <c r="E488" s="75">
        <f>F488</f>
        <v>415100</v>
      </c>
      <c r="F488" s="75">
        <f>132000+41700+105000+136400</f>
        <v>415100</v>
      </c>
      <c r="G488" s="75"/>
      <c r="H488" s="75"/>
      <c r="I488" s="134">
        <f t="shared" si="24"/>
        <v>0.7891634980988593</v>
      </c>
    </row>
    <row r="489" spans="1:9" s="7" customFormat="1" ht="18.75" customHeight="1">
      <c r="A489" s="66"/>
      <c r="B489" s="66"/>
      <c r="C489" s="76" t="s">
        <v>44</v>
      </c>
      <c r="D489" s="75">
        <v>206000</v>
      </c>
      <c r="E489" s="75">
        <f>F489</f>
        <v>196500</v>
      </c>
      <c r="F489" s="75">
        <f>58000+26300+45000+67200</f>
        <v>196500</v>
      </c>
      <c r="G489" s="75"/>
      <c r="H489" s="75"/>
      <c r="I489" s="134">
        <f t="shared" si="24"/>
        <v>0.9538834951456311</v>
      </c>
    </row>
    <row r="490" spans="1:9" s="7" customFormat="1" ht="18.75" customHeight="1">
      <c r="A490" s="66"/>
      <c r="B490" s="66"/>
      <c r="C490" s="74" t="s">
        <v>141</v>
      </c>
      <c r="D490" s="75">
        <v>507000</v>
      </c>
      <c r="E490" s="75">
        <f>F490</f>
        <v>560000</v>
      </c>
      <c r="F490" s="75">
        <v>560000</v>
      </c>
      <c r="G490" s="75"/>
      <c r="H490" s="75"/>
      <c r="I490" s="134">
        <f t="shared" si="24"/>
        <v>1.1045364891518739</v>
      </c>
    </row>
    <row r="491" spans="1:9" s="7" customFormat="1" ht="19.5" customHeight="1">
      <c r="A491" s="66"/>
      <c r="B491" s="55">
        <v>85204</v>
      </c>
      <c r="C491" s="55" t="s">
        <v>91</v>
      </c>
      <c r="D491" s="56">
        <f>D492</f>
        <v>185000</v>
      </c>
      <c r="E491" s="56">
        <f>E492</f>
        <v>300000</v>
      </c>
      <c r="F491" s="56">
        <f>F492</f>
        <v>300000</v>
      </c>
      <c r="G491" s="56"/>
      <c r="H491" s="56"/>
      <c r="I491" s="127">
        <f t="shared" si="24"/>
        <v>1.6216216216216217</v>
      </c>
    </row>
    <row r="492" spans="1:9" s="7" customFormat="1" ht="18.75" customHeight="1">
      <c r="A492" s="66"/>
      <c r="B492" s="55"/>
      <c r="C492" s="84" t="s">
        <v>92</v>
      </c>
      <c r="D492" s="86">
        <v>185000</v>
      </c>
      <c r="E492" s="86">
        <f>F492</f>
        <v>300000</v>
      </c>
      <c r="F492" s="86">
        <v>300000</v>
      </c>
      <c r="G492" s="86"/>
      <c r="H492" s="86"/>
      <c r="I492" s="128">
        <f t="shared" si="24"/>
        <v>1.6216216216216217</v>
      </c>
    </row>
    <row r="493" spans="1:9" s="43" customFormat="1" ht="21" customHeight="1">
      <c r="A493" s="54"/>
      <c r="B493" s="72">
        <v>85295</v>
      </c>
      <c r="C493" s="72" t="s">
        <v>4</v>
      </c>
      <c r="D493" s="73">
        <f>D494</f>
        <v>288500</v>
      </c>
      <c r="E493" s="73"/>
      <c r="F493" s="73"/>
      <c r="G493" s="73"/>
      <c r="H493" s="73"/>
      <c r="I493" s="136"/>
    </row>
    <row r="494" spans="1:9" s="7" customFormat="1" ht="18.75" customHeight="1">
      <c r="A494" s="70"/>
      <c r="B494" s="70"/>
      <c r="C494" s="83" t="s">
        <v>259</v>
      </c>
      <c r="D494" s="71">
        <v>288500</v>
      </c>
      <c r="E494" s="71"/>
      <c r="F494" s="71"/>
      <c r="G494" s="71"/>
      <c r="H494" s="71"/>
      <c r="I494" s="135"/>
    </row>
    <row r="495" spans="1:9" s="7" customFormat="1" ht="21" customHeight="1">
      <c r="A495" s="51">
        <v>854</v>
      </c>
      <c r="B495" s="51"/>
      <c r="C495" s="51" t="s">
        <v>61</v>
      </c>
      <c r="D495" s="52">
        <f>D496</f>
        <v>1686113</v>
      </c>
      <c r="E495" s="52"/>
      <c r="F495" s="52"/>
      <c r="G495" s="52"/>
      <c r="H495" s="52"/>
      <c r="I495" s="126"/>
    </row>
    <row r="496" spans="1:9" s="43" customFormat="1" ht="21" customHeight="1">
      <c r="A496" s="54"/>
      <c r="B496" s="72">
        <v>85415</v>
      </c>
      <c r="C496" s="72" t="s">
        <v>125</v>
      </c>
      <c r="D496" s="73">
        <f>D497</f>
        <v>1686113</v>
      </c>
      <c r="E496" s="73"/>
      <c r="F496" s="73"/>
      <c r="G496" s="73"/>
      <c r="H496" s="73"/>
      <c r="I496" s="136"/>
    </row>
    <row r="497" spans="1:9" s="7" customFormat="1" ht="27.75" customHeight="1">
      <c r="A497" s="70"/>
      <c r="B497" s="70"/>
      <c r="C497" s="83" t="s">
        <v>351</v>
      </c>
      <c r="D497" s="71">
        <v>1686113</v>
      </c>
      <c r="E497" s="71"/>
      <c r="F497" s="71"/>
      <c r="G497" s="71"/>
      <c r="H497" s="71"/>
      <c r="I497" s="135"/>
    </row>
    <row r="498" spans="1:9" s="7" customFormat="1" ht="21" customHeight="1">
      <c r="A498" s="51">
        <v>921</v>
      </c>
      <c r="B498" s="51"/>
      <c r="C498" s="51" t="s">
        <v>131</v>
      </c>
      <c r="D498" s="52">
        <f>D499+D502</f>
        <v>294300</v>
      </c>
      <c r="E498" s="52"/>
      <c r="F498" s="52"/>
      <c r="G498" s="52"/>
      <c r="H498" s="52"/>
      <c r="I498" s="126"/>
    </row>
    <row r="499" spans="1:9" s="43" customFormat="1" ht="21" customHeight="1">
      <c r="A499" s="54"/>
      <c r="B499" s="72">
        <v>92109</v>
      </c>
      <c r="C499" s="72" t="s">
        <v>74</v>
      </c>
      <c r="D499" s="73">
        <f>D500</f>
        <v>55000</v>
      </c>
      <c r="E499" s="73"/>
      <c r="F499" s="73"/>
      <c r="G499" s="73"/>
      <c r="H499" s="73"/>
      <c r="I499" s="136"/>
    </row>
    <row r="500" spans="1:9" s="7" customFormat="1" ht="27.75" customHeight="1">
      <c r="A500" s="66"/>
      <c r="B500" s="66"/>
      <c r="C500" s="79" t="s">
        <v>319</v>
      </c>
      <c r="D500" s="78">
        <v>55000</v>
      </c>
      <c r="E500" s="78"/>
      <c r="F500" s="78"/>
      <c r="G500" s="78"/>
      <c r="H500" s="78"/>
      <c r="I500" s="137"/>
    </row>
    <row r="501" spans="1:9" s="7" customFormat="1" ht="21" customHeight="1">
      <c r="A501" s="166"/>
      <c r="B501" s="166"/>
      <c r="C501" s="170"/>
      <c r="D501" s="167"/>
      <c r="E501" s="167"/>
      <c r="F501" s="167"/>
      <c r="G501" s="167"/>
      <c r="H501" s="167"/>
      <c r="I501" s="168"/>
    </row>
    <row r="502" spans="1:9" s="43" customFormat="1" ht="21" customHeight="1">
      <c r="A502" s="54"/>
      <c r="B502" s="72">
        <v>92116</v>
      </c>
      <c r="C502" s="72" t="s">
        <v>129</v>
      </c>
      <c r="D502" s="73">
        <f>D503</f>
        <v>239300</v>
      </c>
      <c r="E502" s="73"/>
      <c r="F502" s="73"/>
      <c r="G502" s="73"/>
      <c r="H502" s="73"/>
      <c r="I502" s="136"/>
    </row>
    <row r="503" spans="1:9" s="7" customFormat="1" ht="44.25" customHeight="1">
      <c r="A503" s="66"/>
      <c r="B503" s="66"/>
      <c r="C503" s="83" t="s">
        <v>320</v>
      </c>
      <c r="D503" s="71">
        <v>239300</v>
      </c>
      <c r="E503" s="71"/>
      <c r="F503" s="71"/>
      <c r="G503" s="71"/>
      <c r="H503" s="71"/>
      <c r="I503" s="135"/>
    </row>
    <row r="504" spans="1:10" ht="20.25" customHeight="1" thickBot="1">
      <c r="A504" s="66"/>
      <c r="B504" s="66"/>
      <c r="C504" s="20" t="s">
        <v>79</v>
      </c>
      <c r="D504" s="19">
        <f>D506+D548</f>
        <v>79702382</v>
      </c>
      <c r="E504" s="19">
        <f>F504+H504</f>
        <v>98423533</v>
      </c>
      <c r="F504" s="19">
        <f>F506+F548</f>
        <v>98339533</v>
      </c>
      <c r="G504" s="19">
        <f>G506+G548</f>
        <v>430000</v>
      </c>
      <c r="H504" s="19">
        <f>H506+H548</f>
        <v>84000</v>
      </c>
      <c r="I504" s="143">
        <f t="shared" si="24"/>
        <v>1.2348882245451585</v>
      </c>
      <c r="J504" s="6"/>
    </row>
    <row r="505" spans="1:9" ht="15" customHeight="1" thickTop="1">
      <c r="A505" s="66"/>
      <c r="B505" s="66"/>
      <c r="C505" s="66" t="s">
        <v>9</v>
      </c>
      <c r="D505" s="78"/>
      <c r="E505" s="78"/>
      <c r="F505" s="78"/>
      <c r="G505" s="78"/>
      <c r="H505" s="78"/>
      <c r="I505" s="137"/>
    </row>
    <row r="506" spans="1:9" ht="19.5" customHeight="1">
      <c r="A506" s="70"/>
      <c r="B506" s="70"/>
      <c r="C506" s="22" t="s">
        <v>147</v>
      </c>
      <c r="D506" s="23">
        <f>D507+D513+D521+D524+D545</f>
        <v>58419064</v>
      </c>
      <c r="E506" s="23">
        <f>E507+E513+E521+E524+E545</f>
        <v>77185296</v>
      </c>
      <c r="F506" s="23">
        <f>F507+F513+F521+F524+F545</f>
        <v>77150296</v>
      </c>
      <c r="G506" s="23"/>
      <c r="H506" s="23">
        <f>H507+H513+H521+H524+H545</f>
        <v>35000</v>
      </c>
      <c r="I506" s="145">
        <f t="shared" si="24"/>
        <v>1.3212347257052937</v>
      </c>
    </row>
    <row r="507" spans="1:9" s="7" customFormat="1" ht="19.5" customHeight="1">
      <c r="A507" s="50">
        <v>750</v>
      </c>
      <c r="B507" s="50"/>
      <c r="C507" s="50" t="s">
        <v>29</v>
      </c>
      <c r="D507" s="65">
        <f>D508</f>
        <v>1575398</v>
      </c>
      <c r="E507" s="65">
        <f>E508</f>
        <v>1567696</v>
      </c>
      <c r="F507" s="65">
        <f>F508</f>
        <v>1567696</v>
      </c>
      <c r="G507" s="65"/>
      <c r="H507" s="65"/>
      <c r="I507" s="132">
        <f t="shared" si="24"/>
        <v>0.9951110766930008</v>
      </c>
    </row>
    <row r="508" spans="1:9" s="21" customFormat="1" ht="19.5" customHeight="1">
      <c r="A508" s="95"/>
      <c r="B508" s="90">
        <v>75011</v>
      </c>
      <c r="C508" s="90" t="s">
        <v>80</v>
      </c>
      <c r="D508" s="91">
        <f>SUM(D509:D512)</f>
        <v>1575398</v>
      </c>
      <c r="E508" s="91">
        <f>SUM(E509:E512)</f>
        <v>1567696</v>
      </c>
      <c r="F508" s="91">
        <f>SUM(F509:F512)</f>
        <v>1567696</v>
      </c>
      <c r="G508" s="91"/>
      <c r="H508" s="91"/>
      <c r="I508" s="139">
        <f t="shared" si="24"/>
        <v>0.9951110766930008</v>
      </c>
    </row>
    <row r="509" spans="1:9" s="21" customFormat="1" ht="19.5" customHeight="1">
      <c r="A509" s="98"/>
      <c r="B509" s="108"/>
      <c r="C509" s="96" t="s">
        <v>279</v>
      </c>
      <c r="D509" s="97">
        <v>1252690</v>
      </c>
      <c r="E509" s="97">
        <f>F509+H509</f>
        <v>1280000</v>
      </c>
      <c r="F509" s="97">
        <v>1280000</v>
      </c>
      <c r="G509" s="97"/>
      <c r="H509" s="97"/>
      <c r="I509" s="140">
        <f t="shared" si="24"/>
        <v>1.0218010840670877</v>
      </c>
    </row>
    <row r="510" spans="1:9" s="21" customFormat="1" ht="19.5" customHeight="1">
      <c r="A510" s="98"/>
      <c r="B510" s="98"/>
      <c r="C510" s="99" t="s">
        <v>43</v>
      </c>
      <c r="D510" s="100">
        <v>52305</v>
      </c>
      <c r="E510" s="100">
        <f>F510+H510</f>
        <v>54300</v>
      </c>
      <c r="F510" s="100">
        <v>54300</v>
      </c>
      <c r="G510" s="100"/>
      <c r="H510" s="100"/>
      <c r="I510" s="141">
        <f t="shared" si="24"/>
        <v>1.0381416690564955</v>
      </c>
    </row>
    <row r="511" spans="1:9" s="21" customFormat="1" ht="19.5" customHeight="1">
      <c r="A511" s="98"/>
      <c r="B511" s="98"/>
      <c r="C511" s="99" t="s">
        <v>44</v>
      </c>
      <c r="D511" s="100">
        <v>239572</v>
      </c>
      <c r="E511" s="100">
        <f>F511+H511</f>
        <v>233396</v>
      </c>
      <c r="F511" s="100">
        <v>233396</v>
      </c>
      <c r="G511" s="100"/>
      <c r="H511" s="100"/>
      <c r="I511" s="141">
        <f t="shared" si="24"/>
        <v>0.9742206935702001</v>
      </c>
    </row>
    <row r="512" spans="1:9" s="21" customFormat="1" ht="19.5" customHeight="1">
      <c r="A512" s="92"/>
      <c r="B512" s="92"/>
      <c r="C512" s="103" t="s">
        <v>324</v>
      </c>
      <c r="D512" s="104">
        <v>30831</v>
      </c>
      <c r="E512" s="104"/>
      <c r="F512" s="104"/>
      <c r="G512" s="104"/>
      <c r="H512" s="104"/>
      <c r="I512" s="142"/>
    </row>
    <row r="513" spans="1:9" s="7" customFormat="1" ht="28.5" customHeight="1">
      <c r="A513" s="109">
        <v>751</v>
      </c>
      <c r="B513" s="51"/>
      <c r="C513" s="106" t="s">
        <v>173</v>
      </c>
      <c r="D513" s="52">
        <f>D514+D517+D519</f>
        <v>850166</v>
      </c>
      <c r="E513" s="52">
        <f>E514</f>
        <v>30200</v>
      </c>
      <c r="F513" s="52">
        <f>F514</f>
        <v>30200</v>
      </c>
      <c r="G513" s="52"/>
      <c r="H513" s="52"/>
      <c r="I513" s="126">
        <f t="shared" si="24"/>
        <v>0.03552247443440457</v>
      </c>
    </row>
    <row r="514" spans="1:9" s="7" customFormat="1" ht="30.75" customHeight="1">
      <c r="A514" s="67"/>
      <c r="B514" s="115">
        <v>75101</v>
      </c>
      <c r="C514" s="88" t="s">
        <v>174</v>
      </c>
      <c r="D514" s="56">
        <f>D515</f>
        <v>29100</v>
      </c>
      <c r="E514" s="56">
        <f>E515</f>
        <v>30200</v>
      </c>
      <c r="F514" s="56">
        <f>F515</f>
        <v>30200</v>
      </c>
      <c r="G514" s="56"/>
      <c r="H514" s="56"/>
      <c r="I514" s="127">
        <f t="shared" si="24"/>
        <v>1.0378006872852235</v>
      </c>
    </row>
    <row r="515" spans="1:9" s="21" customFormat="1" ht="19.5" customHeight="1">
      <c r="A515" s="98"/>
      <c r="B515" s="98"/>
      <c r="C515" s="99" t="s">
        <v>236</v>
      </c>
      <c r="D515" s="100">
        <v>29100</v>
      </c>
      <c r="E515" s="100">
        <f>F515+H515</f>
        <v>30200</v>
      </c>
      <c r="F515" s="100">
        <v>30200</v>
      </c>
      <c r="G515" s="100"/>
      <c r="H515" s="100"/>
      <c r="I515" s="141">
        <f t="shared" si="24"/>
        <v>1.0378006872852235</v>
      </c>
    </row>
    <row r="516" spans="1:9" s="44" customFormat="1" ht="18.75" customHeight="1">
      <c r="A516" s="58"/>
      <c r="B516" s="205"/>
      <c r="C516" s="205" t="s">
        <v>281</v>
      </c>
      <c r="D516" s="210">
        <v>23300</v>
      </c>
      <c r="E516" s="210">
        <f>F516+H516</f>
        <v>25000</v>
      </c>
      <c r="F516" s="210">
        <v>25000</v>
      </c>
      <c r="G516" s="210"/>
      <c r="H516" s="210"/>
      <c r="I516" s="211">
        <f t="shared" si="24"/>
        <v>1.0729613733905579</v>
      </c>
    </row>
    <row r="517" spans="1:9" s="7" customFormat="1" ht="19.5" customHeight="1">
      <c r="A517" s="66"/>
      <c r="B517" s="72">
        <v>75107</v>
      </c>
      <c r="C517" s="82" t="s">
        <v>325</v>
      </c>
      <c r="D517" s="73">
        <f>D518</f>
        <v>315306</v>
      </c>
      <c r="E517" s="73"/>
      <c r="F517" s="73"/>
      <c r="G517" s="73"/>
      <c r="H517" s="73"/>
      <c r="I517" s="136"/>
    </row>
    <row r="518" spans="1:9" s="21" customFormat="1" ht="19.5" customHeight="1">
      <c r="A518" s="98"/>
      <c r="B518" s="226"/>
      <c r="C518" s="226" t="s">
        <v>326</v>
      </c>
      <c r="D518" s="227">
        <v>315306</v>
      </c>
      <c r="E518" s="227"/>
      <c r="F518" s="227"/>
      <c r="G518" s="227"/>
      <c r="H518" s="227"/>
      <c r="I518" s="228"/>
    </row>
    <row r="519" spans="1:9" s="7" customFormat="1" ht="19.5" customHeight="1">
      <c r="A519" s="66"/>
      <c r="B519" s="72">
        <v>75108</v>
      </c>
      <c r="C519" s="82" t="s">
        <v>327</v>
      </c>
      <c r="D519" s="73">
        <f>D520</f>
        <v>505760</v>
      </c>
      <c r="E519" s="73"/>
      <c r="F519" s="73"/>
      <c r="G519" s="73"/>
      <c r="H519" s="73"/>
      <c r="I519" s="136"/>
    </row>
    <row r="520" spans="1:9" s="21" customFormat="1" ht="19.5" customHeight="1">
      <c r="A520" s="92"/>
      <c r="B520" s="92"/>
      <c r="C520" s="103" t="s">
        <v>328</v>
      </c>
      <c r="D520" s="104">
        <v>505760</v>
      </c>
      <c r="E520" s="104"/>
      <c r="F520" s="104"/>
      <c r="G520" s="104"/>
      <c r="H520" s="104"/>
      <c r="I520" s="142"/>
    </row>
    <row r="521" spans="1:9" s="7" customFormat="1" ht="19.5" customHeight="1">
      <c r="A521" s="109">
        <v>754</v>
      </c>
      <c r="B521" s="51"/>
      <c r="C521" s="106" t="s">
        <v>31</v>
      </c>
      <c r="D521" s="52">
        <f aca="true" t="shared" si="25" ref="D521:F522">D522</f>
        <v>1800</v>
      </c>
      <c r="E521" s="52">
        <f t="shared" si="25"/>
        <v>1800</v>
      </c>
      <c r="F521" s="52">
        <f t="shared" si="25"/>
        <v>1800</v>
      </c>
      <c r="G521" s="52"/>
      <c r="H521" s="52"/>
      <c r="I521" s="126">
        <f t="shared" si="24"/>
        <v>1</v>
      </c>
    </row>
    <row r="522" spans="1:9" s="7" customFormat="1" ht="19.5" customHeight="1">
      <c r="A522" s="67"/>
      <c r="B522" s="55">
        <v>75414</v>
      </c>
      <c r="C522" s="88" t="s">
        <v>81</v>
      </c>
      <c r="D522" s="56">
        <f t="shared" si="25"/>
        <v>1800</v>
      </c>
      <c r="E522" s="56">
        <f t="shared" si="25"/>
        <v>1800</v>
      </c>
      <c r="F522" s="56">
        <f t="shared" si="25"/>
        <v>1800</v>
      </c>
      <c r="G522" s="56"/>
      <c r="H522" s="56"/>
      <c r="I522" s="127">
        <f t="shared" si="24"/>
        <v>1</v>
      </c>
    </row>
    <row r="523" spans="1:9" s="7" customFormat="1" ht="19.5" customHeight="1">
      <c r="A523" s="70"/>
      <c r="B523" s="70"/>
      <c r="C523" s="83" t="s">
        <v>226</v>
      </c>
      <c r="D523" s="71">
        <v>1800</v>
      </c>
      <c r="E523" s="71">
        <f>F523</f>
        <v>1800</v>
      </c>
      <c r="F523" s="71">
        <v>1800</v>
      </c>
      <c r="G523" s="71"/>
      <c r="H523" s="71"/>
      <c r="I523" s="135">
        <f t="shared" si="24"/>
        <v>1</v>
      </c>
    </row>
    <row r="524" spans="1:9" s="7" customFormat="1" ht="19.5" customHeight="1">
      <c r="A524" s="51">
        <v>852</v>
      </c>
      <c r="B524" s="51"/>
      <c r="C524" s="51" t="s">
        <v>198</v>
      </c>
      <c r="D524" s="52">
        <f>D525+D537+D539+D541+D532+D543</f>
        <v>55966200</v>
      </c>
      <c r="E524" s="52">
        <f>E525+E537+E539+E541+E532+E543</f>
        <v>75585600</v>
      </c>
      <c r="F524" s="52">
        <f>F525+F537+F539+F541+F532+F543</f>
        <v>75550600</v>
      </c>
      <c r="G524" s="52"/>
      <c r="H524" s="52">
        <f>H525+H537+H539+H541+H532+H543</f>
        <v>35000</v>
      </c>
      <c r="I524" s="126">
        <f t="shared" si="24"/>
        <v>1.3505580153735648</v>
      </c>
    </row>
    <row r="525" spans="1:9" s="7" customFormat="1" ht="19.5" customHeight="1">
      <c r="A525" s="66"/>
      <c r="B525" s="55">
        <v>85203</v>
      </c>
      <c r="C525" s="55" t="s">
        <v>55</v>
      </c>
      <c r="D525" s="56">
        <f>D526+D531</f>
        <v>782000</v>
      </c>
      <c r="E525" s="56">
        <f>E526+E531</f>
        <v>806000</v>
      </c>
      <c r="F525" s="56">
        <f>F526+F531</f>
        <v>771000</v>
      </c>
      <c r="G525" s="56"/>
      <c r="H525" s="56">
        <f>H526+H531</f>
        <v>35000</v>
      </c>
      <c r="I525" s="127">
        <f t="shared" si="24"/>
        <v>1.030690537084399</v>
      </c>
    </row>
    <row r="526" spans="1:9" s="7" customFormat="1" ht="22.5" customHeight="1">
      <c r="A526" s="66"/>
      <c r="B526" s="66"/>
      <c r="C526" s="155" t="s">
        <v>353</v>
      </c>
      <c r="D526" s="156">
        <f>SUM(D527:D530)</f>
        <v>560000</v>
      </c>
      <c r="E526" s="156">
        <f>SUM(E527:E530)</f>
        <v>515000</v>
      </c>
      <c r="F526" s="156">
        <f>SUM(F527:F530)</f>
        <v>500000</v>
      </c>
      <c r="G526" s="156"/>
      <c r="H526" s="156">
        <f>SUM(H527:H530)</f>
        <v>15000</v>
      </c>
      <c r="I526" s="157">
        <f t="shared" si="24"/>
        <v>0.9196428571428571</v>
      </c>
    </row>
    <row r="527" spans="1:9" s="7" customFormat="1" ht="19.5" customHeight="1">
      <c r="A527" s="66"/>
      <c r="B527" s="66"/>
      <c r="C527" s="160" t="s">
        <v>279</v>
      </c>
      <c r="D527" s="161">
        <v>303000</v>
      </c>
      <c r="E527" s="161">
        <f>F527+H527</f>
        <v>315000</v>
      </c>
      <c r="F527" s="161">
        <v>315000</v>
      </c>
      <c r="G527" s="161"/>
      <c r="H527" s="161"/>
      <c r="I527" s="162">
        <f t="shared" si="24"/>
        <v>1.0396039603960396</v>
      </c>
    </row>
    <row r="528" spans="1:9" s="7" customFormat="1" ht="19.5" customHeight="1">
      <c r="A528" s="66"/>
      <c r="B528" s="66"/>
      <c r="C528" s="76" t="s">
        <v>43</v>
      </c>
      <c r="D528" s="75">
        <v>198000</v>
      </c>
      <c r="E528" s="75">
        <f aca="true" t="shared" si="26" ref="E528:E536">F528+H528</f>
        <v>121600</v>
      </c>
      <c r="F528" s="75">
        <v>121600</v>
      </c>
      <c r="G528" s="75"/>
      <c r="H528" s="75"/>
      <c r="I528" s="134">
        <f t="shared" si="24"/>
        <v>0.6141414141414141</v>
      </c>
    </row>
    <row r="529" spans="1:9" s="7" customFormat="1" ht="19.5" customHeight="1">
      <c r="A529" s="66"/>
      <c r="B529" s="66"/>
      <c r="C529" s="76" t="s">
        <v>44</v>
      </c>
      <c r="D529" s="75">
        <v>59000</v>
      </c>
      <c r="E529" s="75">
        <f t="shared" si="26"/>
        <v>63400</v>
      </c>
      <c r="F529" s="75">
        <v>63400</v>
      </c>
      <c r="G529" s="75"/>
      <c r="H529" s="75"/>
      <c r="I529" s="134">
        <f t="shared" si="24"/>
        <v>1.0745762711864406</v>
      </c>
    </row>
    <row r="530" spans="1:9" s="7" customFormat="1" ht="19.5" customHeight="1">
      <c r="A530" s="70"/>
      <c r="B530" s="70"/>
      <c r="C530" s="70" t="s">
        <v>6</v>
      </c>
      <c r="D530" s="71"/>
      <c r="E530" s="71">
        <f t="shared" si="26"/>
        <v>15000</v>
      </c>
      <c r="F530" s="242"/>
      <c r="G530" s="242"/>
      <c r="H530" s="71">
        <v>15000</v>
      </c>
      <c r="I530" s="135"/>
    </row>
    <row r="531" spans="1:9" s="7" customFormat="1" ht="28.5" customHeight="1">
      <c r="A531" s="66"/>
      <c r="B531" s="70"/>
      <c r="C531" s="83" t="s">
        <v>235</v>
      </c>
      <c r="D531" s="71">
        <v>222000</v>
      </c>
      <c r="E531" s="71">
        <f t="shared" si="26"/>
        <v>291000</v>
      </c>
      <c r="F531" s="71">
        <f>271000</f>
        <v>271000</v>
      </c>
      <c r="G531" s="71"/>
      <c r="H531" s="71">
        <v>20000</v>
      </c>
      <c r="I531" s="135">
        <f t="shared" si="24"/>
        <v>1.3108108108108107</v>
      </c>
    </row>
    <row r="532" spans="1:9" s="7" customFormat="1" ht="31.5" customHeight="1">
      <c r="A532" s="66"/>
      <c r="B532" s="115">
        <v>85212</v>
      </c>
      <c r="C532" s="82" t="s">
        <v>271</v>
      </c>
      <c r="D532" s="73">
        <f>SUM(D533:D536)</f>
        <v>45881000</v>
      </c>
      <c r="E532" s="73">
        <f>SUM(E533:E536)</f>
        <v>64522000</v>
      </c>
      <c r="F532" s="73">
        <f>SUM(F533:F536)</f>
        <v>64522000</v>
      </c>
      <c r="G532" s="73"/>
      <c r="H532" s="73"/>
      <c r="I532" s="136">
        <f t="shared" si="24"/>
        <v>1.4062901854798282</v>
      </c>
    </row>
    <row r="533" spans="1:9" s="7" customFormat="1" ht="19.5" customHeight="1">
      <c r="A533" s="66"/>
      <c r="B533" s="66"/>
      <c r="C533" s="94" t="s">
        <v>279</v>
      </c>
      <c r="D533" s="60">
        <v>809881</v>
      </c>
      <c r="E533" s="60">
        <f t="shared" si="26"/>
        <v>1192600</v>
      </c>
      <c r="F533" s="60">
        <v>1192600</v>
      </c>
      <c r="G533" s="60"/>
      <c r="H533" s="60"/>
      <c r="I533" s="133">
        <f t="shared" si="24"/>
        <v>1.4725620183706</v>
      </c>
    </row>
    <row r="534" spans="1:9" s="7" customFormat="1" ht="19.5" customHeight="1">
      <c r="A534" s="66"/>
      <c r="B534" s="66"/>
      <c r="C534" s="76" t="s">
        <v>43</v>
      </c>
      <c r="D534" s="75">
        <v>361039</v>
      </c>
      <c r="E534" s="75">
        <f t="shared" si="26"/>
        <v>462400</v>
      </c>
      <c r="F534" s="75">
        <v>462400</v>
      </c>
      <c r="G534" s="75"/>
      <c r="H534" s="75"/>
      <c r="I534" s="134">
        <f t="shared" si="24"/>
        <v>1.2807480632286263</v>
      </c>
    </row>
    <row r="535" spans="1:9" s="7" customFormat="1" ht="19.5" customHeight="1">
      <c r="A535" s="66"/>
      <c r="B535" s="66"/>
      <c r="C535" s="76" t="s">
        <v>44</v>
      </c>
      <c r="D535" s="75">
        <v>165420</v>
      </c>
      <c r="E535" s="75">
        <f t="shared" si="26"/>
        <v>223000</v>
      </c>
      <c r="F535" s="75">
        <v>223000</v>
      </c>
      <c r="G535" s="75"/>
      <c r="H535" s="75"/>
      <c r="I535" s="134">
        <f t="shared" si="24"/>
        <v>1.3480836658203361</v>
      </c>
    </row>
    <row r="536" spans="1:9" s="7" customFormat="1" ht="19.5" customHeight="1">
      <c r="A536" s="66"/>
      <c r="B536" s="70"/>
      <c r="C536" s="80" t="s">
        <v>260</v>
      </c>
      <c r="D536" s="62">
        <v>44544660</v>
      </c>
      <c r="E536" s="62">
        <f t="shared" si="26"/>
        <v>62644000</v>
      </c>
      <c r="F536" s="62">
        <f>61954000+690000</f>
        <v>62644000</v>
      </c>
      <c r="G536" s="62"/>
      <c r="H536" s="62"/>
      <c r="I536" s="138">
        <f t="shared" si="24"/>
        <v>1.406318961689235</v>
      </c>
    </row>
    <row r="537" spans="1:9" s="7" customFormat="1" ht="44.25" customHeight="1">
      <c r="A537" s="66"/>
      <c r="B537" s="115">
        <v>85213</v>
      </c>
      <c r="C537" s="82" t="s">
        <v>278</v>
      </c>
      <c r="D537" s="73">
        <f>D538</f>
        <v>800000</v>
      </c>
      <c r="E537" s="73">
        <f>E538</f>
        <v>814600</v>
      </c>
      <c r="F537" s="73">
        <f>F538</f>
        <v>814600</v>
      </c>
      <c r="G537" s="73"/>
      <c r="H537" s="73"/>
      <c r="I537" s="136">
        <f t="shared" si="24"/>
        <v>1.01825</v>
      </c>
    </row>
    <row r="538" spans="1:9" s="7" customFormat="1" ht="29.25" customHeight="1">
      <c r="A538" s="66"/>
      <c r="B538" s="84"/>
      <c r="C538" s="85" t="s">
        <v>211</v>
      </c>
      <c r="D538" s="86">
        <v>800000</v>
      </c>
      <c r="E538" s="86">
        <f>F538</f>
        <v>814600</v>
      </c>
      <c r="F538" s="86">
        <v>814600</v>
      </c>
      <c r="G538" s="86"/>
      <c r="H538" s="86"/>
      <c r="I538" s="128">
        <f t="shared" si="24"/>
        <v>1.01825</v>
      </c>
    </row>
    <row r="539" spans="1:9" s="7" customFormat="1" ht="31.5" customHeight="1">
      <c r="A539" s="66"/>
      <c r="B539" s="115">
        <v>85214</v>
      </c>
      <c r="C539" s="82" t="s">
        <v>302</v>
      </c>
      <c r="D539" s="73">
        <f>SUM(D540:D540)</f>
        <v>7704200</v>
      </c>
      <c r="E539" s="73">
        <f>SUM(E540:E540)</f>
        <v>8737000</v>
      </c>
      <c r="F539" s="73">
        <f>SUM(F540:F540)</f>
        <v>8737000</v>
      </c>
      <c r="G539" s="73"/>
      <c r="H539" s="73"/>
      <c r="I539" s="136">
        <f t="shared" si="24"/>
        <v>1.1340567482671788</v>
      </c>
    </row>
    <row r="540" spans="1:9" s="7" customFormat="1" ht="19.5" customHeight="1">
      <c r="A540" s="66"/>
      <c r="B540" s="84"/>
      <c r="C540" s="84" t="s">
        <v>92</v>
      </c>
      <c r="D540" s="86">
        <v>7704200</v>
      </c>
      <c r="E540" s="86">
        <f>F540</f>
        <v>8737000</v>
      </c>
      <c r="F540" s="86">
        <f>8733238+3762</f>
        <v>8737000</v>
      </c>
      <c r="G540" s="86"/>
      <c r="H540" s="86"/>
      <c r="I540" s="128">
        <f t="shared" si="24"/>
        <v>1.1340567482671788</v>
      </c>
    </row>
    <row r="541" spans="1:9" s="7" customFormat="1" ht="19.5" customHeight="1">
      <c r="A541" s="66"/>
      <c r="B541" s="72">
        <v>85228</v>
      </c>
      <c r="C541" s="82" t="s">
        <v>59</v>
      </c>
      <c r="D541" s="73">
        <f>D542</f>
        <v>717000</v>
      </c>
      <c r="E541" s="73">
        <f>E542</f>
        <v>706000</v>
      </c>
      <c r="F541" s="73">
        <f>F542</f>
        <v>706000</v>
      </c>
      <c r="G541" s="73"/>
      <c r="H541" s="73"/>
      <c r="I541" s="136">
        <f t="shared" si="24"/>
        <v>0.9846582984658299</v>
      </c>
    </row>
    <row r="542" spans="1:9" s="7" customFormat="1" ht="19.5" customHeight="1">
      <c r="A542" s="66"/>
      <c r="B542" s="70"/>
      <c r="C542" s="83" t="s">
        <v>133</v>
      </c>
      <c r="D542" s="71">
        <v>717000</v>
      </c>
      <c r="E542" s="71">
        <f>F542</f>
        <v>706000</v>
      </c>
      <c r="F542" s="71">
        <v>706000</v>
      </c>
      <c r="G542" s="71"/>
      <c r="H542" s="71"/>
      <c r="I542" s="135">
        <f t="shared" si="24"/>
        <v>0.9846582984658299</v>
      </c>
    </row>
    <row r="543" spans="1:9" s="7" customFormat="1" ht="19.5" customHeight="1">
      <c r="A543" s="66"/>
      <c r="B543" s="72">
        <v>85278</v>
      </c>
      <c r="C543" s="82" t="s">
        <v>329</v>
      </c>
      <c r="D543" s="73">
        <f>D544</f>
        <v>82000</v>
      </c>
      <c r="E543" s="73"/>
      <c r="F543" s="73"/>
      <c r="G543" s="73"/>
      <c r="H543" s="73"/>
      <c r="I543" s="136"/>
    </row>
    <row r="544" spans="1:9" s="7" customFormat="1" ht="19.5" customHeight="1">
      <c r="A544" s="70"/>
      <c r="B544" s="70"/>
      <c r="C544" s="83" t="s">
        <v>330</v>
      </c>
      <c r="D544" s="71">
        <v>82000</v>
      </c>
      <c r="E544" s="71"/>
      <c r="F544" s="71"/>
      <c r="G544" s="71"/>
      <c r="H544" s="71"/>
      <c r="I544" s="135"/>
    </row>
    <row r="545" spans="1:9" s="7" customFormat="1" ht="19.5" customHeight="1">
      <c r="A545" s="51">
        <v>854</v>
      </c>
      <c r="B545" s="51"/>
      <c r="C545" s="51" t="s">
        <v>61</v>
      </c>
      <c r="D545" s="52">
        <f>D546</f>
        <v>25500</v>
      </c>
      <c r="E545" s="52"/>
      <c r="F545" s="52"/>
      <c r="G545" s="52"/>
      <c r="H545" s="52"/>
      <c r="I545" s="126"/>
    </row>
    <row r="546" spans="1:9" s="7" customFormat="1" ht="19.5" customHeight="1">
      <c r="A546" s="66"/>
      <c r="B546" s="72">
        <v>85401</v>
      </c>
      <c r="C546" s="72" t="s">
        <v>62</v>
      </c>
      <c r="D546" s="73">
        <f>D547</f>
        <v>25500</v>
      </c>
      <c r="E546" s="73"/>
      <c r="F546" s="73"/>
      <c r="G546" s="73"/>
      <c r="H546" s="73"/>
      <c r="I546" s="136"/>
    </row>
    <row r="547" spans="1:9" s="7" customFormat="1" ht="19.5" customHeight="1">
      <c r="A547" s="66"/>
      <c r="B547" s="67"/>
      <c r="C547" s="70" t="s">
        <v>261</v>
      </c>
      <c r="D547" s="71">
        <v>25500</v>
      </c>
      <c r="E547" s="71"/>
      <c r="F547" s="71"/>
      <c r="G547" s="71"/>
      <c r="H547" s="71"/>
      <c r="I547" s="135"/>
    </row>
    <row r="548" spans="1:9" ht="27" customHeight="1">
      <c r="A548" s="70"/>
      <c r="B548" s="70"/>
      <c r="C548" s="24" t="s">
        <v>82</v>
      </c>
      <c r="D548" s="23">
        <f>D549+D552+D559+D571+D579+D583+D601+D567</f>
        <v>21283318</v>
      </c>
      <c r="E548" s="23">
        <f>E549+E552+E559+E571+E579+E583+E601+E567</f>
        <v>21238237</v>
      </c>
      <c r="F548" s="23">
        <f>F549+F552+F559+F571+F579+F583+F601+F567</f>
        <v>21189237</v>
      </c>
      <c r="G548" s="23">
        <f>G549+G552+G559+G571+G579+G583+G601+G567</f>
        <v>430000</v>
      </c>
      <c r="H548" s="23">
        <f>H549+H552+H559+H571+H579+H583+H601+H567</f>
        <v>49000</v>
      </c>
      <c r="I548" s="145">
        <f t="shared" si="24"/>
        <v>0.9978818622171599</v>
      </c>
    </row>
    <row r="549" spans="1:9" s="7" customFormat="1" ht="19.5" customHeight="1">
      <c r="A549" s="110" t="s">
        <v>89</v>
      </c>
      <c r="B549" s="51"/>
      <c r="C549" s="51" t="s">
        <v>23</v>
      </c>
      <c r="D549" s="52">
        <f aca="true" t="shared" si="27" ref="D549:F550">D550</f>
        <v>930003</v>
      </c>
      <c r="E549" s="52">
        <f t="shared" si="27"/>
        <v>600000</v>
      </c>
      <c r="F549" s="52">
        <f t="shared" si="27"/>
        <v>600000</v>
      </c>
      <c r="G549" s="52">
        <f>G550</f>
        <v>250000</v>
      </c>
      <c r="H549" s="52"/>
      <c r="I549" s="126">
        <f t="shared" si="24"/>
        <v>0.6451592091638414</v>
      </c>
    </row>
    <row r="550" spans="1:9" s="7" customFormat="1" ht="19.5" customHeight="1">
      <c r="A550" s="67"/>
      <c r="B550" s="55">
        <v>70005</v>
      </c>
      <c r="C550" s="111" t="s">
        <v>25</v>
      </c>
      <c r="D550" s="56">
        <f t="shared" si="27"/>
        <v>930003</v>
      </c>
      <c r="E550" s="56">
        <f t="shared" si="27"/>
        <v>600000</v>
      </c>
      <c r="F550" s="56">
        <f t="shared" si="27"/>
        <v>600000</v>
      </c>
      <c r="G550" s="56">
        <f>G551</f>
        <v>250000</v>
      </c>
      <c r="H550" s="56"/>
      <c r="I550" s="127">
        <f t="shared" si="24"/>
        <v>0.6451592091638414</v>
      </c>
    </row>
    <row r="551" spans="1:9" s="7" customFormat="1" ht="19.5" customHeight="1">
      <c r="A551" s="70"/>
      <c r="B551" s="70"/>
      <c r="C551" s="92" t="s">
        <v>90</v>
      </c>
      <c r="D551" s="71">
        <v>930003</v>
      </c>
      <c r="E551" s="71">
        <f>F551+H551</f>
        <v>600000</v>
      </c>
      <c r="F551" s="71">
        <v>600000</v>
      </c>
      <c r="G551" s="71">
        <v>250000</v>
      </c>
      <c r="H551" s="71"/>
      <c r="I551" s="135">
        <f t="shared" si="24"/>
        <v>0.6451592091638414</v>
      </c>
    </row>
    <row r="552" spans="1:9" s="7" customFormat="1" ht="19.5" customHeight="1">
      <c r="A552" s="51">
        <v>710</v>
      </c>
      <c r="B552" s="51"/>
      <c r="C552" s="51" t="s">
        <v>26</v>
      </c>
      <c r="D552" s="52">
        <f>D553+D555</f>
        <v>519125</v>
      </c>
      <c r="E552" s="52">
        <f>E553+E555</f>
        <v>551168</v>
      </c>
      <c r="F552" s="52">
        <f>F553+F555</f>
        <v>551168</v>
      </c>
      <c r="G552" s="52"/>
      <c r="H552" s="52"/>
      <c r="I552" s="126">
        <f t="shared" si="24"/>
        <v>1.0617250180592344</v>
      </c>
    </row>
    <row r="553" spans="1:9" s="7" customFormat="1" ht="19.5" customHeight="1">
      <c r="A553" s="66"/>
      <c r="B553" s="55">
        <v>71013</v>
      </c>
      <c r="C553" s="55" t="s">
        <v>85</v>
      </c>
      <c r="D553" s="56">
        <f>D554</f>
        <v>114000</v>
      </c>
      <c r="E553" s="56">
        <f>E554</f>
        <v>100000</v>
      </c>
      <c r="F553" s="56">
        <f>F554</f>
        <v>100000</v>
      </c>
      <c r="G553" s="56"/>
      <c r="H553" s="56"/>
      <c r="I553" s="127">
        <f t="shared" si="24"/>
        <v>0.8771929824561403</v>
      </c>
    </row>
    <row r="554" spans="1:9" s="7" customFormat="1" ht="19.5" customHeight="1">
      <c r="A554" s="66"/>
      <c r="B554" s="70"/>
      <c r="C554" s="92" t="s">
        <v>344</v>
      </c>
      <c r="D554" s="71">
        <v>114000</v>
      </c>
      <c r="E554" s="71">
        <f>F554+H554</f>
        <v>100000</v>
      </c>
      <c r="F554" s="71">
        <v>100000</v>
      </c>
      <c r="G554" s="71"/>
      <c r="H554" s="71"/>
      <c r="I554" s="135">
        <f t="shared" si="24"/>
        <v>0.8771929824561403</v>
      </c>
    </row>
    <row r="555" spans="1:9" s="7" customFormat="1" ht="19.5" customHeight="1">
      <c r="A555" s="66"/>
      <c r="B555" s="72">
        <v>71015</v>
      </c>
      <c r="C555" s="82" t="s">
        <v>93</v>
      </c>
      <c r="D555" s="73">
        <f>SUM(D556:D558)</f>
        <v>405125</v>
      </c>
      <c r="E555" s="73">
        <f>SUM(E556:E558)</f>
        <v>451168</v>
      </c>
      <c r="F555" s="73">
        <f>SUM(F556:F558)</f>
        <v>451168</v>
      </c>
      <c r="G555" s="73"/>
      <c r="H555" s="73"/>
      <c r="I555" s="136">
        <f t="shared" si="24"/>
        <v>1.11365134217834</v>
      </c>
    </row>
    <row r="556" spans="1:9" s="7" customFormat="1" ht="19.5" customHeight="1">
      <c r="A556" s="66"/>
      <c r="B556" s="66"/>
      <c r="C556" s="96" t="s">
        <v>279</v>
      </c>
      <c r="D556" s="69">
        <v>277544</v>
      </c>
      <c r="E556" s="69">
        <f>F556+H556</f>
        <v>325900</v>
      </c>
      <c r="F556" s="69">
        <v>325900</v>
      </c>
      <c r="G556" s="69"/>
      <c r="H556" s="69"/>
      <c r="I556" s="133">
        <f t="shared" si="24"/>
        <v>1.174228230478771</v>
      </c>
    </row>
    <row r="557" spans="1:9" s="7" customFormat="1" ht="19.5" customHeight="1">
      <c r="A557" s="70"/>
      <c r="B557" s="70"/>
      <c r="C557" s="92" t="s">
        <v>43</v>
      </c>
      <c r="D557" s="71">
        <v>74981</v>
      </c>
      <c r="E557" s="71">
        <f>F557+H557</f>
        <v>60068</v>
      </c>
      <c r="F557" s="71">
        <v>60068</v>
      </c>
      <c r="G557" s="71"/>
      <c r="H557" s="71"/>
      <c r="I557" s="135">
        <f t="shared" si="24"/>
        <v>0.801109614435657</v>
      </c>
    </row>
    <row r="558" spans="1:9" s="7" customFormat="1" ht="19.5" customHeight="1">
      <c r="A558" s="70"/>
      <c r="B558" s="70"/>
      <c r="C558" s="92" t="s">
        <v>44</v>
      </c>
      <c r="D558" s="71">
        <v>52600</v>
      </c>
      <c r="E558" s="71">
        <f>F558+H558</f>
        <v>65200</v>
      </c>
      <c r="F558" s="71">
        <v>65200</v>
      </c>
      <c r="G558" s="71"/>
      <c r="H558" s="71"/>
      <c r="I558" s="135">
        <f t="shared" si="24"/>
        <v>1.2395437262357414</v>
      </c>
    </row>
    <row r="559" spans="1:9" s="7" customFormat="1" ht="21" customHeight="1">
      <c r="A559" s="51">
        <v>750</v>
      </c>
      <c r="B559" s="51"/>
      <c r="C559" s="51" t="s">
        <v>29</v>
      </c>
      <c r="D559" s="52">
        <f>D560+D564</f>
        <v>940144</v>
      </c>
      <c r="E559" s="52">
        <f>E560+E564</f>
        <v>952669</v>
      </c>
      <c r="F559" s="52">
        <f>F560+F564</f>
        <v>952669</v>
      </c>
      <c r="G559" s="52"/>
      <c r="H559" s="52"/>
      <c r="I559" s="126">
        <f aca="true" t="shared" si="28" ref="I559:I606">E559/D559</f>
        <v>1.0133224272026413</v>
      </c>
    </row>
    <row r="560" spans="1:9" s="21" customFormat="1" ht="21" customHeight="1">
      <c r="A560" s="95"/>
      <c r="B560" s="90">
        <v>75011</v>
      </c>
      <c r="C560" s="90" t="s">
        <v>80</v>
      </c>
      <c r="D560" s="91">
        <f>SUM(D561:D563)</f>
        <v>834144</v>
      </c>
      <c r="E560" s="91">
        <f>SUM(E561:E563)</f>
        <v>846669</v>
      </c>
      <c r="F560" s="91">
        <f>SUM(F561:F563)</f>
        <v>846669</v>
      </c>
      <c r="G560" s="91"/>
      <c r="H560" s="91"/>
      <c r="I560" s="139">
        <f t="shared" si="28"/>
        <v>1.0150153930256647</v>
      </c>
    </row>
    <row r="561" spans="1:9" s="21" customFormat="1" ht="21" customHeight="1">
      <c r="A561" s="98"/>
      <c r="B561" s="108"/>
      <c r="C561" s="96" t="s">
        <v>279</v>
      </c>
      <c r="D561" s="97">
        <v>667770</v>
      </c>
      <c r="E561" s="97">
        <f>F561+H561</f>
        <v>678000</v>
      </c>
      <c r="F561" s="97">
        <v>678000</v>
      </c>
      <c r="G561" s="97"/>
      <c r="H561" s="97"/>
      <c r="I561" s="140">
        <f t="shared" si="28"/>
        <v>1.0153196459858933</v>
      </c>
    </row>
    <row r="562" spans="1:9" s="21" customFormat="1" ht="21" customHeight="1">
      <c r="A562" s="98"/>
      <c r="B562" s="98"/>
      <c r="C562" s="99" t="s">
        <v>43</v>
      </c>
      <c r="D562" s="100">
        <v>36020</v>
      </c>
      <c r="E562" s="100">
        <f>F562+H562</f>
        <v>36540</v>
      </c>
      <c r="F562" s="100">
        <v>36540</v>
      </c>
      <c r="G562" s="100"/>
      <c r="H562" s="100"/>
      <c r="I562" s="141">
        <f t="shared" si="28"/>
        <v>1.014436424208773</v>
      </c>
    </row>
    <row r="563" spans="1:9" s="21" customFormat="1" ht="21" customHeight="1">
      <c r="A563" s="98"/>
      <c r="B563" s="92"/>
      <c r="C563" s="92" t="s">
        <v>44</v>
      </c>
      <c r="D563" s="93">
        <v>130354</v>
      </c>
      <c r="E563" s="93">
        <f>F563+H563</f>
        <v>132129</v>
      </c>
      <c r="F563" s="93">
        <v>132129</v>
      </c>
      <c r="G563" s="93"/>
      <c r="H563" s="93"/>
      <c r="I563" s="142">
        <f t="shared" si="28"/>
        <v>1.0136167666508125</v>
      </c>
    </row>
    <row r="564" spans="1:9" s="7" customFormat="1" ht="21" customHeight="1">
      <c r="A564" s="66"/>
      <c r="B564" s="72">
        <v>75045</v>
      </c>
      <c r="C564" s="90" t="s">
        <v>94</v>
      </c>
      <c r="D564" s="73">
        <f>D565</f>
        <v>106000</v>
      </c>
      <c r="E564" s="73">
        <f>E565</f>
        <v>106000</v>
      </c>
      <c r="F564" s="73">
        <f>F565</f>
        <v>106000</v>
      </c>
      <c r="G564" s="73"/>
      <c r="H564" s="73"/>
      <c r="I564" s="136">
        <f t="shared" si="28"/>
        <v>1</v>
      </c>
    </row>
    <row r="565" spans="1:9" s="21" customFormat="1" ht="21" customHeight="1">
      <c r="A565" s="98"/>
      <c r="B565" s="98"/>
      <c r="C565" s="96" t="s">
        <v>221</v>
      </c>
      <c r="D565" s="97">
        <v>106000</v>
      </c>
      <c r="E565" s="69">
        <f>F565+H565</f>
        <v>106000</v>
      </c>
      <c r="F565" s="97">
        <v>106000</v>
      </c>
      <c r="G565" s="97"/>
      <c r="H565" s="97"/>
      <c r="I565" s="140">
        <f t="shared" si="28"/>
        <v>1</v>
      </c>
    </row>
    <row r="566" spans="1:9" s="44" customFormat="1" ht="18.75" customHeight="1">
      <c r="A566" s="205"/>
      <c r="B566" s="205"/>
      <c r="C566" s="205" t="s">
        <v>281</v>
      </c>
      <c r="D566" s="210">
        <v>57325</v>
      </c>
      <c r="E566" s="210">
        <f>F566+H566</f>
        <v>62000</v>
      </c>
      <c r="F566" s="210">
        <v>62000</v>
      </c>
      <c r="G566" s="210"/>
      <c r="H566" s="210"/>
      <c r="I566" s="211">
        <f t="shared" si="28"/>
        <v>1.0815525512429132</v>
      </c>
    </row>
    <row r="567" spans="1:9" s="7" customFormat="1" ht="21" customHeight="1">
      <c r="A567" s="51">
        <v>752</v>
      </c>
      <c r="B567" s="51"/>
      <c r="C567" s="51" t="s">
        <v>331</v>
      </c>
      <c r="D567" s="52">
        <f aca="true" t="shared" si="29" ref="D567:F568">D568</f>
        <v>1200</v>
      </c>
      <c r="E567" s="52">
        <f t="shared" si="29"/>
        <v>3400</v>
      </c>
      <c r="F567" s="52">
        <f t="shared" si="29"/>
        <v>3400</v>
      </c>
      <c r="G567" s="52"/>
      <c r="H567" s="52"/>
      <c r="I567" s="126">
        <f t="shared" si="28"/>
        <v>2.8333333333333335</v>
      </c>
    </row>
    <row r="568" spans="1:9" s="7" customFormat="1" ht="18.75" customHeight="1">
      <c r="A568" s="66"/>
      <c r="B568" s="55">
        <v>75212</v>
      </c>
      <c r="C568" s="55" t="s">
        <v>332</v>
      </c>
      <c r="D568" s="56">
        <f t="shared" si="29"/>
        <v>1200</v>
      </c>
      <c r="E568" s="56">
        <f t="shared" si="29"/>
        <v>3400</v>
      </c>
      <c r="F568" s="56">
        <f t="shared" si="29"/>
        <v>3400</v>
      </c>
      <c r="G568" s="56"/>
      <c r="H568" s="56"/>
      <c r="I568" s="127">
        <f t="shared" si="28"/>
        <v>2.8333333333333335</v>
      </c>
    </row>
    <row r="569" spans="1:9" s="21" customFormat="1" ht="18.75" customHeight="1">
      <c r="A569" s="98"/>
      <c r="B569" s="98"/>
      <c r="C569" s="96" t="s">
        <v>345</v>
      </c>
      <c r="D569" s="97">
        <v>1200</v>
      </c>
      <c r="E569" s="97">
        <f>F569</f>
        <v>3400</v>
      </c>
      <c r="F569" s="97">
        <v>3400</v>
      </c>
      <c r="G569" s="97"/>
      <c r="H569" s="97"/>
      <c r="I569" s="140">
        <f t="shared" si="28"/>
        <v>2.8333333333333335</v>
      </c>
    </row>
    <row r="570" spans="1:9" s="44" customFormat="1" ht="18.75" customHeight="1">
      <c r="A570" s="205"/>
      <c r="B570" s="205"/>
      <c r="C570" s="205" t="s">
        <v>281</v>
      </c>
      <c r="D570" s="210">
        <v>500</v>
      </c>
      <c r="E570" s="210">
        <f>F570</f>
        <v>1000</v>
      </c>
      <c r="F570" s="210">
        <v>1000</v>
      </c>
      <c r="G570" s="210"/>
      <c r="H570" s="210"/>
      <c r="I570" s="211">
        <f t="shared" si="28"/>
        <v>2</v>
      </c>
    </row>
    <row r="571" spans="1:9" s="7" customFormat="1" ht="18.75" customHeight="1">
      <c r="A571" s="109">
        <v>754</v>
      </c>
      <c r="B571" s="51"/>
      <c r="C571" s="106" t="s">
        <v>31</v>
      </c>
      <c r="D571" s="52">
        <f>D572+D577</f>
        <v>12853000</v>
      </c>
      <c r="E571" s="52">
        <f>E572+E577</f>
        <v>13276000</v>
      </c>
      <c r="F571" s="52">
        <f>F572+F577</f>
        <v>13276000</v>
      </c>
      <c r="G571" s="52">
        <f>G572+G577</f>
        <v>180000</v>
      </c>
      <c r="H571" s="52"/>
      <c r="I571" s="126">
        <f t="shared" si="28"/>
        <v>1.0329106045281258</v>
      </c>
    </row>
    <row r="572" spans="1:9" s="7" customFormat="1" ht="18.75" customHeight="1">
      <c r="A572" s="66"/>
      <c r="B572" s="72">
        <v>75411</v>
      </c>
      <c r="C572" s="90" t="s">
        <v>32</v>
      </c>
      <c r="D572" s="73">
        <f>SUM(D573:D576)</f>
        <v>12841000</v>
      </c>
      <c r="E572" s="73">
        <f>SUM(E573:E576)</f>
        <v>13276000</v>
      </c>
      <c r="F572" s="73">
        <f>SUM(F573:F576)</f>
        <v>13276000</v>
      </c>
      <c r="G572" s="73">
        <f>SUM(G573:G576)</f>
        <v>180000</v>
      </c>
      <c r="H572" s="73"/>
      <c r="I572" s="136">
        <f t="shared" si="28"/>
        <v>1.0338758663655478</v>
      </c>
    </row>
    <row r="573" spans="1:9" s="21" customFormat="1" ht="18.75" customHeight="1">
      <c r="A573" s="98"/>
      <c r="B573" s="108"/>
      <c r="C573" s="96" t="s">
        <v>279</v>
      </c>
      <c r="D573" s="97">
        <v>9552300</v>
      </c>
      <c r="E573" s="97">
        <f>F573+H573</f>
        <v>10148800</v>
      </c>
      <c r="F573" s="97">
        <v>10148800</v>
      </c>
      <c r="G573" s="97"/>
      <c r="H573" s="97"/>
      <c r="I573" s="140">
        <f t="shared" si="28"/>
        <v>1.0624456937072746</v>
      </c>
    </row>
    <row r="574" spans="1:9" s="21" customFormat="1" ht="18.75" customHeight="1">
      <c r="A574" s="98"/>
      <c r="B574" s="98"/>
      <c r="C574" s="99" t="s">
        <v>43</v>
      </c>
      <c r="D574" s="100">
        <v>3007700</v>
      </c>
      <c r="E574" s="100">
        <f>F574+H574</f>
        <v>3090500</v>
      </c>
      <c r="F574" s="100">
        <v>3090500</v>
      </c>
      <c r="G574" s="100">
        <v>180000</v>
      </c>
      <c r="H574" s="100"/>
      <c r="I574" s="141">
        <f t="shared" si="28"/>
        <v>1.0275293413571833</v>
      </c>
    </row>
    <row r="575" spans="1:9" s="21" customFormat="1" ht="18.75" customHeight="1">
      <c r="A575" s="98"/>
      <c r="B575" s="98"/>
      <c r="C575" s="99" t="s">
        <v>44</v>
      </c>
      <c r="D575" s="100">
        <v>31000</v>
      </c>
      <c r="E575" s="100">
        <f>F575+H575</f>
        <v>36700</v>
      </c>
      <c r="F575" s="100">
        <v>36700</v>
      </c>
      <c r="G575" s="100"/>
      <c r="H575" s="100"/>
      <c r="I575" s="141">
        <f t="shared" si="28"/>
        <v>1.1838709677419355</v>
      </c>
    </row>
    <row r="576" spans="1:9" s="21" customFormat="1" ht="18.75" customHeight="1">
      <c r="A576" s="98"/>
      <c r="B576" s="92"/>
      <c r="C576" s="103" t="s">
        <v>6</v>
      </c>
      <c r="D576" s="104">
        <v>250000</v>
      </c>
      <c r="E576" s="104"/>
      <c r="F576" s="104"/>
      <c r="G576" s="104"/>
      <c r="H576" s="104"/>
      <c r="I576" s="142"/>
    </row>
    <row r="577" spans="1:9" s="7" customFormat="1" ht="18.75" customHeight="1">
      <c r="A577" s="66"/>
      <c r="B577" s="72">
        <v>75414</v>
      </c>
      <c r="C577" s="90" t="s">
        <v>81</v>
      </c>
      <c r="D577" s="73">
        <f>D578</f>
        <v>12000</v>
      </c>
      <c r="E577" s="73"/>
      <c r="F577" s="73"/>
      <c r="G577" s="73"/>
      <c r="H577" s="73"/>
      <c r="I577" s="136"/>
    </row>
    <row r="578" spans="1:9" s="21" customFormat="1" ht="18.75" customHeight="1">
      <c r="A578" s="92"/>
      <c r="B578" s="226"/>
      <c r="C578" s="226" t="s">
        <v>6</v>
      </c>
      <c r="D578" s="227">
        <v>12000</v>
      </c>
      <c r="E578" s="227"/>
      <c r="F578" s="227"/>
      <c r="G578" s="227"/>
      <c r="H578" s="227"/>
      <c r="I578" s="228"/>
    </row>
    <row r="579" spans="1:9" s="7" customFormat="1" ht="18.75" customHeight="1">
      <c r="A579" s="51">
        <v>851</v>
      </c>
      <c r="B579" s="51"/>
      <c r="C579" s="51" t="s">
        <v>50</v>
      </c>
      <c r="D579" s="52">
        <f>D580</f>
        <v>2813151</v>
      </c>
      <c r="E579" s="52">
        <f>E580</f>
        <v>3187000</v>
      </c>
      <c r="F579" s="52">
        <f>F580</f>
        <v>3187000</v>
      </c>
      <c r="G579" s="52"/>
      <c r="H579" s="52"/>
      <c r="I579" s="126">
        <f t="shared" si="28"/>
        <v>1.1328933285131157</v>
      </c>
    </row>
    <row r="580" spans="1:10" s="7" customFormat="1" ht="28.5" customHeight="1">
      <c r="A580" s="66"/>
      <c r="B580" s="115">
        <v>85156</v>
      </c>
      <c r="C580" s="112" t="s">
        <v>203</v>
      </c>
      <c r="D580" s="73">
        <f>SUM(D581:D582)</f>
        <v>2813151</v>
      </c>
      <c r="E580" s="73">
        <f>SUM(E581:E582)</f>
        <v>3187000</v>
      </c>
      <c r="F580" s="73">
        <f>SUM(F581:F582)</f>
        <v>3187000</v>
      </c>
      <c r="G580" s="73"/>
      <c r="H580" s="73"/>
      <c r="I580" s="136">
        <f t="shared" si="28"/>
        <v>1.1328933285131157</v>
      </c>
      <c r="J580" s="43"/>
    </row>
    <row r="581" spans="1:9" s="7" customFormat="1" ht="30" customHeight="1">
      <c r="A581" s="66"/>
      <c r="B581" s="66"/>
      <c r="C581" s="113" t="s">
        <v>222</v>
      </c>
      <c r="D581" s="69">
        <v>101151</v>
      </c>
      <c r="E581" s="69">
        <f>F581+H581</f>
        <v>109000</v>
      </c>
      <c r="F581" s="69">
        <v>109000</v>
      </c>
      <c r="G581" s="69"/>
      <c r="H581" s="69"/>
      <c r="I581" s="133">
        <f t="shared" si="28"/>
        <v>1.077596860139791</v>
      </c>
    </row>
    <row r="582" spans="1:9" s="7" customFormat="1" ht="30" customHeight="1">
      <c r="A582" s="70"/>
      <c r="B582" s="70"/>
      <c r="C582" s="107" t="s">
        <v>238</v>
      </c>
      <c r="D582" s="71">
        <v>2712000</v>
      </c>
      <c r="E582" s="71">
        <f>F582</f>
        <v>3078000</v>
      </c>
      <c r="F582" s="71">
        <v>3078000</v>
      </c>
      <c r="G582" s="71"/>
      <c r="H582" s="71"/>
      <c r="I582" s="135">
        <f t="shared" si="28"/>
        <v>1.1349557522123894</v>
      </c>
    </row>
    <row r="583" spans="1:9" s="7" customFormat="1" ht="19.5" customHeight="1">
      <c r="A583" s="51">
        <v>852</v>
      </c>
      <c r="B583" s="51"/>
      <c r="C583" s="51" t="s">
        <v>198</v>
      </c>
      <c r="D583" s="52">
        <f>D584+D599+D597</f>
        <v>2665541</v>
      </c>
      <c r="E583" s="52">
        <f>E584+E599</f>
        <v>2148000</v>
      </c>
      <c r="F583" s="52">
        <f>F584+F599</f>
        <v>2123000</v>
      </c>
      <c r="G583" s="52"/>
      <c r="H583" s="52">
        <f>H584+H599</f>
        <v>25000</v>
      </c>
      <c r="I583" s="126">
        <f t="shared" si="28"/>
        <v>0.8058401652797688</v>
      </c>
    </row>
    <row r="584" spans="1:9" s="7" customFormat="1" ht="19.5" customHeight="1">
      <c r="A584" s="66"/>
      <c r="B584" s="55">
        <v>85203</v>
      </c>
      <c r="C584" s="55" t="s">
        <v>55</v>
      </c>
      <c r="D584" s="56">
        <f>D585+D590+D595+D596</f>
        <v>2415800</v>
      </c>
      <c r="E584" s="56">
        <f>E585+E590+E595+E596</f>
        <v>1914000</v>
      </c>
      <c r="F584" s="56">
        <f>F585+F590+F595+F596</f>
        <v>1889000</v>
      </c>
      <c r="G584" s="56"/>
      <c r="H584" s="56">
        <f>H585+H590+H595+H596</f>
        <v>25000</v>
      </c>
      <c r="I584" s="127">
        <f t="shared" si="28"/>
        <v>0.7922841294809173</v>
      </c>
    </row>
    <row r="585" spans="1:9" s="7" customFormat="1" ht="19.5" customHeight="1">
      <c r="A585" s="66"/>
      <c r="B585" s="67"/>
      <c r="C585" s="155" t="s">
        <v>354</v>
      </c>
      <c r="D585" s="156">
        <f>SUM(D586:D589)</f>
        <v>139400</v>
      </c>
      <c r="E585" s="156">
        <f>F585+H585</f>
        <v>72000</v>
      </c>
      <c r="F585" s="156">
        <f>SUM(F586:F589)</f>
        <v>72000</v>
      </c>
      <c r="G585" s="156"/>
      <c r="H585" s="156"/>
      <c r="I585" s="157">
        <f t="shared" si="28"/>
        <v>0.5164992826398852</v>
      </c>
    </row>
    <row r="586" spans="1:9" s="21" customFormat="1" ht="19.5" customHeight="1">
      <c r="A586" s="92"/>
      <c r="B586" s="92"/>
      <c r="C586" s="92" t="s">
        <v>279</v>
      </c>
      <c r="D586" s="93">
        <v>61800</v>
      </c>
      <c r="E586" s="93">
        <f aca="true" t="shared" si="30" ref="E586:E596">F586+H586</f>
        <v>38000</v>
      </c>
      <c r="F586" s="93">
        <v>38000</v>
      </c>
      <c r="G586" s="93"/>
      <c r="H586" s="93"/>
      <c r="I586" s="243">
        <f t="shared" si="28"/>
        <v>0.6148867313915858</v>
      </c>
    </row>
    <row r="587" spans="1:9" s="21" customFormat="1" ht="19.5" customHeight="1">
      <c r="A587" s="98"/>
      <c r="B587" s="98"/>
      <c r="C587" s="101" t="s">
        <v>43</v>
      </c>
      <c r="D587" s="102">
        <v>58500</v>
      </c>
      <c r="E587" s="102">
        <f t="shared" si="30"/>
        <v>28000</v>
      </c>
      <c r="F587" s="102">
        <v>28000</v>
      </c>
      <c r="G587" s="102"/>
      <c r="H587" s="102"/>
      <c r="I587" s="189">
        <f t="shared" si="28"/>
        <v>0.47863247863247865</v>
      </c>
    </row>
    <row r="588" spans="1:9" s="21" customFormat="1" ht="19.5" customHeight="1">
      <c r="A588" s="98"/>
      <c r="B588" s="98"/>
      <c r="C588" s="99" t="s">
        <v>44</v>
      </c>
      <c r="D588" s="100">
        <v>9100</v>
      </c>
      <c r="E588" s="100">
        <f t="shared" si="30"/>
        <v>6000</v>
      </c>
      <c r="F588" s="100">
        <v>6000</v>
      </c>
      <c r="G588" s="100"/>
      <c r="H588" s="100"/>
      <c r="I588" s="141">
        <f t="shared" si="28"/>
        <v>0.6593406593406593</v>
      </c>
    </row>
    <row r="589" spans="1:9" s="21" customFormat="1" ht="19.5" customHeight="1">
      <c r="A589" s="98"/>
      <c r="B589" s="98"/>
      <c r="C589" s="190" t="s">
        <v>6</v>
      </c>
      <c r="D589" s="191">
        <v>10000</v>
      </c>
      <c r="E589" s="191"/>
      <c r="F589" s="191"/>
      <c r="G589" s="191"/>
      <c r="H589" s="191"/>
      <c r="I589" s="192"/>
    </row>
    <row r="590" spans="1:9" s="7" customFormat="1" ht="19.5" customHeight="1">
      <c r="A590" s="66"/>
      <c r="B590" s="66"/>
      <c r="C590" s="193" t="s">
        <v>355</v>
      </c>
      <c r="D590" s="194">
        <f>SUM(D591:D594)</f>
        <v>229000</v>
      </c>
      <c r="E590" s="194">
        <f t="shared" si="30"/>
        <v>48000</v>
      </c>
      <c r="F590" s="194">
        <f>SUM(F591:F594)</f>
        <v>48000</v>
      </c>
      <c r="G590" s="194"/>
      <c r="H590" s="194"/>
      <c r="I590" s="195">
        <f t="shared" si="28"/>
        <v>0.2096069868995633</v>
      </c>
    </row>
    <row r="591" spans="1:9" s="21" customFormat="1" ht="19.5" customHeight="1">
      <c r="A591" s="98"/>
      <c r="B591" s="98"/>
      <c r="C591" s="101" t="s">
        <v>279</v>
      </c>
      <c r="D591" s="102">
        <v>3050</v>
      </c>
      <c r="E591" s="102">
        <f t="shared" si="30"/>
        <v>16700</v>
      </c>
      <c r="F591" s="102">
        <v>16700</v>
      </c>
      <c r="G591" s="102"/>
      <c r="H591" s="102"/>
      <c r="I591" s="189">
        <f t="shared" si="28"/>
        <v>5.475409836065574</v>
      </c>
    </row>
    <row r="592" spans="1:9" s="21" customFormat="1" ht="19.5" customHeight="1">
      <c r="A592" s="98"/>
      <c r="B592" s="98"/>
      <c r="C592" s="99" t="s">
        <v>43</v>
      </c>
      <c r="D592" s="100">
        <v>66335</v>
      </c>
      <c r="E592" s="100">
        <f t="shared" si="30"/>
        <v>27900</v>
      </c>
      <c r="F592" s="100">
        <v>27900</v>
      </c>
      <c r="G592" s="100"/>
      <c r="H592" s="100"/>
      <c r="I592" s="141">
        <f t="shared" si="28"/>
        <v>0.4205924474259441</v>
      </c>
    </row>
    <row r="593" spans="1:9" s="21" customFormat="1" ht="19.5" customHeight="1">
      <c r="A593" s="98"/>
      <c r="B593" s="98"/>
      <c r="C593" s="99" t="s">
        <v>44</v>
      </c>
      <c r="D593" s="100">
        <v>615</v>
      </c>
      <c r="E593" s="100">
        <f t="shared" si="30"/>
        <v>3400</v>
      </c>
      <c r="F593" s="100">
        <v>3400</v>
      </c>
      <c r="G593" s="100"/>
      <c r="H593" s="100"/>
      <c r="I593" s="141">
        <f t="shared" si="28"/>
        <v>5.528455284552845</v>
      </c>
    </row>
    <row r="594" spans="1:9" s="21" customFormat="1" ht="19.5" customHeight="1">
      <c r="A594" s="98"/>
      <c r="B594" s="98"/>
      <c r="C594" s="99" t="s">
        <v>6</v>
      </c>
      <c r="D594" s="100">
        <v>159000</v>
      </c>
      <c r="E594" s="100"/>
      <c r="F594" s="100"/>
      <c r="G594" s="100"/>
      <c r="H594" s="100"/>
      <c r="I594" s="141"/>
    </row>
    <row r="595" spans="1:9" s="7" customFormat="1" ht="30" customHeight="1">
      <c r="A595" s="66"/>
      <c r="B595" s="66"/>
      <c r="C595" s="74" t="s">
        <v>346</v>
      </c>
      <c r="D595" s="75">
        <v>2036400</v>
      </c>
      <c r="E595" s="75">
        <f t="shared" si="30"/>
        <v>1769000</v>
      </c>
      <c r="F595" s="75">
        <v>1769000</v>
      </c>
      <c r="G595" s="75"/>
      <c r="H595" s="75"/>
      <c r="I595" s="134">
        <f t="shared" si="28"/>
        <v>0.8686898448241995</v>
      </c>
    </row>
    <row r="596" spans="1:9" s="7" customFormat="1" ht="27.75" customHeight="1">
      <c r="A596" s="66"/>
      <c r="B596" s="70"/>
      <c r="C596" s="83" t="s">
        <v>347</v>
      </c>
      <c r="D596" s="71">
        <v>11000</v>
      </c>
      <c r="E596" s="71">
        <f t="shared" si="30"/>
        <v>25000</v>
      </c>
      <c r="F596" s="71"/>
      <c r="G596" s="71"/>
      <c r="H596" s="71">
        <v>25000</v>
      </c>
      <c r="I596" s="138">
        <f t="shared" si="28"/>
        <v>2.272727272727273</v>
      </c>
    </row>
    <row r="597" spans="1:9" s="7" customFormat="1" ht="31.5" customHeight="1">
      <c r="A597" s="66"/>
      <c r="B597" s="115">
        <v>85212</v>
      </c>
      <c r="C597" s="82" t="s">
        <v>271</v>
      </c>
      <c r="D597" s="73">
        <f>D598</f>
        <v>15741</v>
      </c>
      <c r="E597" s="73"/>
      <c r="F597" s="73"/>
      <c r="G597" s="73"/>
      <c r="H597" s="73"/>
      <c r="I597" s="136"/>
    </row>
    <row r="598" spans="1:9" s="7" customFormat="1" ht="19.5" customHeight="1">
      <c r="A598" s="66"/>
      <c r="B598" s="84"/>
      <c r="C598" s="85" t="s">
        <v>348</v>
      </c>
      <c r="D598" s="86">
        <v>15741</v>
      </c>
      <c r="E598" s="86"/>
      <c r="F598" s="86"/>
      <c r="G598" s="86"/>
      <c r="H598" s="86"/>
      <c r="I598" s="128"/>
    </row>
    <row r="599" spans="1:9" s="7" customFormat="1" ht="19.5" customHeight="1">
      <c r="A599" s="66"/>
      <c r="B599" s="72">
        <v>85231</v>
      </c>
      <c r="C599" s="72" t="s">
        <v>161</v>
      </c>
      <c r="D599" s="73">
        <f>D600</f>
        <v>234000</v>
      </c>
      <c r="E599" s="73">
        <f>E600</f>
        <v>234000</v>
      </c>
      <c r="F599" s="73">
        <f>F600</f>
        <v>234000</v>
      </c>
      <c r="G599" s="73"/>
      <c r="H599" s="73"/>
      <c r="I599" s="136">
        <f t="shared" si="28"/>
        <v>1</v>
      </c>
    </row>
    <row r="600" spans="1:9" s="7" customFormat="1" ht="19.5" customHeight="1">
      <c r="A600" s="70"/>
      <c r="B600" s="84"/>
      <c r="C600" s="85" t="s">
        <v>223</v>
      </c>
      <c r="D600" s="86">
        <v>234000</v>
      </c>
      <c r="E600" s="86">
        <f>F600+H600</f>
        <v>234000</v>
      </c>
      <c r="F600" s="86">
        <v>234000</v>
      </c>
      <c r="G600" s="86"/>
      <c r="H600" s="86"/>
      <c r="I600" s="128">
        <f t="shared" si="28"/>
        <v>1</v>
      </c>
    </row>
    <row r="601" spans="1:9" s="7" customFormat="1" ht="19.5" customHeight="1">
      <c r="A601" s="51">
        <v>853</v>
      </c>
      <c r="B601" s="51"/>
      <c r="C601" s="51" t="s">
        <v>199</v>
      </c>
      <c r="D601" s="52">
        <f>D602+D607</f>
        <v>561154</v>
      </c>
      <c r="E601" s="52">
        <f>E602+E607</f>
        <v>520000</v>
      </c>
      <c r="F601" s="52">
        <f>F602+F607</f>
        <v>496000</v>
      </c>
      <c r="G601" s="52"/>
      <c r="H601" s="52">
        <f>H602+H607</f>
        <v>24000</v>
      </c>
      <c r="I601" s="126">
        <f t="shared" si="28"/>
        <v>0.9266618432729696</v>
      </c>
    </row>
    <row r="602" spans="1:9" s="7" customFormat="1" ht="19.5" customHeight="1">
      <c r="A602" s="66"/>
      <c r="B602" s="72">
        <v>85321</v>
      </c>
      <c r="C602" s="72" t="s">
        <v>200</v>
      </c>
      <c r="D602" s="73">
        <f>SUM(D603:D606)</f>
        <v>526000</v>
      </c>
      <c r="E602" s="73">
        <f>SUM(E603:E606)</f>
        <v>520000</v>
      </c>
      <c r="F602" s="73">
        <f>SUM(F603:F606)</f>
        <v>496000</v>
      </c>
      <c r="G602" s="73"/>
      <c r="H602" s="73">
        <f>SUM(H603:H606)</f>
        <v>24000</v>
      </c>
      <c r="I602" s="136">
        <f t="shared" si="28"/>
        <v>0.9885931558935361</v>
      </c>
    </row>
    <row r="603" spans="1:9" s="7" customFormat="1" ht="19.5" customHeight="1">
      <c r="A603" s="66"/>
      <c r="B603" s="67"/>
      <c r="C603" s="87" t="s">
        <v>279</v>
      </c>
      <c r="D603" s="69">
        <v>379542</v>
      </c>
      <c r="E603" s="69">
        <f>F603+H603</f>
        <v>339300</v>
      </c>
      <c r="F603" s="69">
        <f>248500+20800+70000</f>
        <v>339300</v>
      </c>
      <c r="G603" s="69"/>
      <c r="H603" s="69"/>
      <c r="I603" s="133">
        <f t="shared" si="28"/>
        <v>0.8939722086093239</v>
      </c>
    </row>
    <row r="604" spans="1:9" s="7" customFormat="1" ht="19.5" customHeight="1">
      <c r="A604" s="66"/>
      <c r="B604" s="66"/>
      <c r="C604" s="59" t="s">
        <v>43</v>
      </c>
      <c r="D604" s="60">
        <v>85458</v>
      </c>
      <c r="E604" s="60">
        <f>F604+H604</f>
        <v>93500</v>
      </c>
      <c r="F604" s="60">
        <f>4000+79800+1000+1400+7300</f>
        <v>93500</v>
      </c>
      <c r="G604" s="60"/>
      <c r="H604" s="60"/>
      <c r="I604" s="131">
        <f t="shared" si="28"/>
        <v>1.0941047064054856</v>
      </c>
    </row>
    <row r="605" spans="1:9" s="7" customFormat="1" ht="19.5" customHeight="1">
      <c r="A605" s="66"/>
      <c r="B605" s="66"/>
      <c r="C605" s="79" t="s">
        <v>44</v>
      </c>
      <c r="D605" s="78">
        <v>57000</v>
      </c>
      <c r="E605" s="78">
        <f>F605+H605</f>
        <v>63200</v>
      </c>
      <c r="F605" s="78">
        <f>53200+10000</f>
        <v>63200</v>
      </c>
      <c r="G605" s="78"/>
      <c r="H605" s="78"/>
      <c r="I605" s="137">
        <f t="shared" si="28"/>
        <v>1.1087719298245613</v>
      </c>
    </row>
    <row r="606" spans="1:9" s="7" customFormat="1" ht="19.5" customHeight="1">
      <c r="A606" s="66"/>
      <c r="B606" s="70"/>
      <c r="C606" s="61" t="s">
        <v>6</v>
      </c>
      <c r="D606" s="62">
        <v>4000</v>
      </c>
      <c r="E606" s="62">
        <f>F606+H606</f>
        <v>24000</v>
      </c>
      <c r="F606" s="62"/>
      <c r="G606" s="62"/>
      <c r="H606" s="62">
        <v>24000</v>
      </c>
      <c r="I606" s="138">
        <f t="shared" si="28"/>
        <v>6</v>
      </c>
    </row>
    <row r="607" spans="1:9" s="7" customFormat="1" ht="19.5" customHeight="1">
      <c r="A607" s="66"/>
      <c r="B607" s="72">
        <v>85334</v>
      </c>
      <c r="C607" s="72" t="s">
        <v>183</v>
      </c>
      <c r="D607" s="73">
        <f>D608</f>
        <v>35154</v>
      </c>
      <c r="E607" s="73"/>
      <c r="F607" s="73"/>
      <c r="G607" s="73"/>
      <c r="H607" s="73"/>
      <c r="I607" s="136"/>
    </row>
    <row r="608" spans="1:9" s="7" customFormat="1" ht="19.5" customHeight="1">
      <c r="A608" s="70"/>
      <c r="B608" s="70"/>
      <c r="C608" s="70" t="s">
        <v>220</v>
      </c>
      <c r="D608" s="71">
        <v>35154</v>
      </c>
      <c r="E608" s="71"/>
      <c r="F608" s="71"/>
      <c r="G608" s="71"/>
      <c r="H608" s="71"/>
      <c r="I608" s="135"/>
    </row>
    <row r="609" spans="1:9" ht="19.5" customHeight="1">
      <c r="A609" s="77"/>
      <c r="B609" s="77"/>
      <c r="C609" s="77"/>
      <c r="D609" s="77"/>
      <c r="E609" s="77"/>
      <c r="F609" s="77"/>
      <c r="G609" s="77"/>
      <c r="H609" s="77"/>
      <c r="I609" s="146"/>
    </row>
    <row r="610" spans="1:9" ht="19.5" customHeight="1">
      <c r="A610" s="77"/>
      <c r="B610" s="77"/>
      <c r="C610" s="77"/>
      <c r="D610" s="77"/>
      <c r="E610" s="77"/>
      <c r="F610" s="77"/>
      <c r="G610" s="77"/>
      <c r="H610" s="77"/>
      <c r="I610" s="146"/>
    </row>
    <row r="611" spans="1:9" ht="19.5" customHeight="1">
      <c r="A611" s="77"/>
      <c r="B611" s="77"/>
      <c r="C611" s="77" t="s">
        <v>357</v>
      </c>
      <c r="D611" s="77"/>
      <c r="E611" s="77"/>
      <c r="F611" s="77"/>
      <c r="G611" s="77"/>
      <c r="H611" s="77"/>
      <c r="I611" s="146"/>
    </row>
    <row r="612" spans="1:9" ht="19.5" customHeight="1">
      <c r="A612" s="77"/>
      <c r="B612" s="77"/>
      <c r="C612" s="77" t="s">
        <v>358</v>
      </c>
      <c r="D612" s="77"/>
      <c r="E612" s="77"/>
      <c r="F612" s="77"/>
      <c r="G612" s="77"/>
      <c r="H612" s="77"/>
      <c r="I612" s="146"/>
    </row>
    <row r="613" spans="1:10" ht="19.5" customHeight="1">
      <c r="A613" s="77"/>
      <c r="B613" s="77"/>
      <c r="C613" s="77" t="s">
        <v>359</v>
      </c>
      <c r="D613" s="77"/>
      <c r="E613" s="77"/>
      <c r="F613" s="77"/>
      <c r="G613" s="77"/>
      <c r="H613" s="77"/>
      <c r="I613" s="146"/>
      <c r="J613" t="s">
        <v>356</v>
      </c>
    </row>
    <row r="614" spans="1:9" ht="19.5" customHeight="1">
      <c r="A614" s="77"/>
      <c r="B614" s="77"/>
      <c r="C614" s="77"/>
      <c r="D614" s="77"/>
      <c r="E614" s="77"/>
      <c r="F614" s="77"/>
      <c r="G614" s="77"/>
      <c r="H614" s="77"/>
      <c r="I614" s="146"/>
    </row>
    <row r="615" spans="1:9" ht="19.5" customHeight="1">
      <c r="A615" s="77"/>
      <c r="B615" s="77"/>
      <c r="C615" s="77"/>
      <c r="D615" s="77"/>
      <c r="E615" s="77"/>
      <c r="F615" s="77"/>
      <c r="G615" s="77"/>
      <c r="H615" s="77"/>
      <c r="I615" s="146"/>
    </row>
    <row r="616" spans="1:9" ht="19.5" customHeight="1">
      <c r="A616" s="77"/>
      <c r="B616" s="77"/>
      <c r="C616" s="77"/>
      <c r="D616" s="77"/>
      <c r="E616" s="77"/>
      <c r="F616" s="77"/>
      <c r="G616" s="77"/>
      <c r="H616" s="77"/>
      <c r="I616" s="146"/>
    </row>
    <row r="617" spans="1:9" ht="19.5" customHeight="1">
      <c r="A617" s="77"/>
      <c r="B617" s="77"/>
      <c r="C617" s="77"/>
      <c r="D617" s="77"/>
      <c r="E617" s="77"/>
      <c r="F617" s="77"/>
      <c r="G617" s="77"/>
      <c r="H617" s="77"/>
      <c r="I617" s="146"/>
    </row>
    <row r="618" spans="1:9" ht="19.5" customHeight="1">
      <c r="A618" s="77"/>
      <c r="B618" s="77"/>
      <c r="C618" s="77"/>
      <c r="D618" s="77"/>
      <c r="E618" s="77"/>
      <c r="F618" s="77"/>
      <c r="G618" s="77"/>
      <c r="H618" s="77"/>
      <c r="I618" s="146"/>
    </row>
    <row r="619" spans="1:9" ht="19.5" customHeight="1">
      <c r="A619" s="77"/>
      <c r="B619" s="77"/>
      <c r="C619" s="77"/>
      <c r="D619" s="77"/>
      <c r="E619" s="77"/>
      <c r="F619" s="77"/>
      <c r="G619" s="77"/>
      <c r="H619" s="77"/>
      <c r="I619" s="146"/>
    </row>
    <row r="620" spans="1:9" ht="19.5" customHeight="1">
      <c r="A620" s="77"/>
      <c r="B620" s="77"/>
      <c r="C620" s="77"/>
      <c r="D620" s="77"/>
      <c r="E620" s="77"/>
      <c r="F620" s="77"/>
      <c r="G620" s="77"/>
      <c r="H620" s="77"/>
      <c r="I620" s="146"/>
    </row>
    <row r="621" spans="1:9" ht="19.5" customHeight="1">
      <c r="A621" s="77"/>
      <c r="B621" s="77"/>
      <c r="C621" s="77"/>
      <c r="D621" s="77"/>
      <c r="E621" s="77"/>
      <c r="F621" s="77"/>
      <c r="G621" s="77"/>
      <c r="H621" s="77"/>
      <c r="I621" s="146"/>
    </row>
    <row r="622" spans="1:9" ht="19.5" customHeight="1">
      <c r="A622" s="77"/>
      <c r="B622" s="77"/>
      <c r="C622" s="77"/>
      <c r="D622" s="77"/>
      <c r="E622" s="77"/>
      <c r="F622" s="77"/>
      <c r="G622" s="77"/>
      <c r="H622" s="77"/>
      <c r="I622" s="146"/>
    </row>
    <row r="623" spans="1:9" ht="19.5" customHeight="1">
      <c r="A623" s="77"/>
      <c r="B623" s="77"/>
      <c r="C623" s="77"/>
      <c r="D623" s="77"/>
      <c r="E623" s="77"/>
      <c r="F623" s="77"/>
      <c r="G623" s="77"/>
      <c r="H623" s="77"/>
      <c r="I623" s="146"/>
    </row>
    <row r="624" spans="1:9" ht="19.5" customHeight="1">
      <c r="A624" s="77"/>
      <c r="B624" s="77"/>
      <c r="C624" s="77"/>
      <c r="D624" s="77"/>
      <c r="E624" s="77"/>
      <c r="F624" s="77"/>
      <c r="G624" s="77"/>
      <c r="H624" s="77"/>
      <c r="I624" s="146"/>
    </row>
    <row r="625" spans="1:9" ht="19.5" customHeight="1">
      <c r="A625" s="77"/>
      <c r="B625" s="77"/>
      <c r="C625" s="77"/>
      <c r="D625" s="77"/>
      <c r="E625" s="77"/>
      <c r="F625" s="77"/>
      <c r="G625" s="77"/>
      <c r="H625" s="77"/>
      <c r="I625" s="146"/>
    </row>
    <row r="626" spans="1:9" ht="19.5" customHeight="1">
      <c r="A626" s="77"/>
      <c r="B626" s="77"/>
      <c r="C626" s="77"/>
      <c r="D626" s="77"/>
      <c r="E626" s="77"/>
      <c r="F626" s="77"/>
      <c r="G626" s="77"/>
      <c r="H626" s="77"/>
      <c r="I626" s="146"/>
    </row>
    <row r="627" spans="1:9" ht="19.5" customHeight="1">
      <c r="A627" s="77"/>
      <c r="B627" s="77"/>
      <c r="C627" s="77"/>
      <c r="D627" s="77"/>
      <c r="E627" s="77"/>
      <c r="F627" s="77"/>
      <c r="G627" s="77"/>
      <c r="H627" s="77"/>
      <c r="I627" s="146"/>
    </row>
    <row r="628" spans="1:9" ht="19.5" customHeight="1">
      <c r="A628" s="77"/>
      <c r="B628" s="77"/>
      <c r="C628" s="77"/>
      <c r="D628" s="77"/>
      <c r="E628" s="77"/>
      <c r="F628" s="77"/>
      <c r="G628" s="77"/>
      <c r="H628" s="77"/>
      <c r="I628" s="146"/>
    </row>
    <row r="629" spans="1:9" ht="19.5" customHeight="1">
      <c r="A629" s="77"/>
      <c r="B629" s="77"/>
      <c r="C629" s="77"/>
      <c r="D629" s="77"/>
      <c r="E629" s="77"/>
      <c r="F629" s="77"/>
      <c r="G629" s="77"/>
      <c r="H629" s="77"/>
      <c r="I629" s="146"/>
    </row>
    <row r="630" spans="1:9" ht="19.5" customHeight="1">
      <c r="A630" s="77"/>
      <c r="B630" s="77"/>
      <c r="C630" s="77"/>
      <c r="D630" s="77"/>
      <c r="E630" s="77"/>
      <c r="F630" s="77"/>
      <c r="G630" s="77"/>
      <c r="H630" s="77"/>
      <c r="I630" s="146"/>
    </row>
    <row r="631" spans="1:9" ht="19.5" customHeight="1">
      <c r="A631" s="77"/>
      <c r="B631" s="77"/>
      <c r="C631" s="77"/>
      <c r="D631" s="77"/>
      <c r="E631" s="77"/>
      <c r="F631" s="77"/>
      <c r="G631" s="77"/>
      <c r="H631" s="77"/>
      <c r="I631" s="146"/>
    </row>
    <row r="632" spans="1:9" ht="19.5" customHeight="1">
      <c r="A632" s="77"/>
      <c r="B632" s="77"/>
      <c r="C632" s="77"/>
      <c r="D632" s="77"/>
      <c r="E632" s="77"/>
      <c r="F632" s="77"/>
      <c r="G632" s="77"/>
      <c r="H632" s="77"/>
      <c r="I632" s="146"/>
    </row>
    <row r="633" spans="1:9" ht="19.5" customHeight="1">
      <c r="A633" s="77"/>
      <c r="B633" s="77"/>
      <c r="C633" s="77"/>
      <c r="D633" s="77"/>
      <c r="E633" s="77"/>
      <c r="F633" s="77"/>
      <c r="G633" s="77"/>
      <c r="H633" s="77"/>
      <c r="I633" s="146"/>
    </row>
    <row r="634" spans="1:9" ht="19.5" customHeight="1">
      <c r="A634" s="77"/>
      <c r="B634" s="77"/>
      <c r="C634" s="77"/>
      <c r="D634" s="77"/>
      <c r="E634" s="77"/>
      <c r="F634" s="77"/>
      <c r="G634" s="77"/>
      <c r="H634" s="77"/>
      <c r="I634" s="146"/>
    </row>
    <row r="635" spans="1:9" ht="19.5" customHeight="1">
      <c r="A635" s="77"/>
      <c r="B635" s="77"/>
      <c r="C635" s="77"/>
      <c r="D635" s="77"/>
      <c r="E635" s="77"/>
      <c r="F635" s="77"/>
      <c r="G635" s="77"/>
      <c r="H635" s="77"/>
      <c r="I635" s="146"/>
    </row>
    <row r="636" spans="1:9" ht="19.5" customHeight="1">
      <c r="A636" s="77"/>
      <c r="B636" s="77"/>
      <c r="C636" s="77"/>
      <c r="D636" s="77"/>
      <c r="E636" s="77"/>
      <c r="F636" s="77"/>
      <c r="G636" s="77"/>
      <c r="H636" s="77"/>
      <c r="I636" s="146"/>
    </row>
    <row r="637" spans="1:9" ht="19.5" customHeight="1">
      <c r="A637" s="77"/>
      <c r="B637" s="77"/>
      <c r="C637" s="77"/>
      <c r="D637" s="77"/>
      <c r="E637" s="77"/>
      <c r="F637" s="77"/>
      <c r="G637" s="77"/>
      <c r="H637" s="77"/>
      <c r="I637" s="146"/>
    </row>
    <row r="638" spans="1:9" ht="19.5" customHeight="1">
      <c r="A638" s="77"/>
      <c r="B638" s="77"/>
      <c r="C638" s="77"/>
      <c r="D638" s="77"/>
      <c r="E638" s="77"/>
      <c r="F638" s="77"/>
      <c r="G638" s="77"/>
      <c r="H638" s="77"/>
      <c r="I638" s="146"/>
    </row>
    <row r="639" spans="1:9" ht="19.5" customHeight="1">
      <c r="A639" s="77"/>
      <c r="B639" s="77"/>
      <c r="C639" s="77"/>
      <c r="D639" s="77"/>
      <c r="E639" s="77"/>
      <c r="F639" s="77"/>
      <c r="G639" s="77"/>
      <c r="H639" s="77"/>
      <c r="I639" s="146"/>
    </row>
    <row r="640" spans="1:9" ht="19.5" customHeight="1">
      <c r="A640" s="77"/>
      <c r="B640" s="77"/>
      <c r="C640" s="77"/>
      <c r="D640" s="77"/>
      <c r="E640" s="77"/>
      <c r="F640" s="77"/>
      <c r="G640" s="77"/>
      <c r="H640" s="77"/>
      <c r="I640" s="146"/>
    </row>
    <row r="641" spans="1:9" ht="19.5" customHeight="1">
      <c r="A641" s="77"/>
      <c r="B641" s="77"/>
      <c r="C641" s="77"/>
      <c r="D641" s="77"/>
      <c r="E641" s="77"/>
      <c r="F641" s="77"/>
      <c r="G641" s="77"/>
      <c r="H641" s="77"/>
      <c r="I641" s="146"/>
    </row>
    <row r="642" spans="1:9" ht="19.5" customHeight="1">
      <c r="A642" s="77"/>
      <c r="B642" s="77"/>
      <c r="C642" s="77"/>
      <c r="D642" s="77"/>
      <c r="E642" s="77"/>
      <c r="F642" s="77"/>
      <c r="G642" s="77"/>
      <c r="H642" s="77"/>
      <c r="I642" s="146"/>
    </row>
    <row r="643" spans="1:9" ht="19.5" customHeight="1">
      <c r="A643" s="77"/>
      <c r="B643" s="77"/>
      <c r="C643" s="77"/>
      <c r="D643" s="77"/>
      <c r="E643" s="77"/>
      <c r="F643" s="77"/>
      <c r="G643" s="77"/>
      <c r="H643" s="77"/>
      <c r="I643" s="146"/>
    </row>
    <row r="644" spans="1:9" ht="19.5" customHeight="1">
      <c r="A644" s="77"/>
      <c r="B644" s="77"/>
      <c r="C644" s="77"/>
      <c r="D644" s="77"/>
      <c r="E644" s="77"/>
      <c r="F644" s="77"/>
      <c r="G644" s="77"/>
      <c r="H644" s="77"/>
      <c r="I644" s="146"/>
    </row>
    <row r="645" spans="1:9" ht="19.5" customHeight="1">
      <c r="A645" s="77"/>
      <c r="B645" s="77"/>
      <c r="C645" s="77"/>
      <c r="D645" s="77"/>
      <c r="E645" s="77"/>
      <c r="F645" s="77"/>
      <c r="G645" s="77"/>
      <c r="H645" s="77"/>
      <c r="I645" s="146"/>
    </row>
    <row r="646" spans="1:9" ht="19.5" customHeight="1">
      <c r="A646" s="77"/>
      <c r="B646" s="77"/>
      <c r="C646" s="77"/>
      <c r="D646" s="77"/>
      <c r="E646" s="77"/>
      <c r="F646" s="77"/>
      <c r="G646" s="77"/>
      <c r="H646" s="77"/>
      <c r="I646" s="146"/>
    </row>
    <row r="647" spans="1:9" ht="19.5" customHeight="1">
      <c r="A647" s="77"/>
      <c r="B647" s="77"/>
      <c r="C647" s="77"/>
      <c r="D647" s="77"/>
      <c r="E647" s="77"/>
      <c r="F647" s="77"/>
      <c r="G647" s="77"/>
      <c r="H647" s="77"/>
      <c r="I647" s="146"/>
    </row>
    <row r="648" spans="1:9" ht="19.5" customHeight="1">
      <c r="A648" s="77"/>
      <c r="B648" s="77"/>
      <c r="C648" s="77"/>
      <c r="D648" s="77"/>
      <c r="E648" s="77"/>
      <c r="F648" s="77"/>
      <c r="G648" s="77"/>
      <c r="H648" s="77"/>
      <c r="I648" s="146"/>
    </row>
    <row r="649" spans="1:9" ht="19.5" customHeight="1">
      <c r="A649" s="77"/>
      <c r="B649" s="77"/>
      <c r="C649" s="77"/>
      <c r="D649" s="77"/>
      <c r="E649" s="77"/>
      <c r="F649" s="77"/>
      <c r="G649" s="77"/>
      <c r="H649" s="77"/>
      <c r="I649" s="146"/>
    </row>
    <row r="650" spans="1:9" ht="19.5" customHeight="1">
      <c r="A650" s="77"/>
      <c r="B650" s="77"/>
      <c r="C650" s="77"/>
      <c r="D650" s="77"/>
      <c r="E650" s="77"/>
      <c r="F650" s="77"/>
      <c r="G650" s="77"/>
      <c r="H650" s="77"/>
      <c r="I650" s="146"/>
    </row>
    <row r="651" spans="1:9" ht="19.5" customHeight="1">
      <c r="A651" s="77"/>
      <c r="B651" s="77"/>
      <c r="C651" s="77"/>
      <c r="D651" s="77"/>
      <c r="E651" s="77"/>
      <c r="F651" s="77"/>
      <c r="G651" s="77"/>
      <c r="H651" s="77"/>
      <c r="I651" s="146"/>
    </row>
    <row r="652" spans="1:9" ht="19.5" customHeight="1">
      <c r="A652" s="77"/>
      <c r="B652" s="77"/>
      <c r="C652" s="77"/>
      <c r="D652" s="77"/>
      <c r="E652" s="77"/>
      <c r="F652" s="77"/>
      <c r="G652" s="77"/>
      <c r="H652" s="77"/>
      <c r="I652" s="146"/>
    </row>
    <row r="653" spans="1:9" ht="19.5" customHeight="1">
      <c r="A653" s="77"/>
      <c r="B653" s="77"/>
      <c r="C653" s="77"/>
      <c r="D653" s="77"/>
      <c r="E653" s="77"/>
      <c r="F653" s="77"/>
      <c r="G653" s="77"/>
      <c r="H653" s="77"/>
      <c r="I653" s="146"/>
    </row>
    <row r="654" spans="1:9" ht="19.5" customHeight="1">
      <c r="A654" s="77"/>
      <c r="B654" s="77"/>
      <c r="C654" s="77"/>
      <c r="D654" s="77"/>
      <c r="E654" s="77"/>
      <c r="F654" s="77"/>
      <c r="G654" s="77"/>
      <c r="H654" s="77"/>
      <c r="I654" s="146"/>
    </row>
    <row r="655" spans="1:9" ht="19.5" customHeight="1">
      <c r="A655" s="77"/>
      <c r="B655" s="77"/>
      <c r="C655" s="77"/>
      <c r="D655" s="77"/>
      <c r="E655" s="77"/>
      <c r="F655" s="77"/>
      <c r="G655" s="77"/>
      <c r="H655" s="77"/>
      <c r="I655" s="146"/>
    </row>
    <row r="656" spans="1:9" ht="19.5" customHeight="1">
      <c r="A656" s="77"/>
      <c r="B656" s="77"/>
      <c r="C656" s="77"/>
      <c r="D656" s="77"/>
      <c r="E656" s="77"/>
      <c r="F656" s="77"/>
      <c r="G656" s="77"/>
      <c r="H656" s="77"/>
      <c r="I656" s="146"/>
    </row>
    <row r="657" spans="1:9" ht="19.5" customHeight="1">
      <c r="A657" s="77"/>
      <c r="B657" s="77"/>
      <c r="C657" s="77"/>
      <c r="D657" s="77"/>
      <c r="E657" s="77"/>
      <c r="F657" s="77"/>
      <c r="G657" s="77"/>
      <c r="H657" s="77"/>
      <c r="I657" s="146"/>
    </row>
    <row r="658" spans="1:9" ht="19.5" customHeight="1">
      <c r="A658" s="77"/>
      <c r="B658" s="77"/>
      <c r="C658" s="77"/>
      <c r="D658" s="77"/>
      <c r="E658" s="77"/>
      <c r="F658" s="77"/>
      <c r="G658" s="77"/>
      <c r="H658" s="77"/>
      <c r="I658" s="146"/>
    </row>
    <row r="659" spans="1:9" ht="30" customHeight="1">
      <c r="A659" s="77"/>
      <c r="B659" s="77"/>
      <c r="C659" s="77"/>
      <c r="D659" s="77"/>
      <c r="E659" s="77"/>
      <c r="F659" s="77"/>
      <c r="G659" s="77"/>
      <c r="H659" s="77"/>
      <c r="I659" s="146"/>
    </row>
    <row r="660" spans="1:9" ht="30" customHeight="1">
      <c r="A660" s="77"/>
      <c r="B660" s="77"/>
      <c r="C660" s="77"/>
      <c r="D660" s="77"/>
      <c r="E660" s="77"/>
      <c r="F660" s="77"/>
      <c r="G660" s="77"/>
      <c r="H660" s="77"/>
      <c r="I660" s="146"/>
    </row>
    <row r="661" spans="1:9" ht="30" customHeight="1">
      <c r="A661" s="77"/>
      <c r="B661" s="77"/>
      <c r="C661" s="77"/>
      <c r="D661" s="77"/>
      <c r="E661" s="77"/>
      <c r="F661" s="77"/>
      <c r="G661" s="77"/>
      <c r="H661" s="77"/>
      <c r="I661" s="146"/>
    </row>
    <row r="662" spans="1:9" ht="30" customHeight="1">
      <c r="A662" s="77"/>
      <c r="B662" s="77"/>
      <c r="C662" s="77"/>
      <c r="D662" s="77"/>
      <c r="E662" s="77"/>
      <c r="F662" s="77"/>
      <c r="G662" s="77"/>
      <c r="H662" s="77"/>
      <c r="I662" s="146"/>
    </row>
    <row r="663" spans="1:9" ht="30" customHeight="1">
      <c r="A663" s="77"/>
      <c r="B663" s="77"/>
      <c r="C663" s="77"/>
      <c r="D663" s="77"/>
      <c r="E663" s="77"/>
      <c r="F663" s="77"/>
      <c r="G663" s="77"/>
      <c r="H663" s="77"/>
      <c r="I663" s="146"/>
    </row>
    <row r="664" spans="1:9" ht="30" customHeight="1">
      <c r="A664" s="77"/>
      <c r="B664" s="77"/>
      <c r="C664" s="77"/>
      <c r="D664" s="77"/>
      <c r="E664" s="77"/>
      <c r="F664" s="77"/>
      <c r="G664" s="77"/>
      <c r="H664" s="77"/>
      <c r="I664" s="146"/>
    </row>
    <row r="665" spans="1:9" ht="30" customHeight="1">
      <c r="A665" s="77"/>
      <c r="B665" s="77"/>
      <c r="C665" s="77"/>
      <c r="D665" s="77"/>
      <c r="E665" s="77"/>
      <c r="F665" s="77"/>
      <c r="G665" s="77"/>
      <c r="H665" s="77"/>
      <c r="I665" s="146"/>
    </row>
    <row r="666" spans="1:9" ht="30" customHeight="1">
      <c r="A666" s="77"/>
      <c r="B666" s="77"/>
      <c r="C666" s="77"/>
      <c r="D666" s="77"/>
      <c r="E666" s="77"/>
      <c r="F666" s="77"/>
      <c r="G666" s="77"/>
      <c r="H666" s="77"/>
      <c r="I666" s="146"/>
    </row>
    <row r="667" spans="1:9" ht="30" customHeight="1">
      <c r="A667" s="77"/>
      <c r="B667" s="77"/>
      <c r="C667" s="77"/>
      <c r="D667" s="77"/>
      <c r="E667" s="77"/>
      <c r="F667" s="77"/>
      <c r="G667" s="77"/>
      <c r="H667" s="77"/>
      <c r="I667" s="146"/>
    </row>
    <row r="668" spans="1:9" ht="30" customHeight="1">
      <c r="A668" s="77"/>
      <c r="B668" s="77"/>
      <c r="C668" s="77"/>
      <c r="D668" s="77"/>
      <c r="E668" s="77"/>
      <c r="F668" s="77"/>
      <c r="G668" s="77"/>
      <c r="H668" s="77"/>
      <c r="I668" s="146"/>
    </row>
    <row r="669" spans="1:9" ht="30" customHeight="1">
      <c r="A669" s="77"/>
      <c r="B669" s="77"/>
      <c r="C669" s="77"/>
      <c r="D669" s="77"/>
      <c r="E669" s="77"/>
      <c r="F669" s="77"/>
      <c r="G669" s="77"/>
      <c r="H669" s="77"/>
      <c r="I669" s="146"/>
    </row>
    <row r="670" spans="1:9" ht="30" customHeight="1">
      <c r="A670" s="77"/>
      <c r="B670" s="77"/>
      <c r="C670" s="77"/>
      <c r="D670" s="77"/>
      <c r="E670" s="77"/>
      <c r="F670" s="77"/>
      <c r="G670" s="77"/>
      <c r="H670" s="77"/>
      <c r="I670" s="146"/>
    </row>
    <row r="671" spans="1:9" ht="33" customHeight="1">
      <c r="A671" s="77"/>
      <c r="B671" s="77"/>
      <c r="C671" s="77"/>
      <c r="D671" s="77"/>
      <c r="E671" s="77"/>
      <c r="F671" s="77"/>
      <c r="G671" s="77"/>
      <c r="H671" s="77"/>
      <c r="I671" s="146"/>
    </row>
    <row r="672" spans="1:9" ht="29.25" customHeight="1">
      <c r="A672" s="77"/>
      <c r="B672" s="77"/>
      <c r="C672" s="77"/>
      <c r="D672" s="77"/>
      <c r="E672" s="77"/>
      <c r="F672" s="77"/>
      <c r="G672" s="77"/>
      <c r="H672" s="77"/>
      <c r="I672" s="146"/>
    </row>
    <row r="673" spans="1:9" ht="23.25" customHeight="1">
      <c r="A673" s="77"/>
      <c r="B673" s="77"/>
      <c r="C673" s="77"/>
      <c r="D673" s="77"/>
      <c r="E673" s="77"/>
      <c r="F673" s="77"/>
      <c r="G673" s="77"/>
      <c r="H673" s="77"/>
      <c r="I673" s="146"/>
    </row>
    <row r="674" spans="1:9" ht="33.75" customHeight="1">
      <c r="A674" s="77"/>
      <c r="B674" s="77"/>
      <c r="C674" s="77"/>
      <c r="D674" s="77"/>
      <c r="E674" s="77"/>
      <c r="F674" s="77"/>
      <c r="G674" s="77"/>
      <c r="H674" s="77"/>
      <c r="I674" s="146"/>
    </row>
    <row r="675" spans="1:9" ht="33" customHeight="1">
      <c r="A675" s="77"/>
      <c r="B675" s="77"/>
      <c r="C675" s="77"/>
      <c r="D675" s="77"/>
      <c r="E675" s="77"/>
      <c r="F675" s="77"/>
      <c r="G675" s="77"/>
      <c r="H675" s="77"/>
      <c r="I675" s="146"/>
    </row>
    <row r="676" spans="1:9" ht="30" customHeight="1">
      <c r="A676" s="77"/>
      <c r="B676" s="77"/>
      <c r="C676" s="77"/>
      <c r="D676" s="77"/>
      <c r="E676" s="77"/>
      <c r="F676" s="77"/>
      <c r="G676" s="77"/>
      <c r="H676" s="77"/>
      <c r="I676" s="146"/>
    </row>
    <row r="677" spans="1:9" ht="30" customHeight="1">
      <c r="A677" s="77"/>
      <c r="B677" s="77"/>
      <c r="C677" s="77"/>
      <c r="D677" s="77"/>
      <c r="E677" s="77"/>
      <c r="F677" s="77"/>
      <c r="G677" s="77"/>
      <c r="H677" s="77"/>
      <c r="I677" s="146"/>
    </row>
    <row r="678" spans="1:9" ht="31.5" customHeight="1">
      <c r="A678" s="77"/>
      <c r="B678" s="77"/>
      <c r="C678" s="77"/>
      <c r="D678" s="77"/>
      <c r="E678" s="77"/>
      <c r="F678" s="77"/>
      <c r="G678" s="77"/>
      <c r="H678" s="77"/>
      <c r="I678" s="146"/>
    </row>
    <row r="679" spans="1:9" ht="33.75" customHeight="1">
      <c r="A679" s="77"/>
      <c r="B679" s="77"/>
      <c r="C679" s="77"/>
      <c r="D679" s="77"/>
      <c r="E679" s="77"/>
      <c r="F679" s="77"/>
      <c r="G679" s="77"/>
      <c r="H679" s="77"/>
      <c r="I679" s="146"/>
    </row>
    <row r="680" spans="1:9" ht="30" customHeight="1">
      <c r="A680" s="77"/>
      <c r="B680" s="77"/>
      <c r="C680" s="77"/>
      <c r="D680" s="77"/>
      <c r="E680" s="77"/>
      <c r="F680" s="77"/>
      <c r="G680" s="77"/>
      <c r="H680" s="77"/>
      <c r="I680" s="146"/>
    </row>
    <row r="681" spans="1:9" ht="30" customHeight="1">
      <c r="A681" s="77"/>
      <c r="B681" s="77"/>
      <c r="C681" s="77"/>
      <c r="D681" s="77"/>
      <c r="E681" s="77"/>
      <c r="F681" s="77"/>
      <c r="G681" s="77"/>
      <c r="H681" s="77"/>
      <c r="I681" s="146"/>
    </row>
    <row r="682" spans="1:9" ht="33.75" customHeight="1">
      <c r="A682" s="77"/>
      <c r="B682" s="77"/>
      <c r="C682" s="77"/>
      <c r="D682" s="114"/>
      <c r="E682" s="114"/>
      <c r="F682" s="114"/>
      <c r="G682" s="114"/>
      <c r="H682" s="114"/>
      <c r="I682" s="146"/>
    </row>
    <row r="683" spans="1:9" ht="30" customHeight="1">
      <c r="A683" s="77"/>
      <c r="B683" s="77"/>
      <c r="C683" s="77"/>
      <c r="D683" s="114"/>
      <c r="E683" s="114"/>
      <c r="F683" s="114"/>
      <c r="G683" s="114"/>
      <c r="H683" s="114"/>
      <c r="I683" s="146"/>
    </row>
    <row r="684" ht="39.75" customHeight="1"/>
    <row r="685" ht="47.25" customHeight="1"/>
    <row r="686" ht="35.25" customHeight="1"/>
    <row r="687" ht="35.25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48.75" customHeight="1"/>
    <row r="705" ht="48.75" customHeight="1"/>
    <row r="706" ht="48.75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106.5" customHeight="1"/>
    <row r="724" ht="77.25" customHeight="1"/>
    <row r="725" ht="30" customHeight="1"/>
    <row r="726" ht="28.5" customHeight="1"/>
    <row r="727" ht="30" customHeight="1"/>
    <row r="728" ht="21.75" customHeight="1"/>
    <row r="729" ht="30" customHeight="1"/>
    <row r="730" ht="30" customHeight="1"/>
    <row r="731" ht="27.75" customHeight="1"/>
    <row r="732" ht="33" customHeight="1"/>
    <row r="733" ht="32.25" customHeight="1"/>
    <row r="734" ht="21" customHeight="1"/>
    <row r="735" ht="30" customHeight="1"/>
    <row r="736" ht="24" customHeight="1"/>
    <row r="737" ht="24.75" customHeight="1"/>
    <row r="738" ht="24.75" customHeight="1"/>
    <row r="739" ht="26.25" customHeight="1"/>
    <row r="740" ht="24" customHeight="1"/>
    <row r="741" ht="24" customHeight="1"/>
    <row r="742" ht="24.75" customHeight="1"/>
    <row r="743" ht="33.75" customHeight="1"/>
    <row r="744" ht="33.75" customHeight="1"/>
    <row r="745" ht="39.75" customHeight="1"/>
    <row r="746" spans="1:9" s="5" customFormat="1" ht="21.75" customHeight="1">
      <c r="A746" s="3"/>
      <c r="B746" s="3"/>
      <c r="C746" s="3"/>
      <c r="D746" s="6"/>
      <c r="E746" s="6"/>
      <c r="F746" s="6"/>
      <c r="G746" s="6"/>
      <c r="H746" s="6"/>
      <c r="I746" s="122"/>
    </row>
    <row r="747" ht="24.75" customHeight="1"/>
    <row r="748" ht="49.5" customHeight="1"/>
    <row r="749" ht="30.75" customHeight="1"/>
    <row r="750" ht="27.75" customHeight="1"/>
  </sheetData>
  <printOptions horizontalCentered="1"/>
  <pageMargins left="0.5905511811023623" right="0.5905511811023623" top="0.6692913385826772" bottom="0.6692913385826772" header="0.5118110236220472" footer="0.5118110236220472"/>
  <pageSetup firstPageNumber="24" useFirstPageNumber="1" horizontalDpi="300" verticalDpi="300" orientation="landscape" paperSize="9" scale="80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2005-11-10T07:31:01Z</cp:lastPrinted>
  <dcterms:created xsi:type="dcterms:W3CDTF">1999-10-19T16:53:41Z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