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firstSheet="5" activeTab="11"/>
  </bookViews>
  <sheets>
    <sheet name="doch RM" sheetId="1" r:id="rId1"/>
    <sheet name="WydRm" sheetId="2" r:id="rId2"/>
    <sheet name="inwest" sheetId="3" r:id="rId3"/>
    <sheet name="remonty" sheetId="4" r:id="rId4"/>
    <sheet name="zlec RM" sheetId="5" r:id="rId5"/>
    <sheet name="doch Pr" sheetId="6" r:id="rId6"/>
    <sheet name="Wyd Pr" sheetId="7" r:id="rId7"/>
    <sheet name="jednostki" sheetId="8" r:id="rId8"/>
    <sheet name="szkoły i placówki" sheetId="9" r:id="rId9"/>
    <sheet name="zlec Pr" sheetId="10" r:id="rId10"/>
    <sheet name="Doch-harm" sheetId="11" r:id="rId11"/>
    <sheet name="Wyd-harm" sheetId="12" r:id="rId12"/>
    <sheet name="GFOŚiGW-harm" sheetId="13" r:id="rId13"/>
    <sheet name="PFOŚiGW-harm" sheetId="14" r:id="rId14"/>
  </sheets>
  <definedNames>
    <definedName name="_xlnm.Print_Area" localSheetId="8">'szkoły i placówki'!$B$1:$AW$1187</definedName>
    <definedName name="_xlnm.Print_Titles" localSheetId="5">'doch Pr'!$7:$7</definedName>
    <definedName name="_xlnm.Print_Titles" localSheetId="0">'doch RM'!$7:$7</definedName>
    <definedName name="_xlnm.Print_Titles" localSheetId="10">'Doch-harm'!$8:$8</definedName>
    <definedName name="_xlnm.Print_Titles" localSheetId="2">'inwest'!$6:$8</definedName>
    <definedName name="_xlnm.Print_Titles" localSheetId="7">'jednostki'!$9:$9</definedName>
    <definedName name="_xlnm.Print_Titles" localSheetId="3">'remonty'!$8:$8</definedName>
    <definedName name="_xlnm.Print_Titles" localSheetId="8">'szkoły i placówki'!$4:$11</definedName>
    <definedName name="_xlnm.Print_Titles" localSheetId="6">'Wyd Pr'!$7:$7</definedName>
    <definedName name="_xlnm.Print_Titles" localSheetId="11">'Wyd-harm'!$9:$9</definedName>
    <definedName name="_xlnm.Print_Titles" localSheetId="1">'WydRm'!$7:$7</definedName>
    <definedName name="_xlnm.Print_Titles" localSheetId="9">'zlec Pr'!$9:$9</definedName>
    <definedName name="_xlnm.Print_Titles" localSheetId="4">'zlec RM'!$9:$9</definedName>
  </definedNames>
  <calcPr fullCalcOnLoad="1"/>
</workbook>
</file>

<file path=xl/sharedStrings.xml><?xml version="1.0" encoding="utf-8"?>
<sst xmlns="http://schemas.openxmlformats.org/spreadsheetml/2006/main" count="3549" uniqueCount="1634">
  <si>
    <t>MON</t>
  </si>
  <si>
    <t>c2</t>
  </si>
  <si>
    <t>c3</t>
  </si>
  <si>
    <t>c4</t>
  </si>
  <si>
    <t>c5</t>
  </si>
  <si>
    <t>c6</t>
  </si>
  <si>
    <t>c7</t>
  </si>
  <si>
    <t>c9</t>
  </si>
  <si>
    <t>c10</t>
  </si>
  <si>
    <t>c11</t>
  </si>
  <si>
    <t>c14</t>
  </si>
  <si>
    <t>c15</t>
  </si>
  <si>
    <t>c16</t>
  </si>
  <si>
    <t>c18</t>
  </si>
  <si>
    <t>c20</t>
  </si>
  <si>
    <t>c21</t>
  </si>
  <si>
    <t>c22</t>
  </si>
  <si>
    <t>c23</t>
  </si>
  <si>
    <t>c25</t>
  </si>
  <si>
    <t>c27</t>
  </si>
  <si>
    <t>c28</t>
  </si>
  <si>
    <t>c29</t>
  </si>
  <si>
    <t>c30</t>
  </si>
  <si>
    <t>c31</t>
  </si>
  <si>
    <t>c32</t>
  </si>
  <si>
    <t>c33</t>
  </si>
  <si>
    <t>c34</t>
  </si>
  <si>
    <t>c35</t>
  </si>
  <si>
    <t>c36</t>
  </si>
  <si>
    <t>c37</t>
  </si>
  <si>
    <t>c38</t>
  </si>
  <si>
    <t>c39</t>
  </si>
  <si>
    <t>c40</t>
  </si>
  <si>
    <t>c41</t>
  </si>
  <si>
    <t>c43</t>
  </si>
  <si>
    <t>c46</t>
  </si>
  <si>
    <t>c44</t>
  </si>
  <si>
    <t>c48</t>
  </si>
  <si>
    <t>c49</t>
  </si>
  <si>
    <t>c51</t>
  </si>
  <si>
    <t>c52</t>
  </si>
  <si>
    <t>c53</t>
  </si>
  <si>
    <t>cG1</t>
  </si>
  <si>
    <t>cG2</t>
  </si>
  <si>
    <t>cG3</t>
  </si>
  <si>
    <t>cG5</t>
  </si>
  <si>
    <t>cG7</t>
  </si>
  <si>
    <t>cG8</t>
  </si>
  <si>
    <t>cG9</t>
  </si>
  <si>
    <t>cG10</t>
  </si>
  <si>
    <t>cG11</t>
  </si>
  <si>
    <t>cG12</t>
  </si>
  <si>
    <t>cG13</t>
  </si>
  <si>
    <t>cG14</t>
  </si>
  <si>
    <t>cG15</t>
  </si>
  <si>
    <t>cG16</t>
  </si>
  <si>
    <t>cG17</t>
  </si>
  <si>
    <t>cG18</t>
  </si>
  <si>
    <t>cG19</t>
  </si>
  <si>
    <t>clo1</t>
  </si>
  <si>
    <t>clo2</t>
  </si>
  <si>
    <t>clo3</t>
  </si>
  <si>
    <t>clo4</t>
  </si>
  <si>
    <t>clo5</t>
  </si>
  <si>
    <t>clo6</t>
  </si>
  <si>
    <t>clo7</t>
  </si>
  <si>
    <t>clo8</t>
  </si>
  <si>
    <t>clo9</t>
  </si>
  <si>
    <t>czso1</t>
  </si>
  <si>
    <t>czso2</t>
  </si>
  <si>
    <t>czso4</t>
  </si>
  <si>
    <t>czso5</t>
  </si>
  <si>
    <t>czso6</t>
  </si>
  <si>
    <t>cpsb</t>
  </si>
  <si>
    <t>MZSB</t>
  </si>
  <si>
    <t>czsc</t>
  </si>
  <si>
    <t>czsek</t>
  </si>
  <si>
    <t>czsel</t>
  </si>
  <si>
    <t>czsen</t>
  </si>
  <si>
    <t>czstk</t>
  </si>
  <si>
    <t>c2zsps</t>
  </si>
  <si>
    <t>czsm</t>
  </si>
  <si>
    <t>MZSS</t>
  </si>
  <si>
    <t>MZSS2</t>
  </si>
  <si>
    <t>czsw</t>
  </si>
  <si>
    <t>czsow</t>
  </si>
  <si>
    <t>czs1</t>
  </si>
  <si>
    <t>czs5</t>
  </si>
  <si>
    <t>MZSZ3</t>
  </si>
  <si>
    <t>co1</t>
  </si>
  <si>
    <t>cog</t>
  </si>
  <si>
    <t>con</t>
  </si>
  <si>
    <t>MLCEZ</t>
  </si>
  <si>
    <t>r1</t>
  </si>
  <si>
    <t>r2</t>
  </si>
  <si>
    <t>r3</t>
  </si>
  <si>
    <t>r4</t>
  </si>
  <si>
    <t>r5</t>
  </si>
  <si>
    <t>r6</t>
  </si>
  <si>
    <t>r7</t>
  </si>
  <si>
    <t>r8</t>
  </si>
  <si>
    <t>r9</t>
  </si>
  <si>
    <t>rzso1</t>
  </si>
  <si>
    <t>rzso2</t>
  </si>
  <si>
    <t>rzso4</t>
  </si>
  <si>
    <t>rzso5</t>
  </si>
  <si>
    <t>rzso6</t>
  </si>
  <si>
    <t>rzs1</t>
  </si>
  <si>
    <t>rzs3</t>
  </si>
  <si>
    <t>rzs5</t>
  </si>
  <si>
    <t>rzs6</t>
  </si>
  <si>
    <t>rzsb</t>
  </si>
  <si>
    <t>rzsc</t>
  </si>
  <si>
    <t>rzsek</t>
  </si>
  <si>
    <t>azsel</t>
  </si>
  <si>
    <t>rzsen</t>
  </si>
  <si>
    <t>rbsb</t>
  </si>
  <si>
    <t>rzstk</t>
  </si>
  <si>
    <t>rzsm</t>
  </si>
  <si>
    <t>rzsow</t>
  </si>
  <si>
    <t>rzsps</t>
  </si>
  <si>
    <t>rzss</t>
  </si>
  <si>
    <t>rzss2</t>
  </si>
  <si>
    <t>rzsw</t>
  </si>
  <si>
    <t>rlcez</t>
  </si>
  <si>
    <t>ron</t>
  </si>
  <si>
    <t>SSM</t>
  </si>
  <si>
    <t>MOS</t>
  </si>
  <si>
    <t>ymdk2</t>
  </si>
  <si>
    <t>ymdk</t>
  </si>
  <si>
    <t>yb1</t>
  </si>
  <si>
    <t>yb2</t>
  </si>
  <si>
    <t>yb3</t>
  </si>
  <si>
    <t>yb5</t>
  </si>
  <si>
    <t>yog</t>
  </si>
  <si>
    <t>yon</t>
  </si>
  <si>
    <t>yo1</t>
  </si>
  <si>
    <t>yo2</t>
  </si>
  <si>
    <t>yzp1</t>
  </si>
  <si>
    <t>yzp2</t>
  </si>
  <si>
    <t>yzp3</t>
  </si>
  <si>
    <t>ypp1</t>
  </si>
  <si>
    <t>ypp2</t>
  </si>
  <si>
    <t>ypp3</t>
  </si>
  <si>
    <t>ylcez</t>
  </si>
  <si>
    <t>ymos</t>
  </si>
  <si>
    <t>yssm</t>
  </si>
  <si>
    <t>j2</t>
  </si>
  <si>
    <t>j4</t>
  </si>
  <si>
    <t>j6</t>
  </si>
  <si>
    <t>j7</t>
  </si>
  <si>
    <t>j10</t>
  </si>
  <si>
    <t>j11</t>
  </si>
  <si>
    <t>j14</t>
  </si>
  <si>
    <t>j17</t>
  </si>
  <si>
    <t>j20</t>
  </si>
  <si>
    <t>j21</t>
  </si>
  <si>
    <t>j23</t>
  </si>
  <si>
    <t>j24</t>
  </si>
  <si>
    <t>j25</t>
  </si>
  <si>
    <t>j27</t>
  </si>
  <si>
    <t>j28</t>
  </si>
  <si>
    <t>j29</t>
  </si>
  <si>
    <t>j30</t>
  </si>
  <si>
    <t>j31</t>
  </si>
  <si>
    <t>j32</t>
  </si>
  <si>
    <t>j34</t>
  </si>
  <si>
    <t>j38</t>
  </si>
  <si>
    <t>j40</t>
  </si>
  <si>
    <t>j42</t>
  </si>
  <si>
    <t>j43</t>
  </si>
  <si>
    <t>j47</t>
  </si>
  <si>
    <t>j48</t>
  </si>
  <si>
    <t>j50</t>
  </si>
  <si>
    <t>j51</t>
  </si>
  <si>
    <t>j52</t>
  </si>
  <si>
    <t>jg12</t>
  </si>
  <si>
    <t>jg13</t>
  </si>
  <si>
    <t>jb1</t>
  </si>
  <si>
    <t>jb2</t>
  </si>
  <si>
    <t>jb3</t>
  </si>
  <si>
    <t>jb5</t>
  </si>
  <si>
    <t>jZSEl</t>
  </si>
  <si>
    <t>jZSB</t>
  </si>
  <si>
    <t>jZSTK</t>
  </si>
  <si>
    <t>jZS3</t>
  </si>
  <si>
    <t>jLCEZ</t>
  </si>
  <si>
    <t>jOG</t>
  </si>
  <si>
    <t>jON</t>
  </si>
  <si>
    <t>jO1</t>
  </si>
  <si>
    <t>jO2</t>
  </si>
  <si>
    <t>jPS</t>
  </si>
  <si>
    <t>jZS4</t>
  </si>
  <si>
    <t>85495e</t>
  </si>
  <si>
    <t>rozdz. 85495 - Pozostała działalność</t>
  </si>
  <si>
    <t>h2</t>
  </si>
  <si>
    <t>h3</t>
  </si>
  <si>
    <t>h4</t>
  </si>
  <si>
    <t>h5</t>
  </si>
  <si>
    <t>h6</t>
  </si>
  <si>
    <t>h7</t>
  </si>
  <si>
    <t>h9</t>
  </si>
  <si>
    <t>h10</t>
  </si>
  <si>
    <t>h14</t>
  </si>
  <si>
    <t>h15</t>
  </si>
  <si>
    <t>h20</t>
  </si>
  <si>
    <t>h21</t>
  </si>
  <si>
    <t>h24</t>
  </si>
  <si>
    <t>h25</t>
  </si>
  <si>
    <t>h28</t>
  </si>
  <si>
    <t>h29</t>
  </si>
  <si>
    <t>h30</t>
  </si>
  <si>
    <t>h31</t>
  </si>
  <si>
    <t>h32</t>
  </si>
  <si>
    <t>h34</t>
  </si>
  <si>
    <t>h36</t>
  </si>
  <si>
    <t>h37</t>
  </si>
  <si>
    <t>h38</t>
  </si>
  <si>
    <t>h42</t>
  </si>
  <si>
    <t>h43</t>
  </si>
  <si>
    <t>h47</t>
  </si>
  <si>
    <t>hzso1</t>
  </si>
  <si>
    <t>hzso2</t>
  </si>
  <si>
    <t>hzso6</t>
  </si>
  <si>
    <t>hpp1</t>
  </si>
  <si>
    <t>hpp3</t>
  </si>
  <si>
    <t>hzp1</t>
  </si>
  <si>
    <t>hzp2</t>
  </si>
  <si>
    <t>hzp3</t>
  </si>
  <si>
    <t>hb1</t>
  </si>
  <si>
    <t>hb2</t>
  </si>
  <si>
    <t>hb3</t>
  </si>
  <si>
    <t>hb5</t>
  </si>
  <si>
    <t>hzsb</t>
  </si>
  <si>
    <t>hzsel</t>
  </si>
  <si>
    <t>hzstk</t>
  </si>
  <si>
    <t>hzs3</t>
  </si>
  <si>
    <t>hog</t>
  </si>
  <si>
    <t>hon</t>
  </si>
  <si>
    <t>ho1</t>
  </si>
  <si>
    <t>ho2</t>
  </si>
  <si>
    <t>hmdk</t>
  </si>
  <si>
    <t>hmdk2</t>
  </si>
  <si>
    <t>hssm</t>
  </si>
  <si>
    <t>hmos</t>
  </si>
  <si>
    <t>11w</t>
  </si>
  <si>
    <t>F2</t>
  </si>
  <si>
    <t>F3</t>
  </si>
  <si>
    <t>F4</t>
  </si>
  <si>
    <t>F5</t>
  </si>
  <si>
    <t>F6</t>
  </si>
  <si>
    <t>F7</t>
  </si>
  <si>
    <t>F9</t>
  </si>
  <si>
    <t>F10</t>
  </si>
  <si>
    <t>F12</t>
  </si>
  <si>
    <t>F14</t>
  </si>
  <si>
    <t>F15</t>
  </si>
  <si>
    <t>F16</t>
  </si>
  <si>
    <t>F18</t>
  </si>
  <si>
    <t>F20</t>
  </si>
  <si>
    <t>F21</t>
  </si>
  <si>
    <t>F23</t>
  </si>
  <si>
    <t>F24</t>
  </si>
  <si>
    <t>F25</t>
  </si>
  <si>
    <t>F27</t>
  </si>
  <si>
    <t>F28</t>
  </si>
  <si>
    <t>F29</t>
  </si>
  <si>
    <t>F30</t>
  </si>
  <si>
    <t>F31</t>
  </si>
  <si>
    <t>F32</t>
  </si>
  <si>
    <t>F33</t>
  </si>
  <si>
    <t>F34</t>
  </si>
  <si>
    <t>F35</t>
  </si>
  <si>
    <t>F36</t>
  </si>
  <si>
    <t>F37</t>
  </si>
  <si>
    <t>F38</t>
  </si>
  <si>
    <t>F39</t>
  </si>
  <si>
    <t>F40</t>
  </si>
  <si>
    <t>F42</t>
  </si>
  <si>
    <t>F43</t>
  </si>
  <si>
    <t>F46</t>
  </si>
  <si>
    <t>F47</t>
  </si>
  <si>
    <t>F48</t>
  </si>
  <si>
    <t>F50</t>
  </si>
  <si>
    <t>F51</t>
  </si>
  <si>
    <t>F52</t>
  </si>
  <si>
    <t>fg1</t>
  </si>
  <si>
    <t>fg2</t>
  </si>
  <si>
    <t>fg3</t>
  </si>
  <si>
    <t>fg5</t>
  </si>
  <si>
    <t>fg7</t>
  </si>
  <si>
    <t>fg8</t>
  </si>
  <si>
    <t>fg9</t>
  </si>
  <si>
    <t>fg10</t>
  </si>
  <si>
    <t>fg11</t>
  </si>
  <si>
    <t>fg12</t>
  </si>
  <si>
    <t>fg13</t>
  </si>
  <si>
    <t>fg14</t>
  </si>
  <si>
    <t>fg15</t>
  </si>
  <si>
    <t>fg16</t>
  </si>
  <si>
    <t>fg17</t>
  </si>
  <si>
    <t>fg18</t>
  </si>
  <si>
    <t>fg19</t>
  </si>
  <si>
    <t>FI</t>
  </si>
  <si>
    <t>FII</t>
  </si>
  <si>
    <t>FIII</t>
  </si>
  <si>
    <t>FIV</t>
  </si>
  <si>
    <t>FV</t>
  </si>
  <si>
    <t>FVI</t>
  </si>
  <si>
    <t>FVII</t>
  </si>
  <si>
    <t>FVIII</t>
  </si>
  <si>
    <t>FIX</t>
  </si>
  <si>
    <t>FZSO1</t>
  </si>
  <si>
    <t>FZSO2</t>
  </si>
  <si>
    <t>FZSO4</t>
  </si>
  <si>
    <t>FZSO5</t>
  </si>
  <si>
    <t>FZSO6</t>
  </si>
  <si>
    <t>FZS1</t>
  </si>
  <si>
    <t>FZS3</t>
  </si>
  <si>
    <t>FZS5</t>
  </si>
  <si>
    <t>FZS6</t>
  </si>
  <si>
    <t>FZSB</t>
  </si>
  <si>
    <t>FZSC</t>
  </si>
  <si>
    <t>FZSEk</t>
  </si>
  <si>
    <t>FZSEl</t>
  </si>
  <si>
    <t>FZSEn</t>
  </si>
  <si>
    <t>FZSM</t>
  </si>
  <si>
    <t>FZSPS</t>
  </si>
  <si>
    <t>FZSS</t>
  </si>
  <si>
    <t>FZSS2</t>
  </si>
  <si>
    <t>FZSW</t>
  </si>
  <si>
    <t>FZSTK</t>
  </si>
  <si>
    <t>FPSB</t>
  </si>
  <si>
    <t>FLCEZ</t>
  </si>
  <si>
    <t>n1</t>
  </si>
  <si>
    <t>n42</t>
  </si>
  <si>
    <t>ng3</t>
  </si>
  <si>
    <t>nlcez</t>
  </si>
  <si>
    <t>n2</t>
  </si>
  <si>
    <t>2n30</t>
  </si>
  <si>
    <t>2n46</t>
  </si>
  <si>
    <t>2ng3</t>
  </si>
  <si>
    <t>2ng14</t>
  </si>
  <si>
    <t>remont pomieszczeń</t>
  </si>
  <si>
    <t>w tym: remont pomieszczeń</t>
  </si>
  <si>
    <t>Załącznik nr 5</t>
  </si>
  <si>
    <t xml:space="preserve">Dotacje celowe otrzymane z budżetu państwa na realizację zadań bieżących 
z zakresu administracji rządowej oraz innych zadań zleconych gminie ustawami </t>
  </si>
  <si>
    <t>1.6  Wydział Spraw Społecznych</t>
  </si>
  <si>
    <t>1.7  Wydział Strategii i Rozwoju</t>
  </si>
  <si>
    <t>3. Zespół Placówek Opiekuńczo - Wychowawczych 
"Pogodny Dom"</t>
  </si>
  <si>
    <t>4. Zespół Dziennych Domów Pomocy Społecznej</t>
  </si>
  <si>
    <t>7.  Szkoły i placówki oświatowe</t>
  </si>
  <si>
    <t>Załącznik nr 7</t>
  </si>
  <si>
    <t>utrzymanie stołówek szkolnych, z tego:</t>
  </si>
  <si>
    <t>I. Dochody gminy, w tym:</t>
  </si>
  <si>
    <t>Świadczenia rodzinne oraz składki na ubezpieczenia emerytalne i rentowe 
z ubezpieczenia społecznego</t>
  </si>
  <si>
    <t>Załącznik nr 12</t>
  </si>
  <si>
    <t>Załącznik nr 13</t>
  </si>
  <si>
    <t>2ng15</t>
  </si>
  <si>
    <t>2n1</t>
  </si>
  <si>
    <t>2n2</t>
  </si>
  <si>
    <t>2nzso1</t>
  </si>
  <si>
    <t>2nzstk</t>
  </si>
  <si>
    <t>2nlcez</t>
  </si>
  <si>
    <t>n3</t>
  </si>
  <si>
    <t>3nzstk</t>
  </si>
  <si>
    <t>a1</t>
  </si>
  <si>
    <t>1a39</t>
  </si>
  <si>
    <t>1a43</t>
  </si>
  <si>
    <t>1a51</t>
  </si>
  <si>
    <t>1a8</t>
  </si>
  <si>
    <t>1azso2</t>
  </si>
  <si>
    <t>1azsm</t>
  </si>
  <si>
    <t>1ao1</t>
  </si>
  <si>
    <t>2a2</t>
  </si>
  <si>
    <t>a2</t>
  </si>
  <si>
    <t>a3</t>
  </si>
  <si>
    <t>a4</t>
  </si>
  <si>
    <t>a6</t>
  </si>
  <si>
    <t>a7</t>
  </si>
  <si>
    <t>a10</t>
  </si>
  <si>
    <t>a14</t>
  </si>
  <si>
    <t>a15</t>
  </si>
  <si>
    <t>a20</t>
  </si>
  <si>
    <t>a21</t>
  </si>
  <si>
    <t>a23</t>
  </si>
  <si>
    <t>a24</t>
  </si>
  <si>
    <t>a25</t>
  </si>
  <si>
    <t>a27</t>
  </si>
  <si>
    <t>a28</t>
  </si>
  <si>
    <t>a29</t>
  </si>
  <si>
    <t>a30</t>
  </si>
  <si>
    <t>a31</t>
  </si>
  <si>
    <t>a32</t>
  </si>
  <si>
    <t>a34</t>
  </si>
  <si>
    <t>a38</t>
  </si>
  <si>
    <t>a39</t>
  </si>
  <si>
    <t>a40</t>
  </si>
  <si>
    <t>a42</t>
  </si>
  <si>
    <t>a43</t>
  </si>
  <si>
    <t>a46</t>
  </si>
  <si>
    <t>a48</t>
  </si>
  <si>
    <t>a50</t>
  </si>
  <si>
    <t>a51</t>
  </si>
  <si>
    <t>a52</t>
  </si>
  <si>
    <t>ag1</t>
  </si>
  <si>
    <t>ag2</t>
  </si>
  <si>
    <t>ag3</t>
  </si>
  <si>
    <t>ag5</t>
  </si>
  <si>
    <t>ag7</t>
  </si>
  <si>
    <t>ag9</t>
  </si>
  <si>
    <t>ag10</t>
  </si>
  <si>
    <t>ag12</t>
  </si>
  <si>
    <t>ag13</t>
  </si>
  <si>
    <t>ag14</t>
  </si>
  <si>
    <t>ag16</t>
  </si>
  <si>
    <t>ag17</t>
  </si>
  <si>
    <t>ag18</t>
  </si>
  <si>
    <t>a1lo</t>
  </si>
  <si>
    <t>a2lo</t>
  </si>
  <si>
    <t>a3lo</t>
  </si>
  <si>
    <t>a4lo</t>
  </si>
  <si>
    <t>a5lo</t>
  </si>
  <si>
    <t>a6lo</t>
  </si>
  <si>
    <t>a7lo</t>
  </si>
  <si>
    <t>a8lo</t>
  </si>
  <si>
    <t>a9lo</t>
  </si>
  <si>
    <t>azso2</t>
  </si>
  <si>
    <t>azso4</t>
  </si>
  <si>
    <t>azso5</t>
  </si>
  <si>
    <t>azso6</t>
  </si>
  <si>
    <t>azs1</t>
  </si>
  <si>
    <t>azs3</t>
  </si>
  <si>
    <t>azs4</t>
  </si>
  <si>
    <t>azs5</t>
  </si>
  <si>
    <t>azs6</t>
  </si>
  <si>
    <t>azsb</t>
  </si>
  <si>
    <t>azsc</t>
  </si>
  <si>
    <t>azsen</t>
  </si>
  <si>
    <t>azsow</t>
  </si>
  <si>
    <t>azsps</t>
  </si>
  <si>
    <t>azss</t>
  </si>
  <si>
    <t>azstk</t>
  </si>
  <si>
    <t>azsw</t>
  </si>
  <si>
    <t>alcez</t>
  </si>
  <si>
    <t>ao1</t>
  </si>
  <si>
    <t>amdk</t>
  </si>
  <si>
    <t>amdk2</t>
  </si>
  <si>
    <t>amos</t>
  </si>
  <si>
    <t>3a</t>
  </si>
  <si>
    <t>3a30</t>
  </si>
  <si>
    <t>3a42</t>
  </si>
  <si>
    <t>4a</t>
  </si>
  <si>
    <t>4azsc</t>
  </si>
  <si>
    <t>USP31</t>
  </si>
  <si>
    <t>USP33</t>
  </si>
  <si>
    <t>Uzsow</t>
  </si>
  <si>
    <t>UZSEk</t>
  </si>
  <si>
    <t>UO1</t>
  </si>
  <si>
    <t>p1</t>
  </si>
  <si>
    <t>1p32</t>
  </si>
  <si>
    <t>1pzs3</t>
  </si>
  <si>
    <t>1po2</t>
  </si>
  <si>
    <t>1pon</t>
  </si>
  <si>
    <t>2p</t>
  </si>
  <si>
    <t>2p28</t>
  </si>
  <si>
    <t>2p32</t>
  </si>
  <si>
    <t>2pzsw</t>
  </si>
  <si>
    <t>2po2</t>
  </si>
  <si>
    <t>3p</t>
  </si>
  <si>
    <t>3p28</t>
  </si>
  <si>
    <t>3p32</t>
  </si>
  <si>
    <t>3pon</t>
  </si>
  <si>
    <t>k50</t>
  </si>
  <si>
    <t>l50</t>
  </si>
  <si>
    <t>wydatki na zadania realizowane na podstawie porozumień i umów</t>
  </si>
  <si>
    <t>Dział 801 - Oświata  i wychowanie</t>
  </si>
  <si>
    <t>rr80195</t>
  </si>
  <si>
    <t>rozdz. 80195 - Pozostała działalność</t>
  </si>
  <si>
    <t>rrcku2</t>
  </si>
  <si>
    <t>remont.</t>
  </si>
  <si>
    <t>zdrowot.</t>
  </si>
  <si>
    <t>Różne rozliczenia</t>
  </si>
  <si>
    <t>Rezerwy ogólne i celowe</t>
  </si>
  <si>
    <t>rezerwa budżetowa</t>
  </si>
  <si>
    <t>Pomoc społeczna</t>
  </si>
  <si>
    <t xml:space="preserve">1.1  Wydział Finansowy </t>
  </si>
  <si>
    <t>Składki na Fundusz Pracy</t>
  </si>
  <si>
    <t>Pozostała działalność</t>
  </si>
  <si>
    <t>Nagrody i wydatki osobowe niezaliczone do wynagrodzeń</t>
  </si>
  <si>
    <t>Oświata i wychowanie</t>
  </si>
  <si>
    <t>Szkoły podstawowe</t>
  </si>
  <si>
    <t>wynagrodzenia osobowe</t>
  </si>
  <si>
    <t>Wydatki na zadania ustawowo zlecone gminie</t>
  </si>
  <si>
    <t>modernizacje przychodni</t>
  </si>
  <si>
    <t>inwestycje - modernizacje przychodni</t>
  </si>
  <si>
    <t>Wydatki na zadania z zakresu administracji rządowej wykonywane przez powiat</t>
  </si>
  <si>
    <t>Koszty postępowania sądowego i prokuratorskiego</t>
  </si>
  <si>
    <t>Dochody</t>
  </si>
  <si>
    <t>Dochody                                                                                                                                            (Nazwa działu, rozdziału, źródła dochodów, paragrafu)</t>
  </si>
  <si>
    <t>Zwiększenia</t>
  </si>
  <si>
    <t>Dochody budżetu miasta ogółem</t>
  </si>
  <si>
    <t>I. Dochody gminy ogółem, z tego:</t>
  </si>
  <si>
    <t>Dochody własne</t>
  </si>
  <si>
    <t>Subwencje</t>
  </si>
  <si>
    <t>Dotacje celowe i inne środki na zadania własne</t>
  </si>
  <si>
    <t>Dotacje celowe na zadania realizowane w drodze porozumień i umów</t>
  </si>
  <si>
    <t>II. Dochody powiatu ogółem, z tego:</t>
  </si>
  <si>
    <t xml:space="preserve">Dotacje celowe z budżetu państwa na zadania z zakresu administracji rządowej </t>
  </si>
  <si>
    <t>Dział</t>
  </si>
  <si>
    <t>Zespół Opieki Zdrowotnej w Lublinie Samodzielny Publiczny Zakład Opieki Zdrowotnej; 
ul. Hipoteczna 4, 20 - 027 Lublin</t>
  </si>
  <si>
    <t>Dotacje celowe z budżetu na finansowanie lub dofinansowanie kosztów realizacji inwestycji 
i zakupów inwestycyjnych innych jednostek sektora finansów publicznych</t>
  </si>
  <si>
    <t>Zakład Opieki Zdrowotnej w Lublinie Samodzielny Publiczny Zakład Opieki Zdrowotnej, 
ul. Hipoteczna 4; 20-027 Lublin</t>
  </si>
  <si>
    <t>udzielanie rodzinom, w których występują problemy alkoholowe pomocy psychospołecznej 
i prawnej, a w szczególności ochrony przed przemocą w rodzinie</t>
  </si>
  <si>
    <t xml:space="preserve">Edukacyjna opieka wychowawcza </t>
  </si>
  <si>
    <t>w tym: inwestycje</t>
  </si>
  <si>
    <t xml:space="preserve">Rozdz.      </t>
  </si>
  <si>
    <t xml:space="preserve">Treść   </t>
  </si>
  <si>
    <t>Zmniejszenia</t>
  </si>
  <si>
    <t>Ogółem</t>
  </si>
  <si>
    <t>1. Urząd Miasta</t>
  </si>
  <si>
    <t>1.1 Wydział Finansowy</t>
  </si>
  <si>
    <t>Zadania z zakresu administracji rządowej wykonywane przez powiat</t>
  </si>
  <si>
    <t xml:space="preserve">Nazwa: działu, rozdziału, zadania </t>
  </si>
  <si>
    <t>Ogółem remonty</t>
  </si>
  <si>
    <t>Zadania własne</t>
  </si>
  <si>
    <t>Rezerwy</t>
  </si>
  <si>
    <t>Plan dochodów po zmianach</t>
  </si>
  <si>
    <t>Plan na 2004 rok
z późn. zm.</t>
  </si>
  <si>
    <t>Harmonogram realizacji dochodów budżetu miasta w 2004 roku</t>
  </si>
  <si>
    <t>Licea ogólnokształcące specjalne</t>
  </si>
  <si>
    <t>Licea profilowane specjalne</t>
  </si>
  <si>
    <t xml:space="preserve">Plan według uchwały    
Nr 339/XV/2004                             
Rady Miasta Lublin
z 29.01.2004 r.
z późn. zm.                 </t>
  </si>
  <si>
    <t xml:space="preserve">Plan według uchwały    
Nr 339/XV/2004                              
Rady Miasta Lublin
z 29.01.2004 r.
z późn. zm.                     </t>
  </si>
  <si>
    <t>Dochody budżetu miasta na 2004 rok</t>
  </si>
  <si>
    <t xml:space="preserve">Podział planowanych dochodów i wydatków budżetu miasta </t>
  </si>
  <si>
    <t>Centrum Kształcenia Ustawicznego nr 2</t>
  </si>
  <si>
    <t>na 2004 rok według jednostek organizacyjnych realizujących budżet</t>
  </si>
  <si>
    <t>II. Dochody powiatu, w tym:</t>
  </si>
  <si>
    <t>Urzędy wojewódzkie</t>
  </si>
  <si>
    <t>Wydatki na zadnia z zakresu administracji rządowej wykonywane przez powiat</t>
  </si>
  <si>
    <t>dotacja celowa z budzetu państwa na utrzymanie Komendy Miejskiej Państwowej Straży Pożarnej</t>
  </si>
  <si>
    <t>Planowane wydatki majątkowe na 2004 rok</t>
  </si>
  <si>
    <t>Plan remontów na 2004 rok</t>
  </si>
  <si>
    <t>Wydatki budżetu miasta na 2004 rok</t>
  </si>
  <si>
    <t>Plan według uchwały    
Nr 339/XV/2004                              
Rady Miasta Lublin
z 29.01.2004 r. 
z późn. zm.</t>
  </si>
  <si>
    <t>Dochody budżetu państwa związane z realizacją zadań zlecanych jednostkom samorządu terytorialnego</t>
  </si>
  <si>
    <t>Plan
na 2004 rok
z późn. zm.</t>
  </si>
  <si>
    <t>w tym:</t>
  </si>
  <si>
    <t>Wydatki na zadania realizowane na podstawie
 porozumień i umów</t>
  </si>
  <si>
    <t>Ogółem:</t>
  </si>
  <si>
    <t>Transport i łączność</t>
  </si>
  <si>
    <t>pomoc materialna dla młodzieży wiejskiej</t>
  </si>
  <si>
    <t>pochodne od wynagrodzeń</t>
  </si>
  <si>
    <t>stypendia oraz inne formy pomocy dla uczniów</t>
  </si>
  <si>
    <t>Wydatki rzeczowe</t>
  </si>
  <si>
    <t xml:space="preserve">       Nazwa</t>
  </si>
  <si>
    <t>§ 4010</t>
  </si>
  <si>
    <t>§ 4110</t>
  </si>
  <si>
    <t>§ 4120</t>
  </si>
  <si>
    <t>§ 3240</t>
  </si>
  <si>
    <t>§ 4210</t>
  </si>
  <si>
    <t>§ 4240</t>
  </si>
  <si>
    <t>§ 4260</t>
  </si>
  <si>
    <t>§ 4300</t>
  </si>
  <si>
    <t xml:space="preserve">  § 4410</t>
  </si>
  <si>
    <t>§ 4440</t>
  </si>
  <si>
    <t>§ 6060</t>
  </si>
  <si>
    <t>Składki na</t>
  </si>
  <si>
    <t>Składki</t>
  </si>
  <si>
    <t>Stypendia</t>
  </si>
  <si>
    <t xml:space="preserve">    Zakup</t>
  </si>
  <si>
    <t>Prywatne Przedszkole "STRUMYK" A. i W. Rożek Nr 1; Anna i Wiesław Rożek, 
ul. Lwowska 24/34, 20-128 Lublin</t>
  </si>
  <si>
    <t>Zakup</t>
  </si>
  <si>
    <t>Podróże</t>
  </si>
  <si>
    <t>Odpisy</t>
  </si>
  <si>
    <t>osobowe</t>
  </si>
  <si>
    <t>ubezpiecz.</t>
  </si>
  <si>
    <t xml:space="preserve">na </t>
  </si>
  <si>
    <t>oraz</t>
  </si>
  <si>
    <t xml:space="preserve">materiałów </t>
  </si>
  <si>
    <t>pomocy</t>
  </si>
  <si>
    <t>energii</t>
  </si>
  <si>
    <t>usług</t>
  </si>
  <si>
    <t>służbowe</t>
  </si>
  <si>
    <t>na zakł.</t>
  </si>
  <si>
    <t>zakupy</t>
  </si>
  <si>
    <t>społeczne</t>
  </si>
  <si>
    <t>Fundusz</t>
  </si>
  <si>
    <t>inne formy</t>
  </si>
  <si>
    <t>remonty szkół</t>
  </si>
  <si>
    <t>i</t>
  </si>
  <si>
    <t>naukowych,</t>
  </si>
  <si>
    <t>krajowe</t>
  </si>
  <si>
    <t>fundusz</t>
  </si>
  <si>
    <t>Razem</t>
  </si>
  <si>
    <t>Pracy</t>
  </si>
  <si>
    <t>pomocy dla</t>
  </si>
  <si>
    <t>świadczeń</t>
  </si>
  <si>
    <t>uczniów</t>
  </si>
  <si>
    <t>i książek</t>
  </si>
  <si>
    <t>socjalnych</t>
  </si>
  <si>
    <t>rozdz. 80101 - Szkoły podstawowe</t>
  </si>
  <si>
    <t>Szkoła Podstawowa nr 2</t>
  </si>
  <si>
    <t>Szkoła Podstawowa nr 3</t>
  </si>
  <si>
    <t>Szkoła Podstawowa nr 4</t>
  </si>
  <si>
    <t>Szkoła Podstawowa nr 5</t>
  </si>
  <si>
    <t>Szkoła Podstawowa nr 6</t>
  </si>
  <si>
    <t>Szkoła Podstawowa nr 7</t>
  </si>
  <si>
    <t>Szkoła Podstawowa nr 9</t>
  </si>
  <si>
    <t>Szkoła Podstawowa nr 10</t>
  </si>
  <si>
    <t>ZSO nr 2 (Szkoła Podstawowa nr 11)</t>
  </si>
  <si>
    <t>Szkoła Podstawowa nr 12</t>
  </si>
  <si>
    <t>Szkoła Podstawowa nr 14</t>
  </si>
  <si>
    <t>Szkoła Podstawowa nr 15</t>
  </si>
  <si>
    <t>Szkoła Podstawowa nr 16</t>
  </si>
  <si>
    <t>ZSO nr 6 (Szkoła Podstawowa nr 17)</t>
  </si>
  <si>
    <t>Szkoła Podstawowa nr 18</t>
  </si>
  <si>
    <t>Szkoła Podstawowa nr 20</t>
  </si>
  <si>
    <t xml:space="preserve">Przedszkola </t>
  </si>
  <si>
    <t>Zakup usług remontowych - remonty obiektów</t>
  </si>
  <si>
    <t>dotacje dla przedszkoli publicznych i niepublicznych</t>
  </si>
  <si>
    <t>Dotacja podmiotowa z budżetu dla niepublicznej jednostki systemu oświaty</t>
  </si>
  <si>
    <t>Dotacje podmiotowe z budżetu dla publicznej jednostki systemu oświaty prowadzonej przez osobę prawną inną niż jednostka samorządu terytorialnego oraz przez osobę fizyczną</t>
  </si>
  <si>
    <t>przedszkola,w tym:</t>
  </si>
  <si>
    <t>Przedszkola</t>
  </si>
  <si>
    <t>remonty obiektów</t>
  </si>
  <si>
    <t>Katolickie Przedszkole im. św. Franciszka z Asyżu; Zgromadzenie Siósr Służek 
NMP Niepokalanej, ul. Mickiewicza 7, 27-600 Sandomierz</t>
  </si>
  <si>
    <t>Przedszkole Publiczne "Jadwisia"; Parafia Rzymsko-Katolicka pw. Trójcy
Przenajświętszej, ul. Władysława Jagiełły 7, 20-281 Lublin</t>
  </si>
  <si>
    <t>Przedszkole nr 69</t>
  </si>
  <si>
    <t>Odpisy na zakładowy fundusz świadczeń socjalnych</t>
  </si>
  <si>
    <t>zakupy inwestycyjne</t>
  </si>
  <si>
    <t>przedszkola przy szkołach podstawowych, w tym:</t>
  </si>
  <si>
    <t>Przedszkola specjalne</t>
  </si>
  <si>
    <t>Zakup pomocy naukowych, dydaktycznych i książek</t>
  </si>
  <si>
    <t>Dowożenie uczniów do szkół</t>
  </si>
  <si>
    <t>dowożenie uczniów do szkół</t>
  </si>
  <si>
    <t>Licea profilowane</t>
  </si>
  <si>
    <t xml:space="preserve">Szkoły zawodowe </t>
  </si>
  <si>
    <t>Szkoły zawodowe specjalne</t>
  </si>
  <si>
    <t>Edukacyjna opieka wychowawcza</t>
  </si>
  <si>
    <t>Świetlice szkolne</t>
  </si>
  <si>
    <t>Zakup usług zdrowotnych</t>
  </si>
  <si>
    <t>Specjalne ośrodki szkolno - wychowawcze</t>
  </si>
  <si>
    <t>Poradnie psychologiczno - pedagogiczne, 
w tym poradnie specjalistyczne</t>
  </si>
  <si>
    <t>Placówki wychowania pozaszkolnego</t>
  </si>
  <si>
    <t>Internaty i bursy szkolne</t>
  </si>
  <si>
    <t>Szkoły zawodowe</t>
  </si>
  <si>
    <t>Szkoła Podstawowa nr 21</t>
  </si>
  <si>
    <t>ZSO nr 5 (Szkoła Podstawowa nr 22)</t>
  </si>
  <si>
    <t>Szkoła Podstawowa nr 23</t>
  </si>
  <si>
    <t>Szkoła Podstawowa nr 24</t>
  </si>
  <si>
    <t>Szkoła Podstawowa nr 25</t>
  </si>
  <si>
    <t>Szkoła Podstawowa nr 27</t>
  </si>
  <si>
    <t>Szkoła Podstawowa nr 28</t>
  </si>
  <si>
    <t>Szkoła Podstawowa nr 29</t>
  </si>
  <si>
    <t>Szkoła Podstawowa nr 30</t>
  </si>
  <si>
    <t>Szkoła Podstawowa nr 31</t>
  </si>
  <si>
    <t>Szkoła Podstawowa nr 32</t>
  </si>
  <si>
    <t>Szkoła Podstawowa nr 33</t>
  </si>
  <si>
    <t>Szkoła Podstawowa nr 34</t>
  </si>
  <si>
    <t>Szkoła Podstawowa nr 35</t>
  </si>
  <si>
    <t>Szkoła Podstawowa nr 36</t>
  </si>
  <si>
    <t>Szkoła Podstawowa nr 37</t>
  </si>
  <si>
    <t>Dotacja celowa z budżetu na finansowanie lub dofinansowanie zadań zleconych do realizacji fundacjom</t>
  </si>
  <si>
    <t>Fundacja SOS Ziemi Lubelskiej, ul. Bronowicka 3 20 - 301 Lublin</t>
  </si>
  <si>
    <t>Bractwo Miłosierdzia im. św. Brata Alberta, ul. Zielona 3 20-082 Lublin</t>
  </si>
  <si>
    <t>inwestycje - modernizacja obiektu</t>
  </si>
  <si>
    <t>Załącznik nr 11</t>
  </si>
  <si>
    <t>Szkoła Podstawowa nr 38</t>
  </si>
  <si>
    <t>Szkoła Podstawowa nr 39</t>
  </si>
  <si>
    <t>Szkoła Podstawowa nr 40</t>
  </si>
  <si>
    <t>Szkoła Podstawowa nr 42</t>
  </si>
  <si>
    <t>Szkoła Podstawowa nr 43</t>
  </si>
  <si>
    <t>ZSO nr 4 (Szkoła Podstawowa nr 44)</t>
  </si>
  <si>
    <t>Szkoła Podstawowa nr 46</t>
  </si>
  <si>
    <t>Szkoła Podstawowa nr 47</t>
  </si>
  <si>
    <t>Szkoła Podstawowa nr 48</t>
  </si>
  <si>
    <t>Szkoła Podstawowa nr 50</t>
  </si>
  <si>
    <t>Szkoła Podstawowa nr 51</t>
  </si>
  <si>
    <t>Szkoła Podstawowa nr 52</t>
  </si>
  <si>
    <t>Pogotowie Opiekuńcze</t>
  </si>
  <si>
    <t>Pierwsza Społeczna Szkoła Podstawowa</t>
  </si>
  <si>
    <t>Społeczna Terapeutyczna Szkoła Podstawowa</t>
  </si>
  <si>
    <t>Pozostałe zadania w zakresie polityki społecznej</t>
  </si>
  <si>
    <t>Zespoły do spraw orzekania o niepełnosprawności</t>
  </si>
  <si>
    <t>Placówki opiekuńczo - wychowawcze</t>
  </si>
  <si>
    <t>modernizacje obiektów</t>
  </si>
  <si>
    <t>Lecznictwo ambulatoryjne</t>
  </si>
  <si>
    <t>inwestycje - zakupy inwestycyjne</t>
  </si>
  <si>
    <t>Bezpieczeństwo publiczne i ochrona przeciwpożarowa</t>
  </si>
  <si>
    <t>Komendy powiatowe Państwowej Straży Pożarnej</t>
  </si>
  <si>
    <t>Katolicka Szkoła Podstawowa im. św Jadwigi Królowej</t>
  </si>
  <si>
    <t>Społeczna Szkoła Podstawowa im. S.F. Klonowica</t>
  </si>
  <si>
    <t>Społeczna Szkoła Podstawowa im. Żołnierzy AK i WiN</t>
  </si>
  <si>
    <t>Środki w dyspozycji WOIW</t>
  </si>
  <si>
    <t xml:space="preserve">Szkoła Podstawowa nr 31 </t>
  </si>
  <si>
    <t xml:space="preserve">Zespół Szkół nr 4 </t>
  </si>
  <si>
    <t>wydatki związane z finansowaniem części wyprawki szkolnej</t>
  </si>
  <si>
    <t>Ośrodek Szkolno-Wychowawczy dla Dzieci i Młodzieży Niesłyszącej i Słabo Słyszącej</t>
  </si>
  <si>
    <t>rozdz. 80102 - Szkoły podstawowe specjalne</t>
  </si>
  <si>
    <t>Zespół Szkół nr 4 (Szkoła Podstawowa Specjalna nr 26)</t>
  </si>
  <si>
    <t>Specjalny Ośrodek Szkolno-Wychowawczy nr 2</t>
  </si>
  <si>
    <t>Ośrodek Szkolno - Wychowawczy dla Dzieci i Młodzieży Słabo Widzącej</t>
  </si>
  <si>
    <t>Ośrodek Szkolno - Wychowawczy dla Dzieci i Młodzieży Niesłyszącej i Słabo Słyszącej</t>
  </si>
  <si>
    <t xml:space="preserve">rozdz. 80104 - Przedszkola </t>
  </si>
  <si>
    <t>rozdz. 80105 - Przedszkola specjalne</t>
  </si>
  <si>
    <t>Przedszkole Specjalne nr 11</t>
  </si>
  <si>
    <t>rozdz. 80110- Gimnazja</t>
  </si>
  <si>
    <t>Gimnazjum nr 1</t>
  </si>
  <si>
    <t>Gimnazjum nr 2</t>
  </si>
  <si>
    <t>Gimnazjum nr 3</t>
  </si>
  <si>
    <t>Zespół Szkół nr 6 (Gimnazjum nr 4 i Gimnazjum dla Dorosłych)</t>
  </si>
  <si>
    <t>Gimnazjum nr 5</t>
  </si>
  <si>
    <t>ZSO nr 4 (Gimnazjum nr 6)</t>
  </si>
  <si>
    <t>Gimnazjum nr 7</t>
  </si>
  <si>
    <t>Gimnazjum nr 8</t>
  </si>
  <si>
    <t>Gimnazjum nr 9</t>
  </si>
  <si>
    <t>Gimnazjum nr 10</t>
  </si>
  <si>
    <t>Gimnazjum nr 11</t>
  </si>
  <si>
    <t>Gimnazjum nr 12</t>
  </si>
  <si>
    <t>Gimnazjum nr 13</t>
  </si>
  <si>
    <t>Gimnazjum nr 14</t>
  </si>
  <si>
    <t>Gimnazjum nr 15</t>
  </si>
  <si>
    <t>Gimnazjum nr 16</t>
  </si>
  <si>
    <t>Gimnazjum nr 17</t>
  </si>
  <si>
    <t>Gimnazjum nr 18</t>
  </si>
  <si>
    <t>Gimnazjum nr 19</t>
  </si>
  <si>
    <t>Gimnazjum im. św. Stanisława Kostki</t>
  </si>
  <si>
    <t>Katolickie Gimnazjum Katolickie im. św. Teresy</t>
  </si>
  <si>
    <t>Społeczne Gimnazjum im. H. Ch. Andersena</t>
  </si>
  <si>
    <t>Społeczne Gimnazjum im. S. F. Klonowica</t>
  </si>
  <si>
    <t>Pallotyńskie Gimnazjum im. Stefana Batorego</t>
  </si>
  <si>
    <t>Społeczne Gimnazjum im. Żołnierzy AK i W i N</t>
  </si>
  <si>
    <t>Prywatne Gimnazjum im. I. J. Paderewskiego</t>
  </si>
  <si>
    <t>Lubelskie Społeczne Gimnazjum im. Jana III Sobieskiego</t>
  </si>
  <si>
    <t>Prywatne Gimnazjum im.Królowej Jadwigi</t>
  </si>
  <si>
    <t>rozdz. 80111 - Gimnazja specjalne</t>
  </si>
  <si>
    <t>Zespół Szkół nr 4 (Gimnazjum Specjalne nr 20)</t>
  </si>
  <si>
    <t xml:space="preserve">Specjalny Ośrodek Szkolno-Wychowawczy nr 2 (Gimnazjum Specjalne nr 21) </t>
  </si>
  <si>
    <t xml:space="preserve">Ośrodek Szkolno-Wychowawczy dla Dzieci i Młodzieży Słabo Widzącej (Gimnazjum Specjalne nr 22) </t>
  </si>
  <si>
    <t>Ośrodek Szkolno-Wychowawczy dla Dzieci i Młodzieży Niesłyszącej i Słabo Słyszącej (Gimnazjum Specjalne nr 23)</t>
  </si>
  <si>
    <t>rozdz. 80113 - Dowożenie uczniów do szkół</t>
  </si>
  <si>
    <t xml:space="preserve">Zespół Szkół Ogólnokształcących nr 4 </t>
  </si>
  <si>
    <t>I Liceum Ogólnokształcące</t>
  </si>
  <si>
    <t>II Liceum Ogólnokształcące</t>
  </si>
  <si>
    <t>III Liceum Ogólnokształcące</t>
  </si>
  <si>
    <t>IV Liceum Ogólnokształcące</t>
  </si>
  <si>
    <t>V Liceum Ogólnokształcące</t>
  </si>
  <si>
    <t>VI Liceum Ogólnokształcące</t>
  </si>
  <si>
    <t>VII Liceum Ogólnokształcące</t>
  </si>
  <si>
    <t>VIII Liceum Ogólnokształcące</t>
  </si>
  <si>
    <t>IX Liceum Ogólnokształcące</t>
  </si>
  <si>
    <t xml:space="preserve">Zespół Szkół Elektronicznych </t>
  </si>
  <si>
    <t>Państwowe Szkoły Budownictwa i Geodezji  (XI Liceum Ogólnokształcące)</t>
  </si>
  <si>
    <t>Zespół Szkół Chemicznych (XII Liceum Ogólnokształcące)</t>
  </si>
  <si>
    <t>Zespół Szkół nr 1 (XV Liceum Ogólnokształcące)</t>
  </si>
  <si>
    <t>Urzędy miast i miast na prawach powiatu</t>
  </si>
  <si>
    <t>Zespół  Szkół  Ekonomicznych (XVI Liceum Ogólnokształcące)</t>
  </si>
  <si>
    <t>ZSO nr 5 (XIX Liceum Ogólnokształcące)</t>
  </si>
  <si>
    <t>ZSO nr 4 (XX Liceum Ogólnokształcące)</t>
  </si>
  <si>
    <t>Zespół Szkół nr 5 (XXIV Liceum Ogólnokształcące)</t>
  </si>
  <si>
    <t xml:space="preserve">XXI Liceum Ogólnokształcące im. św. St. Kostki </t>
  </si>
  <si>
    <t xml:space="preserve">Społeczne Liceum Ogólnokształcące im.Żołnierzy AK i WiN </t>
  </si>
  <si>
    <t>Prywatne Katolickie Liceum Ogólnokształcące                            im. ks. K. Gostyńskiego</t>
  </si>
  <si>
    <t>Pallotyńskie Liceum Ogólnokształcące im. S. Batorego</t>
  </si>
  <si>
    <t>Katolickie Liceum Ogólnokształcące  im. św. Teresy</t>
  </si>
  <si>
    <t>Prywatne Liceum Ogólnokształcące im. S. Wyspiańskiego</t>
  </si>
  <si>
    <t xml:space="preserve">Prywatne Liceum Ogólnokształcące                                   im. I. J. Paderewskiego </t>
  </si>
  <si>
    <t>Społeczne Liceum Ogólnokształcące                                          im. Jana III Sobieskiego</t>
  </si>
  <si>
    <t>Wpłaty na Państwowy Fundusz Rehabilitacji Osób Niepełnosprawnych</t>
  </si>
  <si>
    <t>Prywatne Liceum Ogólnokształcące im. Królowej Jadwigi</t>
  </si>
  <si>
    <t xml:space="preserve">Prywatne Liceum Ogólnokształcące im. Wincentego Pola </t>
  </si>
  <si>
    <t>Prywatne Liceum Ogólnokształcące im. J. Czapskiego</t>
  </si>
  <si>
    <t>Prywatne Liceum Ogólnokształcące dla Dorosłych Wieczorowe im. E. Orzeszkowej</t>
  </si>
  <si>
    <t>Prywatne Liceum Ogólnokształcące dla Dorosłych Zaoczne im. E. Orzeszkowej</t>
  </si>
  <si>
    <t>Europejskie Liceum Ogólnokształcące dla Dorosłych</t>
  </si>
  <si>
    <t>Społeczne Liceum Ogólnokształcące Stowarzyszenia "Szansa"</t>
  </si>
  <si>
    <t>Pochodne od wynagrodzeń</t>
  </si>
  <si>
    <t xml:space="preserve">       szkoły</t>
  </si>
  <si>
    <t>Zespół Szkół nr 4 (Szkoła Podstawowa nr 49)</t>
  </si>
  <si>
    <t>DG11</t>
  </si>
  <si>
    <t>Zespół Szkół Elektronicznych (X Liceum Ogólnokształcące)</t>
  </si>
  <si>
    <t>ZSO nr 2 (XVIII Liceum Ogólnokształcące)</t>
  </si>
  <si>
    <t>Zespół Szkół Włókienniczych  (XXIII Liceum Ogólnokształcące)</t>
  </si>
  <si>
    <t>Społeczne Liceum Ogólnokształcace im. H. Ch. Andersena</t>
  </si>
  <si>
    <t>Zespół Szkół Mechanicznych (XII Liceum Profilowane)</t>
  </si>
  <si>
    <t>Zespół Szkół Budowlanych (XIII Liceum Profilowane)</t>
  </si>
  <si>
    <t>Zespół Szkół Transportowo-Komunikacyjnych (XIV Liceum Profilowane)</t>
  </si>
  <si>
    <t>Zespół Szkół Włókienniczych (XIX Liceum Profilowane)</t>
  </si>
  <si>
    <t>Zespół Szkół Elektronicznych (XX Liceum Profilowane)</t>
  </si>
  <si>
    <t>Zespół Szkół Odzieżowo - Włókienniczych</t>
  </si>
  <si>
    <t>rozdz. 80134 - Szkoły zawodowe specjalne</t>
  </si>
  <si>
    <t>rozdz.80195- Pozostała działalność</t>
  </si>
  <si>
    <t>Załącznik nr 1</t>
  </si>
  <si>
    <t>Dotacje celowe z budżetu państwa na zadania zlecone z zakresu administracji rządowej</t>
  </si>
  <si>
    <t>Świadczenia rodzinne oraz składki na ubezpieczenia emerytalne i rentowe z ubezpieczenia społecznego</t>
  </si>
  <si>
    <t>Świadczenia rodzinne oraz składki na ubezpieczenia emerytalne 
i rentowe z ubezpieczenia społecznego</t>
  </si>
  <si>
    <t>dotacja celowa z budżetu państwa na wydatki związane z wypłatą świadczeń rodzinnych</t>
  </si>
  <si>
    <t xml:space="preserve">Dotacje celowe otrzymane z budżetu państwa na realizację zadań bieżących z zakresu administracji rządowej oraz innych zadań zleconych gminie ustawami </t>
  </si>
  <si>
    <t>Dochody                                                                                                                                            (Nazwa działu, rozdziału, źródła dochodów)</t>
  </si>
  <si>
    <t>Załącznik nr 2</t>
  </si>
  <si>
    <t>w tym: remonty szkół</t>
  </si>
  <si>
    <t>w tym: remonty obiektów</t>
  </si>
  <si>
    <t>zakładowy fundusz świadczeń socjalnych dla nauczycieli emerytów 
i rencistów</t>
  </si>
  <si>
    <t>świadczenia rodzinne</t>
  </si>
  <si>
    <t>Załącznik nr 4</t>
  </si>
  <si>
    <t>Załącznik nr 3</t>
  </si>
  <si>
    <t>Załącznik nr 9</t>
  </si>
  <si>
    <t>upowszechnianie kultury i sztuki, w tym wyposażenie muszli koncertowej - 20.000 zł</t>
  </si>
  <si>
    <t>modernizacje obiektu</t>
  </si>
  <si>
    <t>inwestycje, z tego:</t>
  </si>
  <si>
    <t>Dotacje celowe z budżetu na finansowanie lub dofinansowanie kosztów realizacji inwestycji i zakupów inwestycyjnych innych jednostek sektora jednostek sektora finansów publicznych</t>
  </si>
  <si>
    <t>Zakup usług remontowych - remont pomieszczeń</t>
  </si>
  <si>
    <t>dotacja dla Zarządu Nieruchomości Komunalnych, w tym:</t>
  </si>
  <si>
    <t>obwodnica miejska od węzła al. Tysiąclecia - ul. Hutnicza 
do ul. Mełgiewskiej</t>
  </si>
  <si>
    <t>Dotacje celowe z budżetu państwa na zadania 
z zakresu administracji rządowej</t>
  </si>
  <si>
    <t>Dochody gminy, w tym:</t>
  </si>
  <si>
    <t xml:space="preserve">         Nazwa zadania,</t>
  </si>
  <si>
    <t xml:space="preserve">Zespół Szkół Przemysłu Spożywczego </t>
  </si>
  <si>
    <t xml:space="preserve">Zespół Szkół Odzieżowo-Włókienniczych </t>
  </si>
  <si>
    <t>rozdz. 80124 - Licea profilowane specjalne</t>
  </si>
  <si>
    <t>Ośrodek Szkolno - Wychowawczy dla Dzieci 
i Młodzieży Niesłyszącej i Słabosłyszącej (XVI Liceum Profilowane Specjalne dla Uczniów Niesłyszacych i Słabo Słyszących)</t>
  </si>
  <si>
    <t xml:space="preserve">Pogotowie Opiekuńcze </t>
  </si>
  <si>
    <t>Centrum Kształcenia Ustawicznego nr 1</t>
  </si>
  <si>
    <t>rozdz. 85406 Poradnie psychologiczno-pedagogiczne, w tym poradnie specjalistyczne</t>
  </si>
  <si>
    <t xml:space="preserve">dożywianie uczniów, </t>
  </si>
  <si>
    <t>rozdz. 85495 -Pozostała działalność (Stołówki szkolne)</t>
  </si>
  <si>
    <t>dydakt.</t>
  </si>
  <si>
    <t>pracownik.</t>
  </si>
  <si>
    <t>Wynagrodz. 
osobowe</t>
  </si>
  <si>
    <t>pozostał.</t>
  </si>
  <si>
    <t>inwest.</t>
  </si>
  <si>
    <t>jednost.</t>
  </si>
  <si>
    <t>budżet.</t>
  </si>
  <si>
    <t>Wyd. na</t>
  </si>
  <si>
    <t>przedszkola przy szkołach podstawowych</t>
  </si>
  <si>
    <t>akcja "Bezpieczna droga"</t>
  </si>
  <si>
    <t>Zakup materiałów i wypsoażenia</t>
  </si>
  <si>
    <t>rozdz. 80121 Licea ogólnokształcące specjalne</t>
  </si>
  <si>
    <t xml:space="preserve">Zespół Szkół nr 3 </t>
  </si>
  <si>
    <t>rozdz. 80123 - Licea profilowane</t>
  </si>
  <si>
    <t>Zespół Szkół nr 1 (I Liceum Profilowane)</t>
  </si>
  <si>
    <t>Państwowe Szkoły Budownictwa i Geodezji (II Liceum Profilowane)</t>
  </si>
  <si>
    <t>Zespół Szkół Chemicznych (III Liceum Profilowane)</t>
  </si>
  <si>
    <t>Zespół Szkół Energetycznych (IV Liceum Profilowane)</t>
  </si>
  <si>
    <t>Zespół Szkół Ekonomicznych (V Liceum Profilowane)</t>
  </si>
  <si>
    <t>Zespół Szkół nr 5 (VII Liceum Profilowane)</t>
  </si>
  <si>
    <t>Dochody powiatu, w tym:</t>
  </si>
  <si>
    <t>Zespół Szkół Samochodowych nr 2 (IX Liceum Profilowane)</t>
  </si>
  <si>
    <t>Zespół Szkół Rzemiosła i Przedsiębiorczości</t>
  </si>
  <si>
    <t>rozdz. 80124 Licea profilowane specjalne</t>
  </si>
  <si>
    <t>organizacja kursu języka polskiego i kursu adaptacyjnego dla repatriantów</t>
  </si>
  <si>
    <t>Ośrodek Szkolno-Wychowawczy dla Dzieci i Młodzieży Niesłyszacej i Słabo Słyszącej (XVI Liceum Profilowane Specjalne dla Uczniów Niesłyszących i Słabo Słyszących)</t>
  </si>
  <si>
    <t>rozdz. 80130 - Szkoły zawodowe</t>
  </si>
  <si>
    <t>Państwowe Szkoły Budownictwa i Geodezji</t>
  </si>
  <si>
    <t>Zespół Szkół Budowlanych</t>
  </si>
  <si>
    <t>Zespół Szkół Chemicznych</t>
  </si>
  <si>
    <t>Zespół Szkół Ekonomicznych</t>
  </si>
  <si>
    <t>Zespół Szkół Elektronicznych</t>
  </si>
  <si>
    <t>Zespół Szkół Energetycznych</t>
  </si>
  <si>
    <t xml:space="preserve">Zespół Szkół Transportowo-Komunikacyjnych </t>
  </si>
  <si>
    <t>Zespół Szkół Odzieżowo-Włókienniczych</t>
  </si>
  <si>
    <t>Zespół Szkół Mechanicznych</t>
  </si>
  <si>
    <t>Zespół Szkół Przemysłu Spożywczego</t>
  </si>
  <si>
    <t>Zespół Szkół Samochodowych</t>
  </si>
  <si>
    <t>Zespół Szkół Samochodowych nr 2</t>
  </si>
  <si>
    <t>Zespół Szkół Włókienniczych</t>
  </si>
  <si>
    <t>Zespół Szkół  nr 3</t>
  </si>
  <si>
    <t>Zespół Szkół nr 5</t>
  </si>
  <si>
    <t xml:space="preserve">do zarządzenia nr 392/2004      </t>
  </si>
  <si>
    <t>PREZYDENT</t>
  </si>
  <si>
    <t>Miasta Lublin</t>
  </si>
  <si>
    <t>Andrzej Pruszkowski</t>
  </si>
  <si>
    <t>Z up. Skarbnika Miasta Lublin</t>
  </si>
  <si>
    <t>mgr Mirosława Puton</t>
  </si>
  <si>
    <t>Z-ca Dyrektora Wydziału Finansowego</t>
  </si>
  <si>
    <t>do zarządzenia nr 392/2004</t>
  </si>
  <si>
    <t xml:space="preserve">do zarządzenia nr 392/2004     </t>
  </si>
  <si>
    <t xml:space="preserve">do zarządzenia nr 392/2004    </t>
  </si>
  <si>
    <t xml:space="preserve">do zarządzenia nr 392/2004         </t>
  </si>
  <si>
    <t>Zespół Szkół  nr 6</t>
  </si>
  <si>
    <t>Wydatki majątkowe</t>
  </si>
  <si>
    <t>§ 3110</t>
  </si>
  <si>
    <t>§ 4140</t>
  </si>
  <si>
    <t>§ 4280</t>
  </si>
  <si>
    <t xml:space="preserve">Nagrody </t>
  </si>
  <si>
    <t>Świadcz.</t>
  </si>
  <si>
    <t>Wpłaty na</t>
  </si>
  <si>
    <t xml:space="preserve">Zakup </t>
  </si>
  <si>
    <t>Państwowy</t>
  </si>
  <si>
    <t xml:space="preserve">usług </t>
  </si>
  <si>
    <t>nie zalicz.</t>
  </si>
  <si>
    <t>Rehabilitacji</t>
  </si>
  <si>
    <t>do wynagr.</t>
  </si>
  <si>
    <t>Osób Niepłn.</t>
  </si>
  <si>
    <t>Wynagrodzenia osobowe pracowników</t>
  </si>
  <si>
    <t xml:space="preserve">  OGÓŁEM</t>
  </si>
  <si>
    <t>Dział 801 - Oświata  i Wychowanie</t>
  </si>
  <si>
    <t>rozdz. 80101 - Szkoły podstawowe (Wyprawka szkolna)</t>
  </si>
  <si>
    <t>rozdz. 80120 Licea ogólnokształcące</t>
  </si>
  <si>
    <t>Zespół Szkół Samochodowych (VIII Liceum Profilowane)</t>
  </si>
  <si>
    <t>Zespół Szkół nr 6 (XVII Liceum Profilowane dla Dorosłych)</t>
  </si>
  <si>
    <t>Przedszkole nr 53</t>
  </si>
  <si>
    <t>Przedszkole nr 3</t>
  </si>
  <si>
    <t>Przedszkole nr 12</t>
  </si>
  <si>
    <t>Przedszkole nr 13</t>
  </si>
  <si>
    <t>Przedszkole nr 15</t>
  </si>
  <si>
    <t>Przedszkole nr 19</t>
  </si>
  <si>
    <t>Przedszkole nr 22</t>
  </si>
  <si>
    <t>Przedszkole nr 34</t>
  </si>
  <si>
    <t>Przedszkole nr 35</t>
  </si>
  <si>
    <t>Przedszkole nr 39</t>
  </si>
  <si>
    <t>Przedszkole nr 43</t>
  </si>
  <si>
    <t>Przedszkole nr 44</t>
  </si>
  <si>
    <t>Przedszkole nr 49</t>
  </si>
  <si>
    <t>Przedszkole nr 64</t>
  </si>
  <si>
    <t>Przedszkole nr 77</t>
  </si>
  <si>
    <t>Przedszkole nr 83</t>
  </si>
  <si>
    <t>rozdz. 85401 Świetlice szkolne</t>
  </si>
  <si>
    <t>Zakup usług remontowych - remonty szkół</t>
  </si>
  <si>
    <t>Licea ogólnokształcące</t>
  </si>
  <si>
    <t>dotacja celowa z budżetu państwa na utrzymanie Komendy Miejskiej Państwowej Straży Pożarnej</t>
  </si>
  <si>
    <t>Wydatki na zadania zlecone, z tego:</t>
  </si>
  <si>
    <t xml:space="preserve">Wydatki
według uchwały    
Nr 339/XV/2004                              
Rady Miasta Lublin
z 29.01.2004 r.
z późn. zm.
</t>
  </si>
  <si>
    <t xml:space="preserve">Dochody
według uchwały    
Nr 339/XV/2004                              
Rady Miasta Lublin
z 29.01.2004 r.
z późn. zm.
</t>
  </si>
  <si>
    <t>oraz plan dochodów, które podlegają przekazaniu do budżetu państwa</t>
  </si>
  <si>
    <t>związanych z realizacją powyższych zadań na 2004 rok</t>
  </si>
  <si>
    <t>Rozdz. 
§</t>
  </si>
  <si>
    <t xml:space="preserve">      Harmonogram realizacji przychodów i wydatków</t>
  </si>
  <si>
    <t xml:space="preserve">   Gminnego Funduszu Ochrony Środowiska i Gospodarki Wodnej</t>
  </si>
  <si>
    <t>na 2004 rok</t>
  </si>
  <si>
    <t xml:space="preserve">Rozdz.    </t>
  </si>
  <si>
    <t>Treść
(nazwa działu, rozdziału)</t>
  </si>
  <si>
    <t>Plan na 
2004 rok
z późn. zm.</t>
  </si>
  <si>
    <t xml:space="preserve">1.1 Wydział Strategii i Rozwoju </t>
  </si>
  <si>
    <t>Fundusz Ochrony Środowiska i Gospodarki Wodnej</t>
  </si>
  <si>
    <t xml:space="preserve">   Powiatowego Funduszu Ochrony Środowiska i Gospodarki Wodnej</t>
  </si>
  <si>
    <t>Gimnazja specjalne</t>
  </si>
  <si>
    <t>Szkoły podstawowe specjalne</t>
  </si>
  <si>
    <t>Szkoły artystyczne</t>
  </si>
  <si>
    <t>Centra kształcenia ustawicznego i praktycznego oraz ośrodki dokształcania zawodowego</t>
  </si>
  <si>
    <t>gospodarka nieruchomościami</t>
  </si>
  <si>
    <t>Podatek od nieruchomości</t>
  </si>
  <si>
    <t>Kary i odszkodowania wypłacane na rzecz osób fizycznych</t>
  </si>
  <si>
    <t xml:space="preserve">Dotacje celowe z budżetu państwa na zadania 
z zakresu administracji rządowej </t>
  </si>
  <si>
    <t>1.2 Wydział Geodezji i Gospodarki Nieruchomościami</t>
  </si>
  <si>
    <t xml:space="preserve">1.3 Wydział Gospodarki Komunalnej </t>
  </si>
  <si>
    <t xml:space="preserve">1.4 Wydział Organizacyjny </t>
  </si>
  <si>
    <t>1.5 Wydział Oświaty i Wychowania</t>
  </si>
  <si>
    <t>1.6 Wydział Spraw Administracyjnych</t>
  </si>
  <si>
    <t>1.7 Wydział Spraw Społecznych</t>
  </si>
  <si>
    <t xml:space="preserve">1.8 Wydział Strategii i Rozwoju </t>
  </si>
  <si>
    <t>2. Komenda Straży Miejskiej</t>
  </si>
  <si>
    <t>3. Zespół Placówek Opiekuńczo - Wychowawczych "Pogodny Dom"</t>
  </si>
  <si>
    <t>4. Dom Pomocy Społecznej im. Matki Teresy z Kalkuty</t>
  </si>
  <si>
    <t>5. Miejski Ośrodek Pomocy Rodzinie</t>
  </si>
  <si>
    <t xml:space="preserve">6. Komenda Miejska Państwowej Straży Pożarnej </t>
  </si>
  <si>
    <t xml:space="preserve">7. Szkoły i placówki oświatowe </t>
  </si>
  <si>
    <t>Pomoc repatriantom</t>
  </si>
  <si>
    <t>inwestycje</t>
  </si>
  <si>
    <t>Lubelskie Centrum Edukacji Zawodowej</t>
  </si>
  <si>
    <t>Specjalny Ośrodek Szkolno-Wychowawczy nr 1</t>
  </si>
  <si>
    <t>Ochrona zdrowia</t>
  </si>
  <si>
    <t>realizacja projektu "Podajmy sobie ręce"</t>
  </si>
  <si>
    <t>Plan według uchwały    
Nr 339/XV/2004                            
Rady Miasta Lublin
z 29.01.2004 r.    
z późn. zm.</t>
  </si>
  <si>
    <t>Zespół Szkół  nr 4</t>
  </si>
  <si>
    <t xml:space="preserve">Szkoła Muzyczna I i II stopnia </t>
  </si>
  <si>
    <t xml:space="preserve">Zespół Szkół Ogólnokształcących nr 1 </t>
  </si>
  <si>
    <t>Zespół Szkół Ogólnokształcących nr 2</t>
  </si>
  <si>
    <t>Zespół Szkół Ogólnokształcących nr 4</t>
  </si>
  <si>
    <t>Zespół Szkół Ogólnokształcących nr 5</t>
  </si>
  <si>
    <t>Zespół Szkół Ogólnokształcących nr 6</t>
  </si>
  <si>
    <t>Ośrodki wsparcia</t>
  </si>
  <si>
    <t>modernizacja obiektu</t>
  </si>
  <si>
    <t>Zespół Szkół  Włókienniczych</t>
  </si>
  <si>
    <t>Zespół Szkół  Samochodowych</t>
  </si>
  <si>
    <t>Zespół Szkół  Samochodowych nr 2</t>
  </si>
  <si>
    <t>Zespół Szkół  Mechanicznych</t>
  </si>
  <si>
    <t>Zespół Szkół  Budowlanych</t>
  </si>
  <si>
    <t>Zespół Szkół  Ekonomicznych</t>
  </si>
  <si>
    <t>Zespół Szkół  Chemicznych</t>
  </si>
  <si>
    <t>Zespół Szkół  Elektronicznych</t>
  </si>
  <si>
    <t>Zespół Szkół  Energetycznych</t>
  </si>
  <si>
    <t>Zespół Szkół  Przemysłu Spożywczego</t>
  </si>
  <si>
    <t>Zespół Szkół  Transportowo-Komunikacyjnych</t>
  </si>
  <si>
    <t>Zespół Szkół  nr 1</t>
  </si>
  <si>
    <t>Zespół Szkół  nr 5</t>
  </si>
  <si>
    <t>Domy pomocy społecznej</t>
  </si>
  <si>
    <t xml:space="preserve">wynagrodzenia osobowe </t>
  </si>
  <si>
    <t>Zakup środków żywności</t>
  </si>
  <si>
    <t>Dział 854 - Edukacyjna opieka wychowawcza</t>
  </si>
  <si>
    <t>Zespół Szkół nr 4</t>
  </si>
  <si>
    <t>rozdz. 85403 - Specjalne ośrodki szkolno-wychowawcze</t>
  </si>
  <si>
    <t>Specjalny Ośrodek Wychowawczy</t>
  </si>
  <si>
    <t>Zespół Poradni nr 1</t>
  </si>
  <si>
    <t>Zespół Poradni nr 2</t>
  </si>
  <si>
    <t>Zespół Poradni nr 3</t>
  </si>
  <si>
    <t>Poradnia Psychologiczno-Pedagogiczna nr 1</t>
  </si>
  <si>
    <t>Poradnia Psychologiczno-Pedagogiczna nr 2</t>
  </si>
  <si>
    <t>Poradnia Psychologiczno-Pedagogiczna nr 3</t>
  </si>
  <si>
    <t>rozdz. 85407- Placówki wychowania pozaszkolnego</t>
  </si>
  <si>
    <t>Młodzieżowy Dom Kultury</t>
  </si>
  <si>
    <t>Młodzieżowy Dom Kultury nr 2</t>
  </si>
  <si>
    <t>Różne opłaty i składki</t>
  </si>
  <si>
    <t>Wydatki na zakupy inwestycyjne jednostek budżetowych</t>
  </si>
  <si>
    <t>Podróże służbowe krajowe</t>
  </si>
  <si>
    <t>zakładowy fundusz świadczeń socjalnych dla nauczycieli emerytów i rencistów</t>
  </si>
  <si>
    <t xml:space="preserve">Zakup materiałów i wyposażenia </t>
  </si>
  <si>
    <t>utrzymanie stołówek szkolnych, w tym:</t>
  </si>
  <si>
    <t>przedszkola, w tym:</t>
  </si>
  <si>
    <t>Działalność usługowa</t>
  </si>
  <si>
    <t>Plany zagospodarowania przestrzennego</t>
  </si>
  <si>
    <t>Przedszkole nr 2</t>
  </si>
  <si>
    <t>Przedszkole nr 4</t>
  </si>
  <si>
    <t>Przedszkole nr 5</t>
  </si>
  <si>
    <t>Przedszkole nr 6</t>
  </si>
  <si>
    <t>Przedszkole nr 7</t>
  </si>
  <si>
    <t>Przedszkole nr 9</t>
  </si>
  <si>
    <t>Przedszkole nr 10</t>
  </si>
  <si>
    <t>Przedszkole nr 14</t>
  </si>
  <si>
    <t>Przedszkole nr 16</t>
  </si>
  <si>
    <t>Przedszkole nr 18</t>
  </si>
  <si>
    <t>Przedszkole nr 25</t>
  </si>
  <si>
    <t>§ 3020</t>
  </si>
  <si>
    <t>i wydatki</t>
  </si>
  <si>
    <t>§ 4270</t>
  </si>
  <si>
    <t>Przedszkole nr 26</t>
  </si>
  <si>
    <t>Przedszkole nr 28</t>
  </si>
  <si>
    <t>Przedszkole nr 32</t>
  </si>
  <si>
    <t>Przedszkole nr 33</t>
  </si>
  <si>
    <t>Przedszkole nr 36</t>
  </si>
  <si>
    <t>Przedszkole nr 37</t>
  </si>
  <si>
    <t>Przedszkole nr 40</t>
  </si>
  <si>
    <t>Przedszkole nr 42</t>
  </si>
  <si>
    <t>Przedszkole nr 45</t>
  </si>
  <si>
    <t>Specjalne ośrodki szkolno-wychowawcze</t>
  </si>
  <si>
    <t>Poradnie psychologiczno - pedagogiczne, w tym poradnie specjalistyczne</t>
  </si>
  <si>
    <t>1.2  Wydział Gospodarki Komunalnej</t>
  </si>
  <si>
    <t>1.3  Wydział Organizacyjny</t>
  </si>
  <si>
    <t>1.4  Wydział Oświaty i Wychowania</t>
  </si>
  <si>
    <t>Wynagrodz.</t>
  </si>
  <si>
    <t>wyposaż.</t>
  </si>
  <si>
    <t>Przedszkole nr 46</t>
  </si>
  <si>
    <t>Przedszkole nr 47</t>
  </si>
  <si>
    <t>Przedszkole nr 50</t>
  </si>
  <si>
    <t>Przedszkole nr 52</t>
  </si>
  <si>
    <t>Przedszkole nr 48</t>
  </si>
  <si>
    <t>Przedszkole nr 54</t>
  </si>
  <si>
    <t>Przedszkole nr 56</t>
  </si>
  <si>
    <t>Przedszkole nr 57</t>
  </si>
  <si>
    <t>Przedszkole nr 58</t>
  </si>
  <si>
    <t>Przedszkole nr 59</t>
  </si>
  <si>
    <t>Przedszkole nr 63</t>
  </si>
  <si>
    <t>Przedszkole nr 65</t>
  </si>
  <si>
    <t>Przedszkole nr 66</t>
  </si>
  <si>
    <t>Przedszkole nr 67</t>
  </si>
  <si>
    <t>Przedszkole nr 70</t>
  </si>
  <si>
    <t>Przedszkole nr 72</t>
  </si>
  <si>
    <t>Przedszkole nr 73</t>
  </si>
  <si>
    <t>Przedszkole nr 74</t>
  </si>
  <si>
    <t>Przedszkole nr 75</t>
  </si>
  <si>
    <t>Przedszkole nr 76</t>
  </si>
  <si>
    <t>Przedszkole nr 78</t>
  </si>
  <si>
    <t>Przedszkole nr 79</t>
  </si>
  <si>
    <t>Przedszkole nr 81</t>
  </si>
  <si>
    <t>Przedszkole nr 31</t>
  </si>
  <si>
    <t>rozdz. 85410 -  Internaty i bursy szkolne</t>
  </si>
  <si>
    <t>Bursa Szkolna nr 1</t>
  </si>
  <si>
    <t>Bursa Szkolna nr 2</t>
  </si>
  <si>
    <t>Bursa Szkolna nr 3</t>
  </si>
  <si>
    <t>Bursa Szkolna nr 5</t>
  </si>
  <si>
    <t>Zespół Szkół Transportowo-Komunikacyjnych</t>
  </si>
  <si>
    <t>Zespół Szkół nr 3</t>
  </si>
  <si>
    <t>Prywatna Żeńska Bursa Sióstr Urszulanek UR</t>
  </si>
  <si>
    <t>Bursa Sercanek</t>
  </si>
  <si>
    <t>Internat przy XXI Liceum Ogólnokształcącym                         im. św. St. Kostki</t>
  </si>
  <si>
    <t>rozdz. 85415 - Pomoc materialna dla uczniów</t>
  </si>
  <si>
    <t>Zespół Szkół Ogólnokształcących nr 1</t>
  </si>
  <si>
    <t>Specjalny Ośrodek Szkolno -Wychowawczy nr 1</t>
  </si>
  <si>
    <t>Ośrodek Szkolno-Wychowawczy dla Dzieci i Młodzieży Niesłszącej  i Słabo Słyszącej</t>
  </si>
  <si>
    <t>Ośrodek Szkolno-Wychowawczy dla Dzieci i Młodzieży Słabo Widzącej</t>
  </si>
  <si>
    <t>rozdz. 85417 - Szkolne schroniska młodzieżowe</t>
  </si>
  <si>
    <t>Szkolne Schronisko Młodzieżowe</t>
  </si>
  <si>
    <t>rozdz. 85421 - Młodzieżowe ośrodki socjoterapii</t>
  </si>
  <si>
    <t>Młodzieżowy Ośrodek Socjoterapii</t>
  </si>
  <si>
    <t>rozdz. 85446-Dokształcanie i doskonalenie nauczycieli</t>
  </si>
  <si>
    <t xml:space="preserve">Młodzieżowy Dom Kultury </t>
  </si>
  <si>
    <t>Ośrodek Szkolno - Wychowawczy dla Dzieci i Młodzieży Słabowidzącej</t>
  </si>
  <si>
    <t xml:space="preserve">Zespół Szkół Ogólnokształcących nr 6 </t>
  </si>
  <si>
    <t xml:space="preserve">Zespół Szkół Budowlanych </t>
  </si>
  <si>
    <t>rozdz. 85497 - Gospodarstwa pomocnicze</t>
  </si>
  <si>
    <t>926 - Kultura fizyczna i sport</t>
  </si>
  <si>
    <t>rozdz. 92605 - Zadania w zakresie kultury fizycznej i sportu</t>
  </si>
  <si>
    <t xml:space="preserve">Zespół Szkół nr 1 </t>
  </si>
  <si>
    <t>Zespół Szkół nr 6</t>
  </si>
  <si>
    <t xml:space="preserve">Zespół Szkół Chemicznych </t>
  </si>
  <si>
    <t xml:space="preserve">Zespół Szkół Ekonomicznych </t>
  </si>
  <si>
    <t>Zespół Szkół Przemysłu-Spożywczego</t>
  </si>
  <si>
    <t>Dział 851 - Ochrona zdrowia</t>
  </si>
  <si>
    <t>rozdz. 85149 - Programy polityki zdrowotnej</t>
  </si>
  <si>
    <t>programy zdrowotne</t>
  </si>
  <si>
    <t>rozdz. 85153 - Zwalczanie narkomanii</t>
  </si>
  <si>
    <t>zadania realizowane w ramach Gminnego Programu Przeciwdziałania Narkomanii, z tego:</t>
  </si>
  <si>
    <t>Koordynacja działań w zakresie zapobiegania narkomanii</t>
  </si>
  <si>
    <t>Skoła Podstawowa nr 42</t>
  </si>
  <si>
    <t>Działania w zakresie profilaktyki</t>
  </si>
  <si>
    <t>Wspomaganie działalności instytucji, stowarzyszeń i osób fizycznych, służącej rozwiązywaniu problemów z zakresu narkomanii</t>
  </si>
  <si>
    <t>rozdz. 85154 - Przeciwdziałanie alkoholizmowi</t>
  </si>
  <si>
    <t>zadania realizowane w ramach Gminnego Programu Profilaktyki i Rozwiązywania Problemów Alkoholowych, z tego:</t>
  </si>
  <si>
    <t>Udzielanie rodzinom, w których występują problemy alkoholowe pomocy psychospołecznej i prawnej, a w szczególności ochrony przed przemocą w rodzinie</t>
  </si>
  <si>
    <t>Prowadzenie profilaktycznej działalności informacyjno-edukacyjnej, w szczególności dla dzieci i młodzieży</t>
  </si>
  <si>
    <t xml:space="preserve">Gimnazjum nr 1 </t>
  </si>
  <si>
    <t>Działania zmierzające do ograniczenia dostępności alkoholu</t>
  </si>
  <si>
    <t>Wspomaganie działalności instytucji, stowarzyszeń i osób fizycznych, służącej rozwiązywaniu problemów alkoholowych</t>
  </si>
  <si>
    <t>Zespół Szkół Transportowo - Komunikacyjnych</t>
  </si>
  <si>
    <t>rozdz. 85156 - Składki na ubezpieczenia zdrowotne oraz świadczenia dla osób nie objętych obowiązkiem ubezpieczenia</t>
  </si>
  <si>
    <t>rozdz. 85195 - Pozostała działalność</t>
  </si>
  <si>
    <t>realizacja zadań wynikających z uchwalonej przez Radę Miasta strategii na rzecz osób niepełnosprawnych, z tego:</t>
  </si>
  <si>
    <t>Rehabilitacja osób niepełnosprawnych zwiększająca ich samodzielność fizyczną i psychiczną</t>
  </si>
  <si>
    <t>Ośrodek Szkolno-Wychowawczy dla Dzieci i Młodzieży Słabowidzącej</t>
  </si>
  <si>
    <t>Prowadzenie innowacyjnych zajęć edukacyjnych dla dzieci i młodzieży niepełnosprawnej</t>
  </si>
  <si>
    <t>Integracja osób niepełnosprawnych ze społecznością Lublina</t>
  </si>
  <si>
    <t>Drogi publiczne w miastach na prawach powiatu</t>
  </si>
  <si>
    <t>Wydatki inwestycyjne jednostek budżetowych</t>
  </si>
  <si>
    <t>inwestycje, w tym:</t>
  </si>
  <si>
    <t>Drogi publiczne gminne</t>
  </si>
  <si>
    <t>obwodnica miejska od węzła al. Tysiąclecia - 
ul. Hutnicza do ul. Mełgiewskiej</t>
  </si>
  <si>
    <t xml:space="preserve">Gospodarka komunalna i ochrona środowiska </t>
  </si>
  <si>
    <t>Gospodarka ściekowa i ochrona wód</t>
  </si>
  <si>
    <t>Gospodarka odpadami</t>
  </si>
  <si>
    <t>budowa zakładu utylizacji odpadów komunalnych dla Lublina i gmin ościennych</t>
  </si>
  <si>
    <t>Gospodarka komunalna i ochrona środowiska</t>
  </si>
  <si>
    <t>Gimnazja</t>
  </si>
  <si>
    <t>pozostałe działania wynikające ze strategii działań na rzecz osób niepełnosprawnych</t>
  </si>
  <si>
    <r>
      <t xml:space="preserve">Specjalny Ośrodek Szkolno-Wychowawczy nr 1 </t>
    </r>
    <r>
      <rPr>
        <i/>
        <sz val="10"/>
        <rFont val="Arial CE"/>
        <family val="2"/>
      </rPr>
      <t>Warsztaty Szkolne</t>
    </r>
  </si>
  <si>
    <t>Plan finansowy zadań z zakresu administracji rządowej i innych zadań zleconych ustawami</t>
  </si>
  <si>
    <t>Plan wydatków 
po zmianach</t>
  </si>
  <si>
    <t xml:space="preserve">Rozdz. </t>
  </si>
  <si>
    <t>(Nazwa działu, rozdziału, zadania, paragrafu)</t>
  </si>
  <si>
    <t>Zmiany</t>
  </si>
  <si>
    <t>Zadania zlecone ogółem</t>
  </si>
  <si>
    <t>Zadania ustawowo zlecone gminie</t>
  </si>
  <si>
    <t>Treść                                                                                                                   (Nazwa działu, rozdziału)</t>
  </si>
  <si>
    <t>I kwartał</t>
  </si>
  <si>
    <t>II kwartał</t>
  </si>
  <si>
    <t>III kwartał</t>
  </si>
  <si>
    <t>IV kwartał</t>
  </si>
  <si>
    <t>Dochody ogółem</t>
  </si>
  <si>
    <t>Treść</t>
  </si>
  <si>
    <t>(Nazwa działu, rozdziału)</t>
  </si>
  <si>
    <t>Plan</t>
  </si>
  <si>
    <t xml:space="preserve">Rozdz.                          </t>
  </si>
  <si>
    <t>Nazwa: działu, rozdziału, zadania inwestycyjnego</t>
  </si>
  <si>
    <t>ze środków własnych budżetu miasta</t>
  </si>
  <si>
    <t>z kredytów, pożyczek                                     i innych środków</t>
  </si>
  <si>
    <t>z budżetu państwa</t>
  </si>
  <si>
    <t>inwestycji po zmianach</t>
  </si>
  <si>
    <t>Ogółem wydatki majątkowe</t>
  </si>
  <si>
    <t>Wydatki na zadania zlecone</t>
  </si>
  <si>
    <t>Harmonogram realizacji wydatków budżetu miasta w 2004 roku</t>
  </si>
  <si>
    <t>Prezydenta Miasta Lublin</t>
  </si>
  <si>
    <t>Wydatki</t>
  </si>
  <si>
    <t>w złotych</t>
  </si>
  <si>
    <t>Dz.</t>
  </si>
  <si>
    <t>Rozdz.</t>
  </si>
  <si>
    <t>§</t>
  </si>
  <si>
    <t>Wydatki                                                                                                                               (Nazwa działu, rozdziału, zadania, paragrafu)</t>
  </si>
  <si>
    <t>Zmniejszenie</t>
  </si>
  <si>
    <t>Plan po zmianach</t>
  </si>
  <si>
    <t>Wydatki ogółem</t>
  </si>
  <si>
    <t>z tego:</t>
  </si>
  <si>
    <t>Wydatki na zadania własne</t>
  </si>
  <si>
    <t>Zakup usług pozostałych</t>
  </si>
  <si>
    <t>Zakup materiałów i wyposażenia</t>
  </si>
  <si>
    <t>Administracja publiczna</t>
  </si>
  <si>
    <t>wydatki rzeczowe</t>
  </si>
  <si>
    <t>Zakup energii</t>
  </si>
  <si>
    <t>Składki na ubezpieczenia społeczne</t>
  </si>
  <si>
    <t>Pomoc materialna dla uczniów</t>
  </si>
  <si>
    <t>dożywianie uczniów</t>
  </si>
  <si>
    <t>Stypendia oraz inne formy pomocy dla uczniów</t>
  </si>
  <si>
    <t>Dotacje</t>
  </si>
  <si>
    <t>§ 2540</t>
  </si>
  <si>
    <t>§ 2590</t>
  </si>
  <si>
    <t>§ 2660</t>
  </si>
  <si>
    <t>Dotacja podm.</t>
  </si>
  <si>
    <t xml:space="preserve">Dotacja </t>
  </si>
  <si>
    <t>z budż. dla np</t>
  </si>
  <si>
    <t>z budż. dla pub..</t>
  </si>
  <si>
    <t>przedmiotowa</t>
  </si>
  <si>
    <t>szkoły lub innej</t>
  </si>
  <si>
    <t>szkół i innych</t>
  </si>
  <si>
    <t xml:space="preserve">z budż. otrzym. </t>
  </si>
  <si>
    <t>niepub. plac.</t>
  </si>
  <si>
    <t>placówek</t>
  </si>
  <si>
    <t xml:space="preserve">przez </t>
  </si>
  <si>
    <t>ośw.-wych.</t>
  </si>
  <si>
    <t xml:space="preserve"> gosp. pomoc.</t>
  </si>
  <si>
    <t>PO</t>
  </si>
  <si>
    <t>BD80101</t>
  </si>
  <si>
    <t>b2</t>
  </si>
  <si>
    <t>b3</t>
  </si>
  <si>
    <t>b4</t>
  </si>
  <si>
    <t>b6</t>
  </si>
  <si>
    <t>b7</t>
  </si>
  <si>
    <t>b9</t>
  </si>
  <si>
    <t>b11</t>
  </si>
  <si>
    <t>b14</t>
  </si>
  <si>
    <t>b22</t>
  </si>
  <si>
    <t>b23</t>
  </si>
  <si>
    <t>b24</t>
  </si>
  <si>
    <t>b28</t>
  </si>
  <si>
    <t>b31</t>
  </si>
  <si>
    <t>b32</t>
  </si>
  <si>
    <t>b33</t>
  </si>
  <si>
    <t>b34</t>
  </si>
  <si>
    <t>b40</t>
  </si>
  <si>
    <t>b43</t>
  </si>
  <si>
    <t>b44</t>
  </si>
  <si>
    <t>b45</t>
  </si>
  <si>
    <t>b50</t>
  </si>
  <si>
    <t>bzs4</t>
  </si>
  <si>
    <t>80101W</t>
  </si>
  <si>
    <t>w2</t>
  </si>
  <si>
    <t>w3</t>
  </si>
  <si>
    <t>w4</t>
  </si>
  <si>
    <t>w6</t>
  </si>
  <si>
    <t>w7</t>
  </si>
  <si>
    <t>w10</t>
  </si>
  <si>
    <t>w14</t>
  </si>
  <si>
    <t>w20</t>
  </si>
  <si>
    <t>w21</t>
  </si>
  <si>
    <t>w23</t>
  </si>
  <si>
    <t>w24</t>
  </si>
  <si>
    <t>w25</t>
  </si>
  <si>
    <t>w27</t>
  </si>
  <si>
    <t>w28</t>
  </si>
  <si>
    <t>w29</t>
  </si>
  <si>
    <t>w30</t>
  </si>
  <si>
    <t>w31</t>
  </si>
  <si>
    <t>w32</t>
  </si>
  <si>
    <t>w34</t>
  </si>
  <si>
    <t>w38</t>
  </si>
  <si>
    <t>w39</t>
  </si>
  <si>
    <t>w40</t>
  </si>
  <si>
    <t>w42</t>
  </si>
  <si>
    <t>w43</t>
  </si>
  <si>
    <t>w46</t>
  </si>
  <si>
    <t>w47</t>
  </si>
  <si>
    <t>w48</t>
  </si>
  <si>
    <t>w50</t>
  </si>
  <si>
    <t>w51</t>
  </si>
  <si>
    <t>w52</t>
  </si>
  <si>
    <t>w45</t>
  </si>
  <si>
    <t>w11</t>
  </si>
  <si>
    <t>w44</t>
  </si>
  <si>
    <t>w22</t>
  </si>
  <si>
    <t>w17</t>
  </si>
  <si>
    <t>w49</t>
  </si>
  <si>
    <t>wpo</t>
  </si>
  <si>
    <t>won</t>
  </si>
  <si>
    <t>02</t>
  </si>
  <si>
    <t>04</t>
  </si>
  <si>
    <t>07</t>
  </si>
  <si>
    <t>010</t>
  </si>
  <si>
    <t>014</t>
  </si>
  <si>
    <t>017</t>
  </si>
  <si>
    <t>020</t>
  </si>
  <si>
    <t>023</t>
  </si>
  <si>
    <t>025</t>
  </si>
  <si>
    <t>040</t>
  </si>
  <si>
    <t>047</t>
  </si>
  <si>
    <t>048</t>
  </si>
  <si>
    <t>050</t>
  </si>
  <si>
    <t>051</t>
  </si>
  <si>
    <t>052</t>
  </si>
  <si>
    <t>pn</t>
  </si>
  <si>
    <t>PS11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</si>
  <si>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</si>
  <si>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</si>
  <si>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</si>
  <si>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</si>
  <si>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</si>
  <si>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</si>
  <si>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</si>
  <si>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</si>
  <si>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</si>
  <si>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</si>
  <si>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</si>
  <si>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</si>
  <si>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</si>
  <si>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</si>
  <si>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</si>
  <si>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</si>
  <si>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</si>
  <si>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</si>
  <si>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</si>
  <si>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</si>
  <si>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</si>
  <si>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</si>
  <si>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</si>
  <si>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D3</t>
  </si>
  <si>
    <t>D4</t>
  </si>
  <si>
    <t>D7</t>
  </si>
  <si>
    <t>D14</t>
  </si>
  <si>
    <t>D21</t>
  </si>
  <si>
    <t>D27</t>
  </si>
  <si>
    <t>D28</t>
  </si>
  <si>
    <t>D31</t>
  </si>
  <si>
    <t>D32</t>
  </si>
  <si>
    <t>D33</t>
  </si>
  <si>
    <t>D36</t>
  </si>
  <si>
    <t>D39</t>
  </si>
  <si>
    <t>D52</t>
  </si>
  <si>
    <t>DG1</t>
  </si>
  <si>
    <t>DG2</t>
  </si>
  <si>
    <t>DG3</t>
  </si>
  <si>
    <t>DG6</t>
  </si>
  <si>
    <t>DG7</t>
  </si>
  <si>
    <t>DG9</t>
  </si>
  <si>
    <t>DG10</t>
  </si>
  <si>
    <t>DG13</t>
  </si>
  <si>
    <t>DG14</t>
  </si>
  <si>
    <t>DG15</t>
  </si>
  <si>
    <t>DG17</t>
  </si>
  <si>
    <t>DG18</t>
  </si>
  <si>
    <t>DG19</t>
  </si>
  <si>
    <t>DO2</t>
  </si>
  <si>
    <t>ILO</t>
  </si>
  <si>
    <t>IILO</t>
  </si>
  <si>
    <t>IIILO</t>
  </si>
  <si>
    <t>IVLO</t>
  </si>
  <si>
    <t>VLO</t>
  </si>
  <si>
    <t>VILO</t>
  </si>
  <si>
    <t>VIILO</t>
  </si>
  <si>
    <t>VIIILO</t>
  </si>
  <si>
    <t>IXLO</t>
  </si>
  <si>
    <t>XLO</t>
  </si>
  <si>
    <t>XILO</t>
  </si>
  <si>
    <t>XIILO</t>
  </si>
  <si>
    <t>XIVLO</t>
  </si>
  <si>
    <t>XVLO</t>
  </si>
  <si>
    <t>XVILO</t>
  </si>
  <si>
    <t>XVIIILO</t>
  </si>
  <si>
    <t>z dnia 30 września 2004 roku</t>
  </si>
  <si>
    <t>Załącznik nr 10</t>
  </si>
  <si>
    <t>Załącznik nr 6</t>
  </si>
  <si>
    <t>Załącznik nr 8</t>
  </si>
  <si>
    <t xml:space="preserve">z dnia 30 września 2004 roku </t>
  </si>
  <si>
    <t>XIXLO</t>
  </si>
  <si>
    <t>XXLO</t>
  </si>
  <si>
    <t>XXIIlo</t>
  </si>
  <si>
    <t>XXIIILO</t>
  </si>
  <si>
    <t>XXIVLO</t>
  </si>
  <si>
    <t>LSZS3</t>
  </si>
  <si>
    <t>LSN</t>
  </si>
  <si>
    <t>1LP</t>
  </si>
  <si>
    <t>2LP</t>
  </si>
  <si>
    <t>3LP</t>
  </si>
  <si>
    <t>4LP</t>
  </si>
  <si>
    <t>5LP</t>
  </si>
  <si>
    <t>6LP</t>
  </si>
  <si>
    <t>7LP</t>
  </si>
  <si>
    <t>8LP</t>
  </si>
  <si>
    <t>9LP</t>
  </si>
  <si>
    <t>10LP</t>
  </si>
  <si>
    <t>12LP</t>
  </si>
  <si>
    <t>13LP</t>
  </si>
  <si>
    <t>14LP</t>
  </si>
  <si>
    <t>17LP</t>
  </si>
  <si>
    <t>19LP</t>
  </si>
  <si>
    <t>20LP</t>
  </si>
  <si>
    <t>16LP</t>
  </si>
  <si>
    <t>PSB</t>
  </si>
  <si>
    <t>ZSB</t>
  </si>
  <si>
    <t>ZSC</t>
  </si>
  <si>
    <t>ZSEk</t>
  </si>
  <si>
    <t>ZSEl</t>
  </si>
  <si>
    <t>ZSEn</t>
  </si>
  <si>
    <t>ZStK</t>
  </si>
  <si>
    <t>ZSOW</t>
  </si>
  <si>
    <t>ZSM</t>
  </si>
  <si>
    <t>ZSPS</t>
  </si>
  <si>
    <t>ZSS</t>
  </si>
  <si>
    <t>ZSS2</t>
  </si>
  <si>
    <t>Pomoc dla repatriantów</t>
  </si>
  <si>
    <t>dotacja celowa z budżetu państwa na pomoc repatriantom</t>
  </si>
  <si>
    <t>Dotacje celowe otrzymane z budżetu państwa na zadania bieżące 
z zakresu administracji rządowej oraz inne zadania zlecone ustawami realizowane przez powiat</t>
  </si>
  <si>
    <t>wydatki związane z pomocą dla repatriantów</t>
  </si>
  <si>
    <t>e2</t>
  </si>
  <si>
    <t>e3</t>
  </si>
  <si>
    <t>e4</t>
  </si>
  <si>
    <t>e6</t>
  </si>
  <si>
    <t>e7</t>
  </si>
  <si>
    <t>e10</t>
  </si>
  <si>
    <t>e14</t>
  </si>
  <si>
    <t>e20</t>
  </si>
  <si>
    <t>e21</t>
  </si>
  <si>
    <t>e23</t>
  </si>
  <si>
    <t>e24</t>
  </si>
  <si>
    <t>e25</t>
  </si>
  <si>
    <t>e27</t>
  </si>
  <si>
    <t>e28</t>
  </si>
  <si>
    <t>e29</t>
  </si>
  <si>
    <t>e30</t>
  </si>
  <si>
    <t>e31</t>
  </si>
  <si>
    <t>e32</t>
  </si>
  <si>
    <t>e34</t>
  </si>
  <si>
    <t>e38</t>
  </si>
  <si>
    <t>e39</t>
  </si>
  <si>
    <t>e40</t>
  </si>
  <si>
    <t>e42</t>
  </si>
  <si>
    <t>e43</t>
  </si>
  <si>
    <t>e46</t>
  </si>
  <si>
    <t>e47</t>
  </si>
  <si>
    <t>e48</t>
  </si>
  <si>
    <t>e50</t>
  </si>
  <si>
    <t>Dotacje celowe otrzymane z budżetu państwa na zadania bieżące
z zakresu administracji rządowej oraz inne zadania zlecone ustawami realizowane przez powiat</t>
  </si>
  <si>
    <t>Lokalny transport zbiorowy</t>
  </si>
  <si>
    <t>transport zbiorowy w mieście</t>
  </si>
  <si>
    <t>badania rynku komunikacji miejskiej</t>
  </si>
  <si>
    <t>Gospodarka mieszkaniowa</t>
  </si>
  <si>
    <t>Zakłady gospodarki mieszkaniowej</t>
  </si>
  <si>
    <t>remonty budynków komunalnych</t>
  </si>
  <si>
    <t>remonty budynków Wspólnot Mieszkaniowych</t>
  </si>
  <si>
    <t>Dotacja przedmiotowa z budżetu dla zakładu budżetowego</t>
  </si>
  <si>
    <t>Gospodarka gruntami i nieruchomościami</t>
  </si>
  <si>
    <t>Dotacje celowe z budżetu państwa na zadania z zakresu administracji rządowej</t>
  </si>
  <si>
    <t>wydatki związane z utrzymaniem zasobów komunalnych, sprzedażą mienia komunalnego oraz szacunki nieruchomości</t>
  </si>
  <si>
    <t>Przeciwdziałanie alkoholizmowi</t>
  </si>
  <si>
    <t xml:space="preserve">zadania realizowane w ramach programu profilaktyki i rozwiązywania problemów alkoholowych </t>
  </si>
  <si>
    <t xml:space="preserve">zadania realizowane w ramach programu profilaktyki 
i rozwiązywania problemów alkoholowych </t>
  </si>
  <si>
    <t>udzielanie rodzinom, w których występują problemy alkoholowe pomocy psychospołecznej i prawnej, 
a w szczególności ochrony przed przemocą w rodzinie</t>
  </si>
  <si>
    <t>prowadzenie profilaktycznej działalności informacyjnej 
i edukacyjnej, w szczególności dla dzieci i młodzieży</t>
  </si>
  <si>
    <t>pokrycie kosztów obsługi realizowanych zadań</t>
  </si>
  <si>
    <t>Przeciwdziałanie alkocholizmowi</t>
  </si>
  <si>
    <t>prowadzenie profilaktycznej działalności informacyjnej i edukacyjnej, 
w szczególności dla dzieci i młodzieży</t>
  </si>
  <si>
    <t>1.5  Wydział Spraw Administracyjnych</t>
  </si>
  <si>
    <t>zwiększanie dostępności pomocy terapeutycznej i rehabilitacyjnej dla osób uzależnionych od alkoholu</t>
  </si>
  <si>
    <t>środki w dyspozycji wydziału</t>
  </si>
  <si>
    <t>Charytatywne Stowarzyszenie Niesienia Pomocy Chorym Uzależnionym od Alkoholu "Nadzieja", ul. Abramowicka 2F, 20-442 Lublin</t>
  </si>
  <si>
    <t>Dotacja celowa z budżetu na finansowanie lub dofinansowanie zadań zleconych do realizacji stowarzyszeniom</t>
  </si>
  <si>
    <t>Kultura i ochrona dziedzictwa narodowego</t>
  </si>
  <si>
    <t>Centra kultury i sztuki</t>
  </si>
  <si>
    <t>Ochrona i konserwacja zabytków</t>
  </si>
  <si>
    <t>Kultura fizyczna i sport</t>
  </si>
  <si>
    <t>Obiekty sportowe</t>
  </si>
  <si>
    <t>Instytucje kultury fizycznej</t>
  </si>
  <si>
    <t>eg1</t>
  </si>
  <si>
    <t xml:space="preserve">           </t>
  </si>
  <si>
    <t xml:space="preserve">            paragrafu</t>
  </si>
  <si>
    <t>eg5</t>
  </si>
  <si>
    <t>eg7</t>
  </si>
  <si>
    <t>eg9</t>
  </si>
  <si>
    <t>eg10</t>
  </si>
  <si>
    <t>eg12</t>
  </si>
  <si>
    <t>eg13</t>
  </si>
  <si>
    <t>eg17</t>
  </si>
  <si>
    <t>eg19</t>
  </si>
  <si>
    <t>eI</t>
  </si>
  <si>
    <t>eII</t>
  </si>
  <si>
    <t>eIII</t>
  </si>
  <si>
    <t>eIV</t>
  </si>
  <si>
    <t>eV</t>
  </si>
  <si>
    <t>eVI</t>
  </si>
  <si>
    <t>evii</t>
  </si>
  <si>
    <t>eVIII</t>
  </si>
  <si>
    <t>eIX</t>
  </si>
  <si>
    <t>ezso1</t>
  </si>
  <si>
    <t>ezso2</t>
  </si>
  <si>
    <t>ezso4</t>
  </si>
  <si>
    <t>ezso5</t>
  </si>
  <si>
    <t>ezso6</t>
  </si>
  <si>
    <t>Ezsow</t>
  </si>
  <si>
    <t>ezsw</t>
  </si>
  <si>
    <t>ezss</t>
  </si>
  <si>
    <t>ezss2</t>
  </si>
  <si>
    <t>ezsm</t>
  </si>
  <si>
    <t>ezsb</t>
  </si>
  <si>
    <t>epsbg</t>
  </si>
  <si>
    <t>ezsek</t>
  </si>
  <si>
    <t>ezsc</t>
  </si>
  <si>
    <t>ezsel</t>
  </si>
  <si>
    <t>Szkolne schroniska młodzieżowe</t>
  </si>
  <si>
    <t>Straż Miejska</t>
  </si>
  <si>
    <t>obwodnica miejska od węzła al. Tysiąclecia - ul. Hutnicza do ul. Mełgiewskiej</t>
  </si>
  <si>
    <t>trasa zielona</t>
  </si>
  <si>
    <t>sieć wodociągowa w ul. Mełgiewskiej</t>
  </si>
  <si>
    <t>składowisko odpadów w Rokitnie zad. 1</t>
  </si>
  <si>
    <t>infrastruktura techniczna dla inwestorów budownictwa wielorodzinnego</t>
  </si>
  <si>
    <t>inwestycje, w tym</t>
  </si>
  <si>
    <t>Pozostałe zadania w zakresie kultury</t>
  </si>
  <si>
    <t>pozostałe zadania w zakresie upowszechniania kultury i sztuki</t>
  </si>
  <si>
    <t>pozostałe zadania w zakresie upowszechniania kultury
i sztuki</t>
  </si>
  <si>
    <t>stypendia dla młodzieży szkół artystycznych</t>
  </si>
  <si>
    <t>Świadczenia społeczne</t>
  </si>
  <si>
    <t>ezsen</t>
  </si>
  <si>
    <t>ezsps</t>
  </si>
  <si>
    <t>ezsk</t>
  </si>
  <si>
    <t>ezs1</t>
  </si>
  <si>
    <t>ezs3</t>
  </si>
  <si>
    <t>ezs4</t>
  </si>
  <si>
    <t>ezs5</t>
  </si>
  <si>
    <t>ezs6</t>
  </si>
  <si>
    <t>ecku1</t>
  </si>
  <si>
    <t>ecku2</t>
  </si>
  <si>
    <t>elcez</t>
  </si>
  <si>
    <t>eon</t>
  </si>
  <si>
    <t>eog</t>
  </si>
  <si>
    <t>eo1</t>
  </si>
  <si>
    <t>eo2</t>
  </si>
  <si>
    <t>esm</t>
  </si>
  <si>
    <t>eps11</t>
  </si>
  <si>
    <t>s2</t>
  </si>
  <si>
    <t>s3</t>
  </si>
  <si>
    <t>s4</t>
  </si>
  <si>
    <t>s6</t>
  </si>
  <si>
    <t>s7</t>
  </si>
  <si>
    <t>s10</t>
  </si>
  <si>
    <t>s11</t>
  </si>
  <si>
    <t>s14</t>
  </si>
  <si>
    <t>s15</t>
  </si>
  <si>
    <t>s17</t>
  </si>
  <si>
    <t>s20</t>
  </si>
  <si>
    <t>s21</t>
  </si>
  <si>
    <t>s22</t>
  </si>
  <si>
    <t>s23</t>
  </si>
  <si>
    <t>s24</t>
  </si>
  <si>
    <t>s25</t>
  </si>
  <si>
    <t>s27</t>
  </si>
  <si>
    <t>s28</t>
  </si>
  <si>
    <t>s29</t>
  </si>
  <si>
    <t>s30</t>
  </si>
  <si>
    <t>s31</t>
  </si>
  <si>
    <t>s32</t>
  </si>
  <si>
    <t>s34</t>
  </si>
  <si>
    <t>s38</t>
  </si>
  <si>
    <t>s39</t>
  </si>
  <si>
    <t>s40</t>
  </si>
  <si>
    <t>s42</t>
  </si>
  <si>
    <t>s43</t>
  </si>
  <si>
    <t>s44</t>
  </si>
  <si>
    <t>s45</t>
  </si>
  <si>
    <t>s46</t>
  </si>
  <si>
    <t>s47</t>
  </si>
  <si>
    <t>s50</t>
  </si>
  <si>
    <t>s51</t>
  </si>
  <si>
    <t>s52</t>
  </si>
  <si>
    <t>sG8</t>
  </si>
  <si>
    <t>sG9</t>
  </si>
  <si>
    <t>sZS4</t>
  </si>
  <si>
    <t>OSWG</t>
  </si>
  <si>
    <t>OSWN</t>
  </si>
  <si>
    <t>SOW1</t>
  </si>
  <si>
    <t>SOW2</t>
  </si>
  <si>
    <t>ZP1</t>
  </si>
  <si>
    <t>ZP2</t>
  </si>
  <si>
    <t>ZP3</t>
  </si>
  <si>
    <t>PP1</t>
  </si>
  <si>
    <t>PP2</t>
  </si>
  <si>
    <t>PP3</t>
  </si>
  <si>
    <t>MDK</t>
  </si>
  <si>
    <t>MDK2</t>
  </si>
  <si>
    <t>BS1</t>
  </si>
  <si>
    <t>BS2</t>
  </si>
  <si>
    <t>BS3</t>
  </si>
  <si>
    <t>BS5</t>
  </si>
  <si>
    <t>IZSB</t>
  </si>
  <si>
    <t>IZSEl</t>
  </si>
  <si>
    <t>IZSTK</t>
  </si>
  <si>
    <t>IZS3</t>
  </si>
  <si>
    <t>ILCEZ</t>
  </si>
  <si>
    <t>M5</t>
  </si>
  <si>
    <t>M9</t>
  </si>
  <si>
    <t>M15</t>
  </si>
  <si>
    <t>M18</t>
  </si>
  <si>
    <t>M21</t>
  </si>
  <si>
    <t>M23</t>
  </si>
  <si>
    <t>M24</t>
  </si>
  <si>
    <t>M25</t>
  </si>
  <si>
    <t>M27</t>
  </si>
  <si>
    <t>M28</t>
  </si>
  <si>
    <t>M29</t>
  </si>
  <si>
    <t>M30</t>
  </si>
  <si>
    <t>M31</t>
  </si>
  <si>
    <t>M32</t>
  </si>
  <si>
    <t>M33</t>
  </si>
  <si>
    <t>M34</t>
  </si>
  <si>
    <t>M35</t>
  </si>
  <si>
    <t>M36</t>
  </si>
  <si>
    <t>M37</t>
  </si>
  <si>
    <t>M38</t>
  </si>
  <si>
    <t>M39</t>
  </si>
  <si>
    <t>M40</t>
  </si>
  <si>
    <t>M42</t>
  </si>
  <si>
    <t>M43</t>
  </si>
  <si>
    <t>M46</t>
  </si>
  <si>
    <t>M47</t>
  </si>
  <si>
    <t>M48</t>
  </si>
  <si>
    <t>M50</t>
  </si>
  <si>
    <t>M51</t>
  </si>
  <si>
    <t>M52</t>
  </si>
  <si>
    <t>MG1</t>
  </si>
  <si>
    <t>MG2</t>
  </si>
  <si>
    <t>MG3</t>
  </si>
  <si>
    <t>MG5</t>
  </si>
  <si>
    <t>MG7</t>
  </si>
  <si>
    <t>MG8</t>
  </si>
  <si>
    <t>MG9</t>
  </si>
  <si>
    <t>MG10</t>
  </si>
  <si>
    <t>MG11</t>
  </si>
  <si>
    <t>MG12</t>
  </si>
  <si>
    <t>MG13</t>
  </si>
  <si>
    <t>MG14</t>
  </si>
  <si>
    <t>MG15</t>
  </si>
  <si>
    <t>MG16</t>
  </si>
  <si>
    <t>MG17</t>
  </si>
  <si>
    <t>MG18</t>
  </si>
  <si>
    <t>MG19</t>
  </si>
  <si>
    <t>MI</t>
  </si>
  <si>
    <t>MV</t>
  </si>
  <si>
    <t>MVIII</t>
  </si>
  <si>
    <t>MIX</t>
  </si>
  <si>
    <t>Mzso1</t>
  </si>
  <si>
    <t>Mzso2</t>
  </si>
  <si>
    <t>Mzso4</t>
  </si>
  <si>
    <t>Mzso5</t>
  </si>
  <si>
    <t>Mzso6</t>
  </si>
  <si>
    <t>MZS4</t>
  </si>
  <si>
    <t>MZSEk</t>
  </si>
  <si>
    <t>MO1</t>
  </si>
  <si>
    <t>MO2</t>
  </si>
  <si>
    <t>MOG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</si>
</sst>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\ &quot;zł&quot;"/>
    <numFmt numFmtId="166" formatCode="#,##0.0"/>
    <numFmt numFmtId="167" formatCode="0.0"/>
    <numFmt numFmtId="168" formatCode="#,##0.0000"/>
    <numFmt numFmtId="169" formatCode="###0"/>
    <numFmt numFmtId="170" formatCode="h:m"/>
    <numFmt numFmtId="171" formatCode="#,##0.00\ &quot;zł&quot;;[Red]#,##0.00\ &quot;zł&quot;"/>
    <numFmt numFmtId="172" formatCode="#,##0\ &quot;zł&quot;"/>
    <numFmt numFmtId="173" formatCode="#,##0.000"/>
    <numFmt numFmtId="174" formatCode="#,##0.00\ _z_ł"/>
    <numFmt numFmtId="175" formatCode="#,##0\ _z_ł"/>
    <numFmt numFmtId="176" formatCode="#,##0_ ;\-#,##0\ "/>
  </numFmts>
  <fonts count="39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2"/>
      <name val="Arial CE"/>
      <family val="2"/>
    </font>
    <font>
      <i/>
      <sz val="10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u val="single"/>
      <sz val="11"/>
      <name val="Arial CE"/>
      <family val="2"/>
    </font>
    <font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2"/>
      <color indexed="8"/>
      <name val="Arial CE"/>
      <family val="2"/>
    </font>
    <font>
      <i/>
      <sz val="10"/>
      <color indexed="8"/>
      <name val="Arial CE"/>
      <family val="2"/>
    </font>
    <font>
      <sz val="9"/>
      <color indexed="8"/>
      <name val="Arial CE"/>
      <family val="2"/>
    </font>
    <font>
      <b/>
      <sz val="11"/>
      <color indexed="8"/>
      <name val="Arial CE"/>
      <family val="2"/>
    </font>
    <font>
      <b/>
      <u val="single"/>
      <sz val="10"/>
      <color indexed="8"/>
      <name val="Arial CE"/>
      <family val="2"/>
    </font>
    <font>
      <b/>
      <i/>
      <sz val="10"/>
      <color indexed="8"/>
      <name val="Arial CE"/>
      <family val="2"/>
    </font>
    <font>
      <sz val="12"/>
      <color indexed="8"/>
      <name val="Arial CE"/>
      <family val="2"/>
    </font>
    <font>
      <sz val="8"/>
      <color indexed="8"/>
      <name val="Arial CE"/>
      <family val="2"/>
    </font>
    <font>
      <sz val="11"/>
      <color indexed="8"/>
      <name val="Arial CE"/>
      <family val="2"/>
    </font>
    <font>
      <sz val="12"/>
      <name val="Arial CE"/>
      <family val="2"/>
    </font>
    <font>
      <i/>
      <sz val="9"/>
      <name val="Arial CE"/>
      <family val="2"/>
    </font>
    <font>
      <b/>
      <i/>
      <sz val="11"/>
      <name val="Arial CE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9"/>
      <name val="Arial CE"/>
      <family val="2"/>
    </font>
    <font>
      <b/>
      <i/>
      <u val="single"/>
      <sz val="11"/>
      <name val="Arial CE"/>
      <family val="2"/>
    </font>
    <font>
      <sz val="10"/>
      <color indexed="8"/>
      <name val="MS Sans Serif"/>
      <family val="0"/>
    </font>
    <font>
      <b/>
      <sz val="10"/>
      <color indexed="9"/>
      <name val="Arial CE"/>
      <family val="2"/>
    </font>
    <font>
      <b/>
      <i/>
      <sz val="10"/>
      <color indexed="9"/>
      <name val="Arial CE"/>
      <family val="2"/>
    </font>
    <font>
      <sz val="10"/>
      <color indexed="9"/>
      <name val="Arial CE"/>
      <family val="2"/>
    </font>
    <font>
      <sz val="14"/>
      <name val="Arial CE"/>
      <family val="2"/>
    </font>
    <font>
      <b/>
      <u val="single"/>
      <sz val="10"/>
      <name val="Arial CE"/>
      <family val="2"/>
    </font>
    <font>
      <b/>
      <i/>
      <u val="single"/>
      <sz val="10"/>
      <name val="Arial CE"/>
      <family val="2"/>
    </font>
  </fonts>
  <fills count="48">
    <fill>
      <patternFill/>
    </fill>
    <fill>
      <patternFill patternType="gray125"/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  <fill>
      <patternFill patternType="gray0625">
        <bgColor indexed="43"/>
      </patternFill>
    </fill>
    <fill>
      <patternFill patternType="solid">
        <fgColor indexed="43"/>
        <bgColor indexed="64"/>
      </patternFill>
    </fill>
    <fill>
      <patternFill patternType="gray0625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9"/>
        <bgColor indexed="64"/>
      </patternFill>
    </fill>
    <fill>
      <patternFill patternType="gray0625"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62"/>
        <bgColor indexed="64"/>
      </patternFill>
    </fill>
    <fill>
      <patternFill patternType="gray0625">
        <bgColor indexed="31"/>
      </patternFill>
    </fill>
    <fill>
      <patternFill patternType="solid">
        <fgColor indexed="31"/>
        <bgColor indexed="64"/>
      </patternFill>
    </fill>
    <fill>
      <patternFill patternType="gray0625">
        <bgColor indexed="26"/>
      </patternFill>
    </fill>
    <fill>
      <patternFill patternType="solid">
        <fgColor indexed="50"/>
        <bgColor indexed="64"/>
      </patternFill>
    </fill>
    <fill>
      <patternFill patternType="gray0625">
        <bgColor indexed="42"/>
      </patternFill>
    </fill>
    <fill>
      <patternFill patternType="gray0625">
        <bgColor indexed="47"/>
      </patternFill>
    </fill>
    <fill>
      <patternFill patternType="gray0625">
        <bgColor indexed="52"/>
      </patternFill>
    </fill>
    <fill>
      <patternFill patternType="solid">
        <fgColor indexed="52"/>
        <bgColor indexed="64"/>
      </patternFill>
    </fill>
    <fill>
      <patternFill patternType="gray0625">
        <bgColor indexed="44"/>
      </patternFill>
    </fill>
    <fill>
      <patternFill patternType="solid">
        <fgColor indexed="44"/>
        <bgColor indexed="64"/>
      </patternFill>
    </fill>
    <fill>
      <patternFill patternType="gray0625">
        <bgColor indexed="46"/>
      </patternFill>
    </fill>
    <fill>
      <patternFill patternType="solid">
        <fgColor indexed="46"/>
        <bgColor indexed="64"/>
      </patternFill>
    </fill>
    <fill>
      <patternFill patternType="gray0625">
        <bgColor indexed="50"/>
      </patternFill>
    </fill>
    <fill>
      <patternFill patternType="gray0625">
        <bgColor indexed="45"/>
      </patternFill>
    </fill>
    <fill>
      <patternFill patternType="solid">
        <fgColor indexed="45"/>
        <bgColor indexed="64"/>
      </patternFill>
    </fill>
    <fill>
      <patternFill patternType="gray0625">
        <bgColor indexed="27"/>
      </patternFill>
    </fill>
    <fill>
      <patternFill patternType="solid">
        <fgColor indexed="54"/>
        <bgColor indexed="64"/>
      </patternFill>
    </fill>
    <fill>
      <patternFill patternType="gray0625"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8"/>
        <bgColor indexed="64"/>
      </patternFill>
    </fill>
    <fill>
      <patternFill patternType="gray125">
        <bgColor indexed="42"/>
      </patternFill>
    </fill>
    <fill>
      <patternFill patternType="lightGray">
        <bgColor indexed="41"/>
      </patternFill>
    </fill>
    <fill>
      <patternFill patternType="gray125">
        <fgColor indexed="9"/>
      </patternFill>
    </fill>
    <fill>
      <patternFill patternType="solid">
        <fgColor indexed="9"/>
        <bgColor indexed="64"/>
      </patternFill>
    </fill>
    <fill>
      <patternFill patternType="gray0625">
        <fgColor indexed="9"/>
        <bgColor indexed="26"/>
      </patternFill>
    </fill>
    <fill>
      <patternFill patternType="gray0625">
        <bgColor indexed="32"/>
      </patternFill>
    </fill>
    <fill>
      <patternFill patternType="gray0625">
        <fgColor indexed="8"/>
        <bgColor indexed="9"/>
      </patternFill>
    </fill>
  </fills>
  <borders count="171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dotted"/>
      <bottom style="hair"/>
    </border>
    <border>
      <left style="thin"/>
      <right>
        <color indexed="63"/>
      </right>
      <top style="thin"/>
      <bottom style="dotted"/>
    </border>
    <border>
      <left style="double"/>
      <right style="double"/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medium"/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dashDotDot"/>
    </border>
    <border>
      <left style="thin"/>
      <right style="thin"/>
      <top style="thin"/>
      <bottom style="dashed"/>
    </border>
    <border>
      <left style="thin"/>
      <right style="thin"/>
      <top style="dashed"/>
      <bottom style="dotted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/>
      <right style="thin"/>
      <top style="dotted"/>
      <bottom style="dashed"/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dashed"/>
    </border>
    <border>
      <left style="thin"/>
      <right style="thin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 style="thin"/>
      <right>
        <color indexed="63"/>
      </right>
      <top style="dotted"/>
      <bottom style="thin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n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medium"/>
    </border>
    <border>
      <left style="double"/>
      <right style="thin"/>
      <top style="double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ashDotDot"/>
      <bottom style="dotted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thin"/>
      <right style="thin"/>
      <top style="hair"/>
      <bottom style="thin"/>
    </border>
    <border>
      <left style="double"/>
      <right style="double"/>
      <top style="double"/>
      <bottom style="thin"/>
    </border>
    <border>
      <left style="thin"/>
      <right>
        <color indexed="63"/>
      </right>
      <top style="dotted"/>
      <bottom style="dotted"/>
    </border>
    <border>
      <left style="double"/>
      <right style="double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uble"/>
      <right style="double"/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medium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/>
      <right style="double"/>
      <top style="double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hair"/>
      <bottom style="dotted"/>
    </border>
    <border>
      <left style="thin"/>
      <right style="thin"/>
      <top style="dotted"/>
      <bottom style="dashDotDot"/>
    </border>
    <border>
      <left style="thin"/>
      <right style="medium"/>
      <top style="dotted"/>
      <bottom style="dotted"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double"/>
      <right>
        <color indexed="63"/>
      </right>
      <top style="medium"/>
      <bottom style="medium"/>
    </border>
    <border>
      <left style="thin"/>
      <right style="thin"/>
      <top style="thin"/>
      <bottom style="hair"/>
    </border>
    <border>
      <left style="thin"/>
      <right style="medium"/>
      <top style="dotted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0">
      <alignment/>
      <protection/>
    </xf>
    <xf numFmtId="0" fontId="0" fillId="0" borderId="0" applyBorder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5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5" fillId="2" borderId="2" xfId="0" applyFont="1" applyFill="1" applyBorder="1" applyAlignment="1">
      <alignment/>
    </xf>
    <xf numFmtId="0" fontId="4" fillId="0" borderId="2" xfId="0" applyFont="1" applyBorder="1" applyAlignment="1">
      <alignment/>
    </xf>
    <xf numFmtId="3" fontId="4" fillId="0" borderId="2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0" fillId="3" borderId="0" xfId="0" applyFont="1" applyFill="1" applyAlignment="1">
      <alignment/>
    </xf>
    <xf numFmtId="3" fontId="0" fillId="3" borderId="0" xfId="0" applyNumberFormat="1" applyFont="1" applyFill="1" applyAlignment="1">
      <alignment/>
    </xf>
    <xf numFmtId="0" fontId="7" fillId="0" borderId="3" xfId="0" applyFont="1" applyBorder="1" applyAlignment="1">
      <alignment/>
    </xf>
    <xf numFmtId="3" fontId="7" fillId="0" borderId="4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9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3" fontId="5" fillId="0" borderId="5" xfId="0" applyNumberFormat="1" applyFont="1" applyBorder="1" applyAlignment="1">
      <alignment horizontal="center" vertical="center"/>
    </xf>
    <xf numFmtId="3" fontId="5" fillId="0" borderId="6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3" fontId="6" fillId="3" borderId="1" xfId="0" applyNumberFormat="1" applyFont="1" applyFill="1" applyBorder="1" applyAlignment="1">
      <alignment horizontal="center" vertical="center"/>
    </xf>
    <xf numFmtId="3" fontId="11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7" fillId="0" borderId="2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0" fillId="3" borderId="0" xfId="0" applyFont="1" applyFill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>
      <alignment/>
    </xf>
    <xf numFmtId="3" fontId="0" fillId="0" borderId="0" xfId="0" applyNumberFormat="1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7" xfId="0" applyFont="1" applyBorder="1" applyAlignment="1">
      <alignment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/>
    </xf>
    <xf numFmtId="0" fontId="13" fillId="0" borderId="0" xfId="0" applyAlignment="1">
      <alignment/>
    </xf>
    <xf numFmtId="3" fontId="13" fillId="0" borderId="0" xfId="0" applyAlignment="1">
      <alignment/>
    </xf>
    <xf numFmtId="0" fontId="13" fillId="0" borderId="0" xfId="0" applyFont="1" applyAlignment="1">
      <alignment/>
    </xf>
    <xf numFmtId="0" fontId="14" fillId="0" borderId="0" xfId="0" applyAlignment="1">
      <alignment/>
    </xf>
    <xf numFmtId="0" fontId="15" fillId="0" borderId="0" xfId="0" applyFont="1" applyAlignment="1">
      <alignment horizontal="left"/>
    </xf>
    <xf numFmtId="3" fontId="13" fillId="0" borderId="0" xfId="0" applyAlignment="1">
      <alignment horizontal="right"/>
    </xf>
    <xf numFmtId="0" fontId="16" fillId="0" borderId="0" xfId="0" applyFont="1" applyAlignment="1">
      <alignment horizontal="right"/>
    </xf>
    <xf numFmtId="0" fontId="14" fillId="0" borderId="10" xfId="0" applyAlignment="1">
      <alignment horizontal="center" vertical="center"/>
    </xf>
    <xf numFmtId="0" fontId="14" fillId="0" borderId="10" xfId="0" applyFont="1" applyAlignment="1">
      <alignment horizontal="center" vertical="center" wrapText="1"/>
    </xf>
    <xf numFmtId="3" fontId="14" fillId="0" borderId="10" xfId="0" applyAlignment="1">
      <alignment horizontal="center" vertical="center" wrapText="1"/>
    </xf>
    <xf numFmtId="0" fontId="17" fillId="0" borderId="10" xfId="0" applyFont="1" applyAlignment="1">
      <alignment horizontal="center"/>
    </xf>
    <xf numFmtId="0" fontId="17" fillId="0" borderId="11" xfId="0" applyFont="1" applyBorder="1" applyAlignment="1">
      <alignment horizontal="center"/>
    </xf>
    <xf numFmtId="3" fontId="17" fillId="0" borderId="1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1" fillId="0" borderId="0" xfId="0" applyAlignment="1">
      <alignment/>
    </xf>
    <xf numFmtId="3" fontId="21" fillId="0" borderId="0" xfId="0" applyAlignment="1">
      <alignment/>
    </xf>
    <xf numFmtId="3" fontId="13" fillId="0" borderId="0" xfId="0" applyFont="1" applyAlignment="1">
      <alignment/>
    </xf>
    <xf numFmtId="0" fontId="13" fillId="0" borderId="0" xfId="0" applyAlignment="1">
      <alignment/>
    </xf>
    <xf numFmtId="0" fontId="15" fillId="0" borderId="0" xfId="0" applyFont="1" applyAlignment="1">
      <alignment/>
    </xf>
    <xf numFmtId="0" fontId="15" fillId="0" borderId="0" xfId="0" applyAlignment="1">
      <alignment/>
    </xf>
    <xf numFmtId="0" fontId="20" fillId="0" borderId="0" xfId="0" applyFont="1" applyFill="1" applyBorder="1" applyAlignment="1">
      <alignment wrapText="1"/>
    </xf>
    <xf numFmtId="3" fontId="16" fillId="0" borderId="0" xfId="0" applyFont="1" applyAlignment="1">
      <alignment horizontal="right"/>
    </xf>
    <xf numFmtId="0" fontId="18" fillId="0" borderId="12" xfId="0" applyAlignment="1">
      <alignment/>
    </xf>
    <xf numFmtId="0" fontId="18" fillId="0" borderId="12" xfId="0" applyAlignment="1">
      <alignment horizontal="center"/>
    </xf>
    <xf numFmtId="3" fontId="18" fillId="0" borderId="12" xfId="0" applyAlignment="1">
      <alignment horizontal="center" vertical="center"/>
    </xf>
    <xf numFmtId="3" fontId="18" fillId="0" borderId="13" xfId="0" applyAlignment="1">
      <alignment horizontal="center" vertical="center"/>
    </xf>
    <xf numFmtId="0" fontId="18" fillId="0" borderId="14" xfId="0" applyAlignment="1">
      <alignment horizontal="center" vertical="top" wrapText="1"/>
    </xf>
    <xf numFmtId="0" fontId="18" fillId="0" borderId="15" xfId="0" applyFont="1" applyAlignment="1">
      <alignment horizontal="center" vertical="center"/>
    </xf>
    <xf numFmtId="3" fontId="18" fillId="0" borderId="16" xfId="0" applyAlignment="1">
      <alignment horizontal="center" vertical="top" wrapText="1"/>
    </xf>
    <xf numFmtId="0" fontId="22" fillId="0" borderId="10" xfId="0" applyAlignment="1">
      <alignment horizontal="center" vertical="center"/>
    </xf>
    <xf numFmtId="3" fontId="22" fillId="0" borderId="10" xfId="0" applyAlignment="1">
      <alignment horizontal="center" vertical="center"/>
    </xf>
    <xf numFmtId="0" fontId="11" fillId="0" borderId="0" xfId="0" applyFont="1" applyAlignment="1">
      <alignment/>
    </xf>
    <xf numFmtId="3" fontId="13" fillId="0" borderId="0" xfId="0" applyNumberFormat="1" applyAlignment="1">
      <alignment/>
    </xf>
    <xf numFmtId="0" fontId="4" fillId="3" borderId="0" xfId="0" applyFont="1" applyFill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horizontal="left"/>
    </xf>
    <xf numFmtId="0" fontId="25" fillId="0" borderId="0" xfId="0" applyFont="1" applyAlignment="1">
      <alignment horizontal="right"/>
    </xf>
    <xf numFmtId="0" fontId="0" fillId="4" borderId="7" xfId="0" applyFont="1" applyFill="1" applyBorder="1" applyAlignment="1">
      <alignment/>
    </xf>
    <xf numFmtId="0" fontId="0" fillId="4" borderId="7" xfId="0" applyFont="1" applyFill="1" applyBorder="1" applyAlignment="1">
      <alignment wrapText="1"/>
    </xf>
    <xf numFmtId="0" fontId="5" fillId="4" borderId="17" xfId="0" applyFont="1" applyFill="1" applyBorder="1" applyAlignment="1">
      <alignment horizontal="center" vertical="center" wrapText="1"/>
    </xf>
    <xf numFmtId="0" fontId="0" fillId="4" borderId="17" xfId="0" applyFont="1" applyFill="1" applyBorder="1" applyAlignment="1">
      <alignment wrapText="1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/>
    </xf>
    <xf numFmtId="0" fontId="0" fillId="4" borderId="17" xfId="0" applyFont="1" applyFill="1" applyBorder="1" applyAlignment="1">
      <alignment/>
    </xf>
    <xf numFmtId="0" fontId="0" fillId="4" borderId="18" xfId="0" applyFont="1" applyFill="1" applyBorder="1" applyAlignment="1">
      <alignment/>
    </xf>
    <xf numFmtId="0" fontId="5" fillId="4" borderId="19" xfId="0" applyFont="1" applyFill="1" applyBorder="1" applyAlignment="1">
      <alignment horizontal="center" vertical="top"/>
    </xf>
    <xf numFmtId="0" fontId="5" fillId="4" borderId="19" xfId="0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6" fillId="0" borderId="20" xfId="0" applyFont="1" applyBorder="1" applyAlignment="1">
      <alignment horizontal="center" wrapText="1"/>
    </xf>
    <xf numFmtId="0" fontId="6" fillId="0" borderId="20" xfId="0" applyFont="1" applyBorder="1" applyAlignment="1">
      <alignment horizontal="center"/>
    </xf>
    <xf numFmtId="0" fontId="6" fillId="0" borderId="0" xfId="0" applyFont="1" applyAlignment="1">
      <alignment/>
    </xf>
    <xf numFmtId="0" fontId="0" fillId="4" borderId="3" xfId="0" applyFont="1" applyFill="1" applyBorder="1" applyAlignment="1">
      <alignment/>
    </xf>
    <xf numFmtId="3" fontId="0" fillId="0" borderId="0" xfId="0" applyNumberFormat="1" applyFont="1" applyAlignment="1">
      <alignment vertical="center"/>
    </xf>
    <xf numFmtId="0" fontId="0" fillId="4" borderId="3" xfId="0" applyFont="1" applyFill="1" applyBorder="1" applyAlignment="1">
      <alignment/>
    </xf>
    <xf numFmtId="0" fontId="0" fillId="4" borderId="21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Alignment="1">
      <alignment wrapText="1"/>
    </xf>
    <xf numFmtId="3" fontId="7" fillId="0" borderId="0" xfId="0" applyNumberFormat="1" applyFont="1" applyBorder="1" applyAlignment="1">
      <alignment/>
    </xf>
    <xf numFmtId="0" fontId="0" fillId="0" borderId="22" xfId="0" applyFont="1" applyBorder="1" applyAlignment="1">
      <alignment/>
    </xf>
    <xf numFmtId="0" fontId="5" fillId="0" borderId="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7" fillId="3" borderId="0" xfId="0" applyFont="1" applyFill="1" applyAlignment="1">
      <alignment/>
    </xf>
    <xf numFmtId="0" fontId="7" fillId="4" borderId="24" xfId="0" applyFont="1" applyFill="1" applyBorder="1" applyAlignment="1">
      <alignment wrapText="1"/>
    </xf>
    <xf numFmtId="0" fontId="5" fillId="0" borderId="7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8" fillId="0" borderId="0" xfId="0" applyFont="1" applyAlignment="1">
      <alignment/>
    </xf>
    <xf numFmtId="3" fontId="13" fillId="0" borderId="0" xfId="0" applyNumberFormat="1" applyFill="1" applyAlignment="1">
      <alignment/>
    </xf>
    <xf numFmtId="3" fontId="0" fillId="0" borderId="0" xfId="0" applyNumberFormat="1" applyFill="1" applyAlignment="1">
      <alignment/>
    </xf>
    <xf numFmtId="3" fontId="23" fillId="0" borderId="0" xfId="0" applyNumberFormat="1" applyFont="1" applyAlignment="1">
      <alignment/>
    </xf>
    <xf numFmtId="3" fontId="0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14" fillId="0" borderId="25" xfId="0" applyFont="1" applyBorder="1" applyAlignment="1">
      <alignment horizontal="center" vertical="center" wrapText="1"/>
    </xf>
    <xf numFmtId="0" fontId="14" fillId="0" borderId="10" xfId="0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3" fontId="0" fillId="0" borderId="0" xfId="0" applyNumberFormat="1" applyFont="1" applyFill="1" applyAlignment="1">
      <alignment/>
    </xf>
    <xf numFmtId="3" fontId="4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1" fontId="5" fillId="0" borderId="3" xfId="0" applyNumberFormat="1" applyFont="1" applyBorder="1" applyAlignment="1">
      <alignment/>
    </xf>
    <xf numFmtId="3" fontId="16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16" fillId="0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1" fontId="5" fillId="2" borderId="2" xfId="0" applyNumberFormat="1" applyFont="1" applyFill="1" applyBorder="1" applyAlignment="1">
      <alignment/>
    </xf>
    <xf numFmtId="0" fontId="4" fillId="3" borderId="0" xfId="0" applyFont="1" applyFill="1" applyAlignment="1">
      <alignment/>
    </xf>
    <xf numFmtId="3" fontId="4" fillId="3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0" fontId="7" fillId="0" borderId="0" xfId="0" applyFont="1" applyAlignment="1">
      <alignment/>
    </xf>
    <xf numFmtId="0" fontId="5" fillId="3" borderId="0" xfId="0" applyFont="1" applyFill="1" applyAlignment="1">
      <alignment/>
    </xf>
    <xf numFmtId="0" fontId="0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4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5" fillId="0" borderId="26" xfId="0" applyFont="1" applyBorder="1" applyAlignment="1">
      <alignment/>
    </xf>
    <xf numFmtId="0" fontId="7" fillId="0" borderId="26" xfId="0" applyFont="1" applyBorder="1" applyAlignment="1">
      <alignment/>
    </xf>
    <xf numFmtId="0" fontId="4" fillId="0" borderId="26" xfId="0" applyFont="1" applyBorder="1" applyAlignment="1">
      <alignment/>
    </xf>
    <xf numFmtId="3" fontId="4" fillId="0" borderId="27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5" fillId="5" borderId="2" xfId="0" applyNumberFormat="1" applyFont="1" applyFill="1" applyBorder="1" applyAlignment="1">
      <alignment wrapText="1"/>
    </xf>
    <xf numFmtId="3" fontId="16" fillId="0" borderId="27" xfId="0" applyNumberFormat="1" applyFont="1" applyFill="1" applyBorder="1" applyAlignment="1">
      <alignment/>
    </xf>
    <xf numFmtId="3" fontId="4" fillId="0" borderId="27" xfId="0" applyNumberFormat="1" applyFont="1" applyFill="1" applyBorder="1" applyAlignment="1">
      <alignment/>
    </xf>
    <xf numFmtId="0" fontId="4" fillId="0" borderId="27" xfId="0" applyFont="1" applyFill="1" applyBorder="1" applyAlignment="1">
      <alignment/>
    </xf>
    <xf numFmtId="3" fontId="16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18" xfId="0" applyFont="1" applyBorder="1" applyAlignment="1">
      <alignment horizontal="center" vertical="center" wrapText="1"/>
    </xf>
    <xf numFmtId="0" fontId="16" fillId="3" borderId="0" xfId="0" applyFont="1" applyFill="1" applyBorder="1" applyAlignment="1">
      <alignment/>
    </xf>
    <xf numFmtId="3" fontId="5" fillId="6" borderId="28" xfId="0" applyNumberFormat="1" applyFont="1" applyFill="1" applyBorder="1" applyAlignment="1">
      <alignment wrapText="1"/>
    </xf>
    <xf numFmtId="3" fontId="0" fillId="7" borderId="29" xfId="0" applyNumberFormat="1" applyFont="1" applyFill="1" applyBorder="1" applyAlignment="1">
      <alignment wrapText="1"/>
    </xf>
    <xf numFmtId="3" fontId="4" fillId="7" borderId="2" xfId="0" applyNumberFormat="1" applyFont="1" applyFill="1" applyBorder="1" applyAlignment="1">
      <alignment wrapText="1"/>
    </xf>
    <xf numFmtId="3" fontId="5" fillId="7" borderId="28" xfId="0" applyNumberFormat="1" applyFont="1" applyFill="1" applyBorder="1" applyAlignment="1">
      <alignment wrapText="1"/>
    </xf>
    <xf numFmtId="3" fontId="4" fillId="7" borderId="26" xfId="0" applyNumberFormat="1" applyFont="1" applyFill="1" applyBorder="1" applyAlignment="1">
      <alignment wrapText="1"/>
    </xf>
    <xf numFmtId="3" fontId="4" fillId="7" borderId="0" xfId="0" applyNumberFormat="1" applyFont="1" applyFill="1" applyBorder="1" applyAlignment="1">
      <alignment wrapText="1"/>
    </xf>
    <xf numFmtId="3" fontId="4" fillId="7" borderId="30" xfId="0" applyNumberFormat="1" applyFont="1" applyFill="1" applyBorder="1" applyAlignment="1">
      <alignment wrapText="1"/>
    </xf>
    <xf numFmtId="3" fontId="4" fillId="7" borderId="31" xfId="0" applyNumberFormat="1" applyFont="1" applyFill="1" applyBorder="1" applyAlignment="1">
      <alignment wrapText="1"/>
    </xf>
    <xf numFmtId="0" fontId="5" fillId="4" borderId="2" xfId="0" applyFont="1" applyFill="1" applyBorder="1" applyAlignment="1">
      <alignment/>
    </xf>
    <xf numFmtId="3" fontId="7" fillId="4" borderId="24" xfId="0" applyNumberFormat="1" applyFont="1" applyFill="1" applyBorder="1" applyAlignment="1">
      <alignment/>
    </xf>
    <xf numFmtId="0" fontId="5" fillId="5" borderId="28" xfId="0" applyFont="1" applyFill="1" applyBorder="1" applyAlignment="1">
      <alignment/>
    </xf>
    <xf numFmtId="0" fontId="5" fillId="5" borderId="2" xfId="0" applyFont="1" applyFill="1" applyBorder="1" applyAlignment="1">
      <alignment wrapText="1"/>
    </xf>
    <xf numFmtId="3" fontId="7" fillId="5" borderId="2" xfId="0" applyNumberFormat="1" applyFont="1" applyFill="1" applyBorder="1" applyAlignment="1">
      <alignment wrapText="1"/>
    </xf>
    <xf numFmtId="0" fontId="5" fillId="4" borderId="3" xfId="0" applyFont="1" applyFill="1" applyBorder="1" applyAlignment="1">
      <alignment/>
    </xf>
    <xf numFmtId="0" fontId="5" fillId="4" borderId="28" xfId="0" applyFont="1" applyFill="1" applyBorder="1" applyAlignment="1">
      <alignment/>
    </xf>
    <xf numFmtId="0" fontId="5" fillId="4" borderId="28" xfId="0" applyFont="1" applyFill="1" applyBorder="1" applyAlignment="1">
      <alignment wrapText="1"/>
    </xf>
    <xf numFmtId="3" fontId="5" fillId="4" borderId="28" xfId="0" applyNumberFormat="1" applyFont="1" applyFill="1" applyBorder="1" applyAlignment="1">
      <alignment wrapText="1"/>
    </xf>
    <xf numFmtId="3" fontId="7" fillId="4" borderId="28" xfId="0" applyNumberFormat="1" applyFont="1" applyFill="1" applyBorder="1" applyAlignment="1">
      <alignment wrapText="1"/>
    </xf>
    <xf numFmtId="0" fontId="0" fillId="4" borderId="21" xfId="0" applyFont="1" applyFill="1" applyBorder="1" applyAlignment="1">
      <alignment/>
    </xf>
    <xf numFmtId="3" fontId="0" fillId="4" borderId="29" xfId="0" applyNumberFormat="1" applyFont="1" applyFill="1" applyBorder="1" applyAlignment="1">
      <alignment wrapText="1"/>
    </xf>
    <xf numFmtId="3" fontId="4" fillId="4" borderId="29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/>
    </xf>
    <xf numFmtId="3" fontId="4" fillId="4" borderId="32" xfId="0" applyNumberFormat="1" applyFont="1" applyFill="1" applyBorder="1" applyAlignment="1">
      <alignment wrapText="1"/>
    </xf>
    <xf numFmtId="0" fontId="0" fillId="0" borderId="2" xfId="0" applyBorder="1" applyAlignment="1">
      <alignment/>
    </xf>
    <xf numFmtId="0" fontId="5" fillId="5" borderId="28" xfId="0" applyFont="1" applyFill="1" applyBorder="1" applyAlignment="1">
      <alignment/>
    </xf>
    <xf numFmtId="3" fontId="5" fillId="5" borderId="28" xfId="0" applyNumberFormat="1" applyFont="1" applyFill="1" applyBorder="1" applyAlignment="1">
      <alignment/>
    </xf>
    <xf numFmtId="0" fontId="4" fillId="4" borderId="21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3" fontId="0" fillId="4" borderId="21" xfId="0" applyNumberFormat="1" applyFont="1" applyFill="1" applyBorder="1" applyAlignment="1">
      <alignment wrapText="1"/>
    </xf>
    <xf numFmtId="0" fontId="7" fillId="4" borderId="3" xfId="0" applyFont="1" applyFill="1" applyBorder="1" applyAlignment="1">
      <alignment/>
    </xf>
    <xf numFmtId="3" fontId="7" fillId="4" borderId="33" xfId="0" applyNumberFormat="1" applyFont="1" applyFill="1" applyBorder="1" applyAlignment="1">
      <alignment/>
    </xf>
    <xf numFmtId="0" fontId="5" fillId="5" borderId="2" xfId="0" applyFont="1" applyFill="1" applyBorder="1" applyAlignment="1">
      <alignment/>
    </xf>
    <xf numFmtId="0" fontId="5" fillId="5" borderId="2" xfId="0" applyFont="1" applyFill="1" applyBorder="1" applyAlignment="1">
      <alignment/>
    </xf>
    <xf numFmtId="0" fontId="0" fillId="4" borderId="28" xfId="0" applyFont="1" applyFill="1" applyBorder="1" applyAlignment="1">
      <alignment/>
    </xf>
    <xf numFmtId="3" fontId="5" fillId="4" borderId="2" xfId="0" applyNumberFormat="1" applyFont="1" applyFill="1" applyBorder="1" applyAlignment="1">
      <alignment/>
    </xf>
    <xf numFmtId="0" fontId="0" fillId="4" borderId="0" xfId="0" applyFont="1" applyFill="1" applyBorder="1" applyAlignment="1">
      <alignment/>
    </xf>
    <xf numFmtId="0" fontId="0" fillId="4" borderId="29" xfId="0" applyFont="1" applyFill="1" applyBorder="1" applyAlignment="1">
      <alignment/>
    </xf>
    <xf numFmtId="3" fontId="0" fillId="4" borderId="29" xfId="0" applyNumberFormat="1" applyFont="1" applyFill="1" applyBorder="1" applyAlignment="1">
      <alignment/>
    </xf>
    <xf numFmtId="0" fontId="4" fillId="4" borderId="0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3" fontId="7" fillId="4" borderId="3" xfId="0" applyNumberFormat="1" applyFont="1" applyFill="1" applyBorder="1" applyAlignment="1">
      <alignment/>
    </xf>
    <xf numFmtId="0" fontId="0" fillId="8" borderId="29" xfId="0" applyFont="1" applyFill="1" applyBorder="1" applyAlignment="1">
      <alignment wrapText="1"/>
    </xf>
    <xf numFmtId="0" fontId="4" fillId="4" borderId="3" xfId="0" applyFont="1" applyFill="1" applyBorder="1" applyAlignment="1">
      <alignment/>
    </xf>
    <xf numFmtId="0" fontId="4" fillId="4" borderId="2" xfId="0" applyFont="1" applyFill="1" applyBorder="1" applyAlignment="1">
      <alignment wrapText="1"/>
    </xf>
    <xf numFmtId="3" fontId="4" fillId="4" borderId="2" xfId="0" applyNumberFormat="1" applyFont="1" applyFill="1" applyBorder="1" applyAlignment="1">
      <alignment/>
    </xf>
    <xf numFmtId="0" fontId="4" fillId="4" borderId="28" xfId="0" applyFont="1" applyFill="1" applyBorder="1" applyAlignment="1">
      <alignment/>
    </xf>
    <xf numFmtId="0" fontId="4" fillId="4" borderId="28" xfId="0" applyFont="1" applyFill="1" applyBorder="1" applyAlignment="1">
      <alignment wrapText="1"/>
    </xf>
    <xf numFmtId="3" fontId="4" fillId="4" borderId="28" xfId="0" applyNumberFormat="1" applyFont="1" applyFill="1" applyBorder="1" applyAlignment="1">
      <alignment/>
    </xf>
    <xf numFmtId="0" fontId="5" fillId="4" borderId="2" xfId="0" applyFont="1" applyFill="1" applyBorder="1" applyAlignment="1">
      <alignment wrapText="1"/>
    </xf>
    <xf numFmtId="0" fontId="0" fillId="9" borderId="29" xfId="0" applyFont="1" applyFill="1" applyBorder="1" applyAlignment="1">
      <alignment wrapText="1"/>
    </xf>
    <xf numFmtId="0" fontId="0" fillId="4" borderId="3" xfId="0" applyFont="1" applyFill="1" applyBorder="1" applyAlignment="1">
      <alignment horizontal="right"/>
    </xf>
    <xf numFmtId="3" fontId="5" fillId="4" borderId="2" xfId="0" applyNumberFormat="1" applyFont="1" applyFill="1" applyBorder="1" applyAlignment="1">
      <alignment wrapText="1"/>
    </xf>
    <xf numFmtId="3" fontId="5" fillId="4" borderId="34" xfId="0" applyNumberFormat="1" applyFont="1" applyFill="1" applyBorder="1" applyAlignment="1">
      <alignment wrapText="1"/>
    </xf>
    <xf numFmtId="3" fontId="5" fillId="4" borderId="3" xfId="0" applyNumberFormat="1" applyFont="1" applyFill="1" applyBorder="1" applyAlignment="1">
      <alignment wrapText="1"/>
    </xf>
    <xf numFmtId="3" fontId="5" fillId="4" borderId="35" xfId="0" applyNumberFormat="1" applyFont="1" applyFill="1" applyBorder="1" applyAlignment="1">
      <alignment wrapText="1"/>
    </xf>
    <xf numFmtId="3" fontId="5" fillId="4" borderId="29" xfId="0" applyNumberFormat="1" applyFont="1" applyFill="1" applyBorder="1" applyAlignment="1">
      <alignment wrapText="1"/>
    </xf>
    <xf numFmtId="3" fontId="5" fillId="4" borderId="36" xfId="0" applyNumberFormat="1" applyFont="1" applyFill="1" applyBorder="1" applyAlignment="1">
      <alignment wrapText="1"/>
    </xf>
    <xf numFmtId="3" fontId="0" fillId="9" borderId="3" xfId="0" applyNumberFormat="1" applyFont="1" applyFill="1" applyBorder="1" applyAlignment="1">
      <alignment wrapText="1"/>
    </xf>
    <xf numFmtId="3" fontId="0" fillId="9" borderId="35" xfId="0" applyNumberFormat="1" applyFont="1" applyFill="1" applyBorder="1" applyAlignment="1">
      <alignment wrapText="1"/>
    </xf>
    <xf numFmtId="3" fontId="4" fillId="4" borderId="36" xfId="0" applyNumberFormat="1" applyFont="1" applyFill="1" applyBorder="1" applyAlignment="1">
      <alignment wrapText="1"/>
    </xf>
    <xf numFmtId="3" fontId="4" fillId="4" borderId="2" xfId="0" applyNumberFormat="1" applyFont="1" applyFill="1" applyBorder="1" applyAlignment="1">
      <alignment wrapText="1"/>
    </xf>
    <xf numFmtId="3" fontId="4" fillId="4" borderId="37" xfId="0" applyNumberFormat="1" applyFont="1" applyFill="1" applyBorder="1" applyAlignment="1">
      <alignment wrapText="1"/>
    </xf>
    <xf numFmtId="3" fontId="4" fillId="4" borderId="28" xfId="0" applyNumberFormat="1" applyFont="1" applyFill="1" applyBorder="1" applyAlignment="1">
      <alignment wrapText="1"/>
    </xf>
    <xf numFmtId="3" fontId="4" fillId="4" borderId="38" xfId="0" applyNumberFormat="1" applyFont="1" applyFill="1" applyBorder="1" applyAlignment="1">
      <alignment wrapText="1"/>
    </xf>
    <xf numFmtId="3" fontId="5" fillId="5" borderId="37" xfId="0" applyNumberFormat="1" applyFont="1" applyFill="1" applyBorder="1" applyAlignment="1">
      <alignment wrapText="1"/>
    </xf>
    <xf numFmtId="3" fontId="5" fillId="5" borderId="34" xfId="0" applyNumberFormat="1" applyFont="1" applyFill="1" applyBorder="1" applyAlignment="1">
      <alignment wrapText="1"/>
    </xf>
    <xf numFmtId="3" fontId="4" fillId="9" borderId="3" xfId="0" applyNumberFormat="1" applyFont="1" applyFill="1" applyBorder="1" applyAlignment="1">
      <alignment wrapText="1"/>
    </xf>
    <xf numFmtId="3" fontId="4" fillId="7" borderId="39" xfId="0" applyNumberFormat="1" applyFont="1" applyFill="1" applyBorder="1" applyAlignment="1">
      <alignment wrapText="1"/>
    </xf>
    <xf numFmtId="3" fontId="4" fillId="7" borderId="40" xfId="0" applyNumberFormat="1" applyFont="1" applyFill="1" applyBorder="1" applyAlignment="1">
      <alignment wrapText="1"/>
    </xf>
    <xf numFmtId="0" fontId="0" fillId="4" borderId="2" xfId="0" applyFont="1" applyFill="1" applyBorder="1" applyAlignment="1">
      <alignment/>
    </xf>
    <xf numFmtId="0" fontId="7" fillId="4" borderId="24" xfId="0" applyFont="1" applyFill="1" applyBorder="1" applyAlignment="1">
      <alignment/>
    </xf>
    <xf numFmtId="3" fontId="4" fillId="4" borderId="0" xfId="0" applyNumberFormat="1" applyFont="1" applyFill="1" applyBorder="1" applyAlignment="1">
      <alignment wrapText="1"/>
    </xf>
    <xf numFmtId="3" fontId="5" fillId="5" borderId="2" xfId="0" applyNumberFormat="1" applyFont="1" applyFill="1" applyBorder="1" applyAlignment="1">
      <alignment/>
    </xf>
    <xf numFmtId="3" fontId="5" fillId="4" borderId="28" xfId="0" applyNumberFormat="1" applyFont="1" applyFill="1" applyBorder="1" applyAlignment="1">
      <alignment/>
    </xf>
    <xf numFmtId="3" fontId="5" fillId="4" borderId="41" xfId="0" applyNumberFormat="1" applyFont="1" applyFill="1" applyBorder="1" applyAlignment="1">
      <alignment/>
    </xf>
    <xf numFmtId="3" fontId="7" fillId="4" borderId="2" xfId="0" applyNumberFormat="1" applyFont="1" applyFill="1" applyBorder="1" applyAlignment="1">
      <alignment/>
    </xf>
    <xf numFmtId="3" fontId="7" fillId="4" borderId="29" xfId="0" applyNumberFormat="1" applyFont="1" applyFill="1" applyBorder="1" applyAlignment="1">
      <alignment/>
    </xf>
    <xf numFmtId="3" fontId="0" fillId="4" borderId="41" xfId="0" applyNumberFormat="1" applyFont="1" applyFill="1" applyBorder="1" applyAlignment="1">
      <alignment/>
    </xf>
    <xf numFmtId="0" fontId="12" fillId="4" borderId="3" xfId="0" applyFont="1" applyFill="1" applyBorder="1" applyAlignment="1">
      <alignment horizontal="center" vertical="center"/>
    </xf>
    <xf numFmtId="3" fontId="12" fillId="4" borderId="3" xfId="0" applyNumberFormat="1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wrapText="1"/>
    </xf>
    <xf numFmtId="3" fontId="0" fillId="4" borderId="42" xfId="0" applyNumberFormat="1" applyFont="1" applyFill="1" applyBorder="1" applyAlignment="1">
      <alignment wrapText="1"/>
    </xf>
    <xf numFmtId="3" fontId="4" fillId="4" borderId="3" xfId="0" applyNumberFormat="1" applyFont="1" applyFill="1" applyBorder="1" applyAlignment="1">
      <alignment/>
    </xf>
    <xf numFmtId="3" fontId="5" fillId="5" borderId="43" xfId="0" applyNumberFormat="1" applyFont="1" applyFill="1" applyBorder="1" applyAlignment="1">
      <alignment wrapText="1"/>
    </xf>
    <xf numFmtId="3" fontId="5" fillId="5" borderId="44" xfId="0" applyNumberFormat="1" applyFont="1" applyFill="1" applyBorder="1" applyAlignment="1">
      <alignment wrapText="1"/>
    </xf>
    <xf numFmtId="0" fontId="7" fillId="4" borderId="21" xfId="0" applyFont="1" applyFill="1" applyBorder="1" applyAlignment="1">
      <alignment/>
    </xf>
    <xf numFmtId="3" fontId="5" fillId="4" borderId="43" xfId="0" applyNumberFormat="1" applyFont="1" applyFill="1" applyBorder="1" applyAlignment="1">
      <alignment wrapText="1"/>
    </xf>
    <xf numFmtId="3" fontId="5" fillId="4" borderId="44" xfId="0" applyNumberFormat="1" applyFont="1" applyFill="1" applyBorder="1" applyAlignment="1">
      <alignment wrapText="1"/>
    </xf>
    <xf numFmtId="0" fontId="7" fillId="4" borderId="2" xfId="0" applyFont="1" applyFill="1" applyBorder="1" applyAlignment="1">
      <alignment/>
    </xf>
    <xf numFmtId="0" fontId="0" fillId="4" borderId="2" xfId="0" applyFont="1" applyFill="1" applyBorder="1" applyAlignment="1">
      <alignment wrapText="1"/>
    </xf>
    <xf numFmtId="3" fontId="0" fillId="4" borderId="2" xfId="0" applyNumberFormat="1" applyFont="1" applyFill="1" applyBorder="1" applyAlignment="1">
      <alignment wrapText="1"/>
    </xf>
    <xf numFmtId="3" fontId="0" fillId="4" borderId="43" xfId="0" applyNumberFormat="1" applyFont="1" applyFill="1" applyBorder="1" applyAlignment="1">
      <alignment wrapText="1"/>
    </xf>
    <xf numFmtId="3" fontId="0" fillId="4" borderId="44" xfId="0" applyNumberFormat="1" applyFont="1" applyFill="1" applyBorder="1" applyAlignment="1">
      <alignment wrapText="1"/>
    </xf>
    <xf numFmtId="3" fontId="0" fillId="4" borderId="34" xfId="0" applyNumberFormat="1" applyFont="1" applyFill="1" applyBorder="1" applyAlignment="1">
      <alignment wrapText="1"/>
    </xf>
    <xf numFmtId="0" fontId="5" fillId="4" borderId="2" xfId="0" applyFont="1" applyFill="1" applyBorder="1" applyAlignment="1">
      <alignment/>
    </xf>
    <xf numFmtId="0" fontId="4" fillId="4" borderId="2" xfId="0" applyFont="1" applyFill="1" applyBorder="1" applyAlignment="1">
      <alignment/>
    </xf>
    <xf numFmtId="3" fontId="7" fillId="4" borderId="24" xfId="0" applyNumberFormat="1" applyFont="1" applyFill="1" applyBorder="1" applyAlignment="1">
      <alignment wrapText="1"/>
    </xf>
    <xf numFmtId="0" fontId="10" fillId="4" borderId="3" xfId="0" applyFont="1" applyFill="1" applyBorder="1" applyAlignment="1">
      <alignment/>
    </xf>
    <xf numFmtId="0" fontId="12" fillId="4" borderId="3" xfId="0" applyFont="1" applyFill="1" applyBorder="1" applyAlignment="1">
      <alignment horizontal="center" wrapText="1"/>
    </xf>
    <xf numFmtId="3" fontId="12" fillId="4" borderId="3" xfId="0" applyNumberFormat="1" applyFont="1" applyFill="1" applyBorder="1" applyAlignment="1">
      <alignment horizontal="center"/>
    </xf>
    <xf numFmtId="3" fontId="0" fillId="4" borderId="3" xfId="0" applyNumberFormat="1" applyFont="1" applyFill="1" applyBorder="1" applyAlignment="1">
      <alignment/>
    </xf>
    <xf numFmtId="0" fontId="0" fillId="4" borderId="3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/>
    </xf>
    <xf numFmtId="3" fontId="12" fillId="4" borderId="3" xfId="0" applyNumberFormat="1" applyFont="1" applyFill="1" applyBorder="1" applyAlignment="1">
      <alignment horizontal="right"/>
    </xf>
    <xf numFmtId="0" fontId="0" fillId="4" borderId="2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left"/>
    </xf>
    <xf numFmtId="3" fontId="7" fillId="4" borderId="24" xfId="0" applyNumberFormat="1" applyFont="1" applyFill="1" applyBorder="1" applyAlignment="1">
      <alignment horizontal="right"/>
    </xf>
    <xf numFmtId="3" fontId="5" fillId="5" borderId="2" xfId="0" applyNumberFormat="1" applyFont="1" applyFill="1" applyBorder="1" applyAlignment="1">
      <alignment horizontal="right"/>
    </xf>
    <xf numFmtId="3" fontId="0" fillId="4" borderId="3" xfId="0" applyNumberFormat="1" applyFont="1" applyFill="1" applyBorder="1" applyAlignment="1">
      <alignment horizontal="right"/>
    </xf>
    <xf numFmtId="0" fontId="4" fillId="4" borderId="45" xfId="0" applyFont="1" applyFill="1" applyBorder="1" applyAlignment="1">
      <alignment/>
    </xf>
    <xf numFmtId="3" fontId="4" fillId="4" borderId="45" xfId="0" applyNumberFormat="1" applyFont="1" applyFill="1" applyBorder="1" applyAlignment="1">
      <alignment horizontal="right"/>
    </xf>
    <xf numFmtId="0" fontId="0" fillId="4" borderId="29" xfId="0" applyFont="1" applyFill="1" applyBorder="1" applyAlignment="1">
      <alignment wrapText="1"/>
    </xf>
    <xf numFmtId="0" fontId="5" fillId="0" borderId="28" xfId="0" applyFont="1" applyBorder="1" applyAlignment="1">
      <alignment/>
    </xf>
    <xf numFmtId="0" fontId="0" fillId="0" borderId="42" xfId="0" applyFont="1" applyBorder="1" applyAlignment="1">
      <alignment wrapText="1"/>
    </xf>
    <xf numFmtId="3" fontId="4" fillId="0" borderId="46" xfId="0" applyNumberFormat="1" applyFont="1" applyBorder="1" applyAlignment="1">
      <alignment wrapText="1"/>
    </xf>
    <xf numFmtId="0" fontId="5" fillId="0" borderId="2" xfId="0" applyFont="1" applyBorder="1" applyAlignment="1">
      <alignment/>
    </xf>
    <xf numFmtId="0" fontId="5" fillId="2" borderId="28" xfId="0" applyFont="1" applyFill="1" applyBorder="1" applyAlignment="1">
      <alignment/>
    </xf>
    <xf numFmtId="3" fontId="4" fillId="5" borderId="26" xfId="0" applyNumberFormat="1" applyFont="1" applyFill="1" applyBorder="1" applyAlignment="1">
      <alignment wrapText="1"/>
    </xf>
    <xf numFmtId="3" fontId="5" fillId="4" borderId="28" xfId="0" applyNumberFormat="1" applyFont="1" applyFill="1" applyBorder="1" applyAlignment="1">
      <alignment horizontal="right"/>
    </xf>
    <xf numFmtId="3" fontId="4" fillId="4" borderId="47" xfId="0" applyNumberFormat="1" applyFont="1" applyFill="1" applyBorder="1" applyAlignment="1">
      <alignment horizontal="right"/>
    </xf>
    <xf numFmtId="3" fontId="5" fillId="5" borderId="0" xfId="0" applyNumberFormat="1" applyFont="1" applyFill="1" applyBorder="1" applyAlignment="1">
      <alignment wrapText="1"/>
    </xf>
    <xf numFmtId="3" fontId="5" fillId="7" borderId="0" xfId="0" applyNumberFormat="1" applyFont="1" applyFill="1" applyBorder="1" applyAlignment="1">
      <alignment wrapText="1"/>
    </xf>
    <xf numFmtId="0" fontId="0" fillId="0" borderId="30" xfId="0" applyFont="1" applyBorder="1" applyAlignment="1">
      <alignment wrapText="1"/>
    </xf>
    <xf numFmtId="0" fontId="4" fillId="0" borderId="47" xfId="0" applyFont="1" applyBorder="1" applyAlignment="1">
      <alignment wrapText="1"/>
    </xf>
    <xf numFmtId="0" fontId="4" fillId="0" borderId="2" xfId="0" applyFont="1" applyBorder="1" applyAlignment="1">
      <alignment wrapText="1"/>
    </xf>
    <xf numFmtId="3" fontId="4" fillId="4" borderId="47" xfId="0" applyNumberFormat="1" applyFont="1" applyFill="1" applyBorder="1" applyAlignment="1">
      <alignment/>
    </xf>
    <xf numFmtId="0" fontId="5" fillId="4" borderId="21" xfId="0" applyFont="1" applyFill="1" applyBorder="1" applyAlignment="1">
      <alignment/>
    </xf>
    <xf numFmtId="0" fontId="7" fillId="5" borderId="2" xfId="0" applyFont="1" applyFill="1" applyBorder="1" applyAlignment="1">
      <alignment/>
    </xf>
    <xf numFmtId="3" fontId="0" fillId="4" borderId="48" xfId="0" applyNumberFormat="1" applyFont="1" applyFill="1" applyBorder="1" applyAlignment="1">
      <alignment wrapText="1"/>
    </xf>
    <xf numFmtId="3" fontId="0" fillId="4" borderId="49" xfId="0" applyNumberFormat="1" applyFont="1" applyFill="1" applyBorder="1" applyAlignment="1">
      <alignment wrapText="1"/>
    </xf>
    <xf numFmtId="3" fontId="0" fillId="4" borderId="50" xfId="0" applyNumberFormat="1" applyFont="1" applyFill="1" applyBorder="1" applyAlignment="1">
      <alignment wrapText="1"/>
    </xf>
    <xf numFmtId="0" fontId="0" fillId="4" borderId="3" xfId="0" applyFont="1" applyFill="1" applyBorder="1" applyAlignment="1">
      <alignment horizontal="center"/>
    </xf>
    <xf numFmtId="0" fontId="0" fillId="4" borderId="51" xfId="0" applyFont="1" applyFill="1" applyBorder="1" applyAlignment="1">
      <alignment/>
    </xf>
    <xf numFmtId="3" fontId="0" fillId="4" borderId="51" xfId="0" applyNumberFormat="1" applyFont="1" applyFill="1" applyBorder="1" applyAlignment="1">
      <alignment/>
    </xf>
    <xf numFmtId="0" fontId="4" fillId="4" borderId="52" xfId="0" applyFont="1" applyFill="1" applyAlignment="1">
      <alignment horizontal="right" vertical="center"/>
    </xf>
    <xf numFmtId="0" fontId="4" fillId="4" borderId="53" xfId="0" applyFont="1" applyFill="1" applyBorder="1" applyAlignment="1">
      <alignment horizontal="right"/>
    </xf>
    <xf numFmtId="3" fontId="4" fillId="4" borderId="53" xfId="0" applyNumberFormat="1" applyFont="1" applyFill="1" applyBorder="1" applyAlignment="1">
      <alignment horizontal="right"/>
    </xf>
    <xf numFmtId="3" fontId="5" fillId="5" borderId="28" xfId="0" applyNumberFormat="1" applyFont="1" applyFill="1" applyBorder="1" applyAlignment="1">
      <alignment/>
    </xf>
    <xf numFmtId="3" fontId="0" fillId="4" borderId="21" xfId="0" applyNumberFormat="1" applyFont="1" applyFill="1" applyBorder="1" applyAlignment="1">
      <alignment/>
    </xf>
    <xf numFmtId="0" fontId="7" fillId="4" borderId="28" xfId="0" applyFont="1" applyFill="1" applyBorder="1" applyAlignment="1">
      <alignment/>
    </xf>
    <xf numFmtId="0" fontId="4" fillId="4" borderId="21" xfId="0" applyFont="1" applyFill="1" applyBorder="1" applyAlignment="1">
      <alignment/>
    </xf>
    <xf numFmtId="3" fontId="5" fillId="4" borderId="0" xfId="0" applyNumberFormat="1" applyFont="1" applyFill="1" applyBorder="1" applyAlignment="1">
      <alignment wrapText="1"/>
    </xf>
    <xf numFmtId="0" fontId="12" fillId="4" borderId="21" xfId="0" applyFont="1" applyFill="1" applyBorder="1" applyAlignment="1">
      <alignment horizontal="center" vertical="center"/>
    </xf>
    <xf numFmtId="3" fontId="12" fillId="4" borderId="0" xfId="0" applyNumberFormat="1" applyFont="1" applyFill="1" applyBorder="1" applyAlignment="1">
      <alignment horizontal="center" vertical="center" wrapText="1"/>
    </xf>
    <xf numFmtId="3" fontId="7" fillId="4" borderId="54" xfId="0" applyNumberFormat="1" applyFont="1" applyFill="1" applyBorder="1" applyAlignment="1">
      <alignment wrapText="1"/>
    </xf>
    <xf numFmtId="0" fontId="7" fillId="5" borderId="28" xfId="0" applyFont="1" applyFill="1" applyBorder="1" applyAlignment="1">
      <alignment/>
    </xf>
    <xf numFmtId="3" fontId="0" fillId="4" borderId="31" xfId="0" applyNumberFormat="1" applyFont="1" applyFill="1" applyBorder="1" applyAlignment="1">
      <alignment wrapText="1"/>
    </xf>
    <xf numFmtId="3" fontId="0" fillId="4" borderId="42" xfId="0" applyNumberFormat="1" applyFont="1" applyFill="1" applyBorder="1" applyAlignment="1">
      <alignment/>
    </xf>
    <xf numFmtId="0" fontId="7" fillId="4" borderId="55" xfId="0" applyFont="1" applyFill="1" applyBorder="1" applyAlignment="1">
      <alignment/>
    </xf>
    <xf numFmtId="3" fontId="7" fillId="4" borderId="55" xfId="0" applyNumberFormat="1" applyFont="1" applyFill="1" applyBorder="1" applyAlignment="1">
      <alignment/>
    </xf>
    <xf numFmtId="0" fontId="0" fillId="4" borderId="42" xfId="0" applyFont="1" applyFill="1" applyBorder="1" applyAlignment="1">
      <alignment/>
    </xf>
    <xf numFmtId="0" fontId="5" fillId="5" borderId="56" xfId="0" applyFont="1" applyFill="1" applyBorder="1" applyAlignment="1">
      <alignment/>
    </xf>
    <xf numFmtId="0" fontId="7" fillId="4" borderId="39" xfId="0" applyFont="1" applyFill="1" applyBorder="1" applyAlignment="1">
      <alignment/>
    </xf>
    <xf numFmtId="0" fontId="0" fillId="4" borderId="0" xfId="0" applyFill="1" applyAlignment="1">
      <alignment/>
    </xf>
    <xf numFmtId="0" fontId="0" fillId="4" borderId="26" xfId="0" applyFill="1" applyBorder="1" applyAlignment="1">
      <alignment/>
    </xf>
    <xf numFmtId="0" fontId="5" fillId="5" borderId="28" xfId="0" applyFont="1" applyFill="1" applyBorder="1" applyAlignment="1">
      <alignment wrapText="1"/>
    </xf>
    <xf numFmtId="3" fontId="5" fillId="5" borderId="28" xfId="0" applyNumberFormat="1" applyFont="1" applyFill="1" applyBorder="1" applyAlignment="1">
      <alignment wrapText="1"/>
    </xf>
    <xf numFmtId="3" fontId="5" fillId="5" borderId="56" xfId="0" applyNumberFormat="1" applyFont="1" applyFill="1" applyBorder="1" applyAlignment="1">
      <alignment wrapText="1"/>
    </xf>
    <xf numFmtId="3" fontId="5" fillId="4" borderId="37" xfId="0" applyNumberFormat="1" applyFont="1" applyFill="1" applyBorder="1" applyAlignment="1">
      <alignment wrapText="1"/>
    </xf>
    <xf numFmtId="0" fontId="0" fillId="4" borderId="29" xfId="0" applyFont="1" applyFill="1" applyBorder="1" applyAlignment="1">
      <alignment wrapText="1" shrinkToFit="1"/>
    </xf>
    <xf numFmtId="3" fontId="0" fillId="4" borderId="36" xfId="0" applyNumberFormat="1" applyFont="1" applyFill="1" applyBorder="1" applyAlignment="1">
      <alignment/>
    </xf>
    <xf numFmtId="3" fontId="0" fillId="4" borderId="50" xfId="0" applyNumberFormat="1" applyFont="1" applyFill="1" applyBorder="1" applyAlignment="1">
      <alignment/>
    </xf>
    <xf numFmtId="3" fontId="4" fillId="4" borderId="37" xfId="0" applyNumberFormat="1" applyFont="1" applyFill="1" applyBorder="1" applyAlignment="1">
      <alignment/>
    </xf>
    <xf numFmtId="3" fontId="4" fillId="4" borderId="34" xfId="0" applyNumberFormat="1" applyFont="1" applyFill="1" applyBorder="1" applyAlignment="1">
      <alignment/>
    </xf>
    <xf numFmtId="0" fontId="0" fillId="4" borderId="41" xfId="0" applyFont="1" applyFill="1" applyBorder="1" applyAlignment="1">
      <alignment/>
    </xf>
    <xf numFmtId="3" fontId="0" fillId="4" borderId="57" xfId="0" applyNumberFormat="1" applyFont="1" applyFill="1" applyBorder="1" applyAlignment="1">
      <alignment/>
    </xf>
    <xf numFmtId="3" fontId="0" fillId="4" borderId="58" xfId="0" applyNumberFormat="1" applyFont="1" applyFill="1" applyBorder="1" applyAlignment="1">
      <alignment/>
    </xf>
    <xf numFmtId="0" fontId="4" fillId="4" borderId="30" xfId="0" applyFont="1" applyFill="1" applyBorder="1" applyAlignment="1">
      <alignment/>
    </xf>
    <xf numFmtId="3" fontId="4" fillId="4" borderId="30" xfId="0" applyNumberFormat="1" applyFont="1" applyFill="1" applyBorder="1" applyAlignment="1">
      <alignment/>
    </xf>
    <xf numFmtId="3" fontId="4" fillId="4" borderId="59" xfId="0" applyNumberFormat="1" applyFont="1" applyFill="1" applyBorder="1" applyAlignment="1">
      <alignment/>
    </xf>
    <xf numFmtId="3" fontId="4" fillId="4" borderId="60" xfId="0" applyNumberFormat="1" applyFont="1" applyFill="1" applyBorder="1" applyAlignment="1">
      <alignment/>
    </xf>
    <xf numFmtId="3" fontId="4" fillId="4" borderId="38" xfId="0" applyNumberFormat="1" applyFont="1" applyFill="1" applyBorder="1" applyAlignment="1">
      <alignment/>
    </xf>
    <xf numFmtId="3" fontId="4" fillId="4" borderId="56" xfId="0" applyNumberFormat="1" applyFont="1" applyFill="1" applyBorder="1" applyAlignment="1">
      <alignment/>
    </xf>
    <xf numFmtId="0" fontId="5" fillId="5" borderId="28" xfId="0" applyFont="1" applyFill="1" applyBorder="1" applyAlignment="1">
      <alignment horizontal="right"/>
    </xf>
    <xf numFmtId="0" fontId="5" fillId="5" borderId="2" xfId="0" applyFont="1" applyFill="1" applyBorder="1" applyAlignment="1">
      <alignment horizontal="right"/>
    </xf>
    <xf numFmtId="0" fontId="0" fillId="4" borderId="4" xfId="0" applyFont="1" applyFill="1" applyBorder="1" applyAlignment="1">
      <alignment horizontal="right"/>
    </xf>
    <xf numFmtId="0" fontId="5" fillId="5" borderId="61" xfId="0" applyFont="1" applyFill="1" applyBorder="1" applyAlignment="1">
      <alignment horizontal="right"/>
    </xf>
    <xf numFmtId="0" fontId="0" fillId="4" borderId="21" xfId="0" applyFont="1" applyFill="1" applyBorder="1" applyAlignment="1">
      <alignment horizontal="right"/>
    </xf>
    <xf numFmtId="0" fontId="5" fillId="4" borderId="28" xfId="0" applyFont="1" applyFill="1" applyBorder="1" applyAlignment="1">
      <alignment/>
    </xf>
    <xf numFmtId="3" fontId="5" fillId="4" borderId="38" xfId="0" applyNumberFormat="1" applyFont="1" applyFill="1" applyBorder="1" applyAlignment="1">
      <alignment wrapText="1"/>
    </xf>
    <xf numFmtId="3" fontId="5" fillId="4" borderId="56" xfId="0" applyNumberFormat="1" applyFont="1" applyFill="1" applyBorder="1" applyAlignment="1">
      <alignment wrapText="1"/>
    </xf>
    <xf numFmtId="3" fontId="0" fillId="4" borderId="36" xfId="0" applyNumberFormat="1" applyFont="1" applyFill="1" applyBorder="1" applyAlignment="1">
      <alignment wrapText="1"/>
    </xf>
    <xf numFmtId="3" fontId="7" fillId="4" borderId="2" xfId="0" applyNumberFormat="1" applyFont="1" applyFill="1" applyBorder="1" applyAlignment="1">
      <alignment wrapText="1"/>
    </xf>
    <xf numFmtId="3" fontId="7" fillId="4" borderId="37" xfId="0" applyNumberFormat="1" applyFont="1" applyFill="1" applyBorder="1" applyAlignment="1">
      <alignment wrapText="1"/>
    </xf>
    <xf numFmtId="0" fontId="4" fillId="4" borderId="28" xfId="0" applyFont="1" applyFill="1" applyBorder="1" applyAlignment="1">
      <alignment/>
    </xf>
    <xf numFmtId="3" fontId="4" fillId="4" borderId="56" xfId="0" applyNumberFormat="1" applyFont="1" applyFill="1" applyBorder="1" applyAlignment="1">
      <alignment wrapText="1"/>
    </xf>
    <xf numFmtId="3" fontId="5" fillId="5" borderId="2" xfId="0" applyNumberFormat="1" applyFont="1" applyFill="1" applyBorder="1" applyAlignment="1">
      <alignment horizontal="right" wrapText="1"/>
    </xf>
    <xf numFmtId="3" fontId="5" fillId="5" borderId="37" xfId="0" applyNumberFormat="1" applyFont="1" applyFill="1" applyBorder="1" applyAlignment="1">
      <alignment horizontal="right" wrapText="1"/>
    </xf>
    <xf numFmtId="3" fontId="5" fillId="5" borderId="34" xfId="0" applyNumberFormat="1" applyFont="1" applyFill="1" applyBorder="1" applyAlignment="1">
      <alignment horizontal="right" wrapText="1"/>
    </xf>
    <xf numFmtId="0" fontId="5" fillId="4" borderId="61" xfId="0" applyFont="1" applyFill="1" applyBorder="1" applyAlignment="1">
      <alignment/>
    </xf>
    <xf numFmtId="3" fontId="5" fillId="4" borderId="28" xfId="0" applyNumberFormat="1" applyFont="1" applyFill="1" applyBorder="1" applyAlignment="1">
      <alignment horizontal="right" wrapText="1"/>
    </xf>
    <xf numFmtId="3" fontId="5" fillId="4" borderId="38" xfId="0" applyNumberFormat="1" applyFont="1" applyFill="1" applyBorder="1" applyAlignment="1">
      <alignment horizontal="right" wrapText="1"/>
    </xf>
    <xf numFmtId="3" fontId="5" fillId="4" borderId="56" xfId="0" applyNumberFormat="1" applyFont="1" applyFill="1" applyBorder="1" applyAlignment="1">
      <alignment horizontal="right" wrapText="1"/>
    </xf>
    <xf numFmtId="0" fontId="5" fillId="4" borderId="4" xfId="0" applyFont="1" applyFill="1" applyBorder="1" applyAlignment="1">
      <alignment/>
    </xf>
    <xf numFmtId="3" fontId="0" fillId="4" borderId="29" xfId="0" applyNumberFormat="1" applyFont="1" applyFill="1" applyBorder="1" applyAlignment="1">
      <alignment horizontal="right" wrapText="1"/>
    </xf>
    <xf numFmtId="3" fontId="0" fillId="4" borderId="36" xfId="0" applyNumberFormat="1" applyFont="1" applyFill="1" applyBorder="1" applyAlignment="1">
      <alignment horizontal="right" wrapText="1"/>
    </xf>
    <xf numFmtId="3" fontId="0" fillId="4" borderId="50" xfId="0" applyNumberFormat="1" applyFont="1" applyFill="1" applyBorder="1" applyAlignment="1">
      <alignment horizontal="right" wrapText="1"/>
    </xf>
    <xf numFmtId="3" fontId="4" fillId="4" borderId="2" xfId="0" applyNumberFormat="1" applyFont="1" applyFill="1" applyBorder="1" applyAlignment="1">
      <alignment horizontal="right" wrapText="1"/>
    </xf>
    <xf numFmtId="3" fontId="4" fillId="4" borderId="37" xfId="0" applyNumberFormat="1" applyFont="1" applyFill="1" applyBorder="1" applyAlignment="1">
      <alignment horizontal="right" wrapText="1"/>
    </xf>
    <xf numFmtId="3" fontId="4" fillId="4" borderId="34" xfId="0" applyNumberFormat="1" applyFont="1" applyFill="1" applyBorder="1" applyAlignment="1">
      <alignment horizontal="right" wrapText="1"/>
    </xf>
    <xf numFmtId="0" fontId="4" fillId="4" borderId="29" xfId="0" applyFont="1" applyFill="1" applyBorder="1" applyAlignment="1">
      <alignment wrapText="1"/>
    </xf>
    <xf numFmtId="3" fontId="4" fillId="4" borderId="29" xfId="0" applyNumberFormat="1" applyFont="1" applyFill="1" applyBorder="1" applyAlignment="1">
      <alignment horizontal="right" wrapText="1"/>
    </xf>
    <xf numFmtId="3" fontId="4" fillId="4" borderId="36" xfId="0" applyNumberFormat="1" applyFont="1" applyFill="1" applyBorder="1" applyAlignment="1">
      <alignment horizontal="right" wrapText="1"/>
    </xf>
    <xf numFmtId="3" fontId="5" fillId="0" borderId="28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9" xfId="0" applyFont="1" applyBorder="1" applyAlignment="1">
      <alignment/>
    </xf>
    <xf numFmtId="3" fontId="0" fillId="0" borderId="29" xfId="0" applyNumberFormat="1" applyFont="1" applyBorder="1" applyAlignment="1">
      <alignment/>
    </xf>
    <xf numFmtId="0" fontId="4" fillId="4" borderId="21" xfId="0" applyFont="1" applyFill="1" applyBorder="1" applyAlignment="1">
      <alignment wrapText="1"/>
    </xf>
    <xf numFmtId="3" fontId="4" fillId="4" borderId="21" xfId="0" applyNumberFormat="1" applyFont="1" applyFill="1" applyBorder="1" applyAlignment="1">
      <alignment wrapText="1"/>
    </xf>
    <xf numFmtId="3" fontId="4" fillId="4" borderId="62" xfId="0" applyNumberFormat="1" applyFont="1" applyFill="1" applyBorder="1" applyAlignment="1">
      <alignment wrapText="1"/>
    </xf>
    <xf numFmtId="3" fontId="4" fillId="4" borderId="21" xfId="0" applyNumberFormat="1" applyFont="1" applyFill="1" applyBorder="1" applyAlignment="1">
      <alignment/>
    </xf>
    <xf numFmtId="0" fontId="0" fillId="4" borderId="2" xfId="0" applyFont="1" applyFill="1" applyBorder="1" applyAlignment="1">
      <alignment horizontal="right"/>
    </xf>
    <xf numFmtId="3" fontId="5" fillId="4" borderId="56" xfId="0" applyNumberFormat="1" applyFont="1" applyFill="1" applyBorder="1" applyAlignment="1">
      <alignment/>
    </xf>
    <xf numFmtId="3" fontId="28" fillId="4" borderId="2" xfId="0" applyNumberFormat="1" applyFont="1" applyFill="1" applyBorder="1" applyAlignment="1" applyProtection="1">
      <alignment/>
      <protection/>
    </xf>
    <xf numFmtId="3" fontId="0" fillId="4" borderId="2" xfId="0" applyNumberFormat="1" applyFont="1" applyFill="1" applyBorder="1" applyAlignment="1">
      <alignment/>
    </xf>
    <xf numFmtId="3" fontId="29" fillId="4" borderId="2" xfId="0" applyNumberFormat="1" applyFont="1" applyFill="1" applyBorder="1" applyAlignment="1" applyProtection="1">
      <alignment/>
      <protection/>
    </xf>
    <xf numFmtId="3" fontId="0" fillId="4" borderId="28" xfId="0" applyNumberFormat="1" applyFont="1" applyFill="1" applyBorder="1" applyAlignment="1">
      <alignment/>
    </xf>
    <xf numFmtId="0" fontId="5" fillId="4" borderId="3" xfId="0" applyFont="1" applyFill="1" applyBorder="1" applyAlignment="1">
      <alignment/>
    </xf>
    <xf numFmtId="0" fontId="0" fillId="4" borderId="63" xfId="0" applyFont="1" applyFill="1" applyBorder="1" applyAlignment="1">
      <alignment wrapText="1"/>
    </xf>
    <xf numFmtId="3" fontId="0" fillId="4" borderId="63" xfId="0" applyNumberFormat="1" applyFont="1" applyFill="1" applyBorder="1" applyAlignment="1">
      <alignment wrapText="1"/>
    </xf>
    <xf numFmtId="0" fontId="0" fillId="4" borderId="64" xfId="0" applyFont="1" applyFill="1" applyBorder="1" applyAlignment="1">
      <alignment wrapText="1"/>
    </xf>
    <xf numFmtId="3" fontId="0" fillId="4" borderId="64" xfId="0" applyNumberFormat="1" applyFont="1" applyFill="1" applyBorder="1" applyAlignment="1">
      <alignment wrapText="1"/>
    </xf>
    <xf numFmtId="0" fontId="0" fillId="4" borderId="65" xfId="0" applyFont="1" applyFill="1" applyBorder="1" applyAlignment="1">
      <alignment/>
    </xf>
    <xf numFmtId="3" fontId="0" fillId="4" borderId="65" xfId="0" applyNumberFormat="1" applyFont="1" applyFill="1" applyBorder="1" applyAlignment="1">
      <alignment/>
    </xf>
    <xf numFmtId="0" fontId="4" fillId="4" borderId="47" xfId="0" applyFont="1" applyFill="1" applyBorder="1" applyAlignment="1">
      <alignment wrapText="1"/>
    </xf>
    <xf numFmtId="3" fontId="4" fillId="4" borderId="47" xfId="0" applyNumberFormat="1" applyFont="1" applyFill="1" applyBorder="1" applyAlignment="1">
      <alignment wrapText="1"/>
    </xf>
    <xf numFmtId="3" fontId="4" fillId="4" borderId="26" xfId="0" applyNumberFormat="1" applyFont="1" applyFill="1" applyBorder="1" applyAlignment="1">
      <alignment wrapText="1"/>
    </xf>
    <xf numFmtId="0" fontId="27" fillId="4" borderId="66" xfId="0" applyFont="1" applyFill="1" applyBorder="1" applyAlignment="1">
      <alignment horizontal="left" wrapText="1"/>
    </xf>
    <xf numFmtId="3" fontId="4" fillId="4" borderId="67" xfId="0" applyNumberFormat="1" applyFont="1" applyFill="1" applyBorder="1" applyAlignment="1">
      <alignment wrapText="1"/>
    </xf>
    <xf numFmtId="3" fontId="27" fillId="4" borderId="66" xfId="0" applyNumberFormat="1" applyFont="1" applyFill="1" applyBorder="1" applyAlignment="1">
      <alignment horizontal="right" wrapText="1"/>
    </xf>
    <xf numFmtId="0" fontId="5" fillId="4" borderId="28" xfId="0" applyFont="1" applyFill="1" applyBorder="1" applyAlignment="1">
      <alignment horizontal="left" wrapText="1"/>
    </xf>
    <xf numFmtId="3" fontId="5" fillId="4" borderId="2" xfId="0" applyNumberFormat="1" applyFont="1" applyFill="1" applyBorder="1" applyAlignment="1">
      <alignment horizontal="right" wrapText="1"/>
    </xf>
    <xf numFmtId="3" fontId="5" fillId="4" borderId="2" xfId="0" applyNumberFormat="1" applyFont="1" applyFill="1" applyBorder="1" applyAlignment="1">
      <alignment horizontal="right"/>
    </xf>
    <xf numFmtId="0" fontId="0" fillId="4" borderId="2" xfId="0" applyFont="1" applyFill="1" applyBorder="1" applyAlignment="1">
      <alignment horizontal="left"/>
    </xf>
    <xf numFmtId="3" fontId="0" fillId="4" borderId="2" xfId="0" applyNumberFormat="1" applyFont="1" applyFill="1" applyBorder="1" applyAlignment="1">
      <alignment horizontal="right" wrapText="1"/>
    </xf>
    <xf numFmtId="3" fontId="0" fillId="4" borderId="2" xfId="0" applyNumberFormat="1" applyFont="1" applyFill="1" applyBorder="1" applyAlignment="1">
      <alignment horizontal="right"/>
    </xf>
    <xf numFmtId="0" fontId="5" fillId="5" borderId="2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left" wrapText="1"/>
    </xf>
    <xf numFmtId="0" fontId="0" fillId="4" borderId="28" xfId="0" applyFont="1" applyFill="1" applyBorder="1" applyAlignment="1">
      <alignment horizontal="left"/>
    </xf>
    <xf numFmtId="3" fontId="0" fillId="4" borderId="28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right"/>
    </xf>
    <xf numFmtId="0" fontId="4" fillId="4" borderId="3" xfId="0" applyFont="1" applyFill="1" applyBorder="1" applyAlignment="1">
      <alignment/>
    </xf>
    <xf numFmtId="0" fontId="7" fillId="4" borderId="68" xfId="0" applyFont="1" applyFill="1" applyBorder="1" applyAlignment="1">
      <alignment wrapText="1"/>
    </xf>
    <xf numFmtId="0" fontId="7" fillId="4" borderId="69" xfId="0" applyFont="1" applyFill="1" applyBorder="1" applyAlignment="1">
      <alignment wrapText="1"/>
    </xf>
    <xf numFmtId="3" fontId="7" fillId="4" borderId="68" xfId="0" applyNumberFormat="1" applyFont="1" applyFill="1" applyBorder="1" applyAlignment="1">
      <alignment wrapText="1"/>
    </xf>
    <xf numFmtId="0" fontId="7" fillId="4" borderId="70" xfId="0" applyFont="1" applyFill="1" applyBorder="1" applyAlignment="1">
      <alignment wrapText="1"/>
    </xf>
    <xf numFmtId="3" fontId="4" fillId="4" borderId="30" xfId="0" applyNumberFormat="1" applyFont="1" applyFill="1" applyBorder="1" applyAlignment="1">
      <alignment wrapText="1"/>
    </xf>
    <xf numFmtId="3" fontId="0" fillId="4" borderId="21" xfId="0" applyNumberFormat="1" applyFont="1" applyFill="1" applyBorder="1" applyAlignment="1">
      <alignment horizontal="right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/>
    </xf>
    <xf numFmtId="3" fontId="4" fillId="4" borderId="2" xfId="0" applyNumberFormat="1" applyFont="1" applyFill="1" applyBorder="1" applyAlignment="1">
      <alignment horizontal="right"/>
    </xf>
    <xf numFmtId="0" fontId="5" fillId="5" borderId="28" xfId="0" applyFont="1" applyFill="1" applyBorder="1" applyAlignment="1">
      <alignment horizontal="left" wrapText="1"/>
    </xf>
    <xf numFmtId="3" fontId="5" fillId="5" borderId="28" xfId="0" applyNumberFormat="1" applyFont="1" applyFill="1" applyBorder="1" applyAlignment="1">
      <alignment horizontal="right" wrapText="1"/>
    </xf>
    <xf numFmtId="0" fontId="0" fillId="4" borderId="46" xfId="0" applyFont="1" applyFill="1" applyBorder="1" applyAlignment="1">
      <alignment horizontal="left" wrapText="1"/>
    </xf>
    <xf numFmtId="3" fontId="0" fillId="4" borderId="46" xfId="0" applyNumberFormat="1" applyFont="1" applyFill="1" applyBorder="1" applyAlignment="1">
      <alignment horizontal="right" wrapText="1"/>
    </xf>
    <xf numFmtId="0" fontId="0" fillId="4" borderId="71" xfId="0" applyFont="1" applyFill="1" applyBorder="1" applyAlignment="1">
      <alignment horizontal="left" wrapText="1"/>
    </xf>
    <xf numFmtId="3" fontId="0" fillId="4" borderId="71" xfId="0" applyNumberFormat="1" applyFont="1" applyFill="1" applyBorder="1" applyAlignment="1">
      <alignment horizontal="right" wrapText="1"/>
    </xf>
    <xf numFmtId="3" fontId="7" fillId="4" borderId="3" xfId="0" applyNumberFormat="1" applyFont="1" applyFill="1" applyBorder="1" applyAlignment="1">
      <alignment horizontal="right"/>
    </xf>
    <xf numFmtId="0" fontId="5" fillId="5" borderId="28" xfId="0" applyFont="1" applyFill="1" applyBorder="1" applyAlignment="1">
      <alignment horizontal="left"/>
    </xf>
    <xf numFmtId="3" fontId="5" fillId="5" borderId="28" xfId="0" applyNumberFormat="1" applyFont="1" applyFill="1" applyBorder="1" applyAlignment="1">
      <alignment horizontal="right"/>
    </xf>
    <xf numFmtId="0" fontId="5" fillId="5" borderId="72" xfId="0" applyFont="1" applyFill="1" applyBorder="1" applyAlignment="1">
      <alignment horizontal="left"/>
    </xf>
    <xf numFmtId="3" fontId="5" fillId="5" borderId="72" xfId="0" applyNumberFormat="1" applyFont="1" applyFill="1" applyBorder="1" applyAlignment="1">
      <alignment wrapText="1"/>
    </xf>
    <xf numFmtId="3" fontId="5" fillId="5" borderId="72" xfId="0" applyNumberFormat="1" applyFont="1" applyFill="1" applyBorder="1" applyAlignment="1">
      <alignment horizontal="right"/>
    </xf>
    <xf numFmtId="0" fontId="4" fillId="5" borderId="2" xfId="0" applyFont="1" applyFill="1" applyBorder="1" applyAlignment="1">
      <alignment/>
    </xf>
    <xf numFmtId="0" fontId="4" fillId="4" borderId="47" xfId="0" applyFont="1" applyFill="1" applyBorder="1" applyAlignment="1">
      <alignment horizontal="left"/>
    </xf>
    <xf numFmtId="3" fontId="7" fillId="4" borderId="47" xfId="0" applyNumberFormat="1" applyFont="1" applyFill="1" applyBorder="1" applyAlignment="1">
      <alignment horizontal="right"/>
    </xf>
    <xf numFmtId="0" fontId="4" fillId="4" borderId="46" xfId="0" applyFont="1" applyFill="1" applyBorder="1" applyAlignment="1">
      <alignment horizontal="left"/>
    </xf>
    <xf numFmtId="3" fontId="4" fillId="4" borderId="46" xfId="0" applyNumberFormat="1" applyFont="1" applyFill="1" applyBorder="1" applyAlignment="1">
      <alignment wrapText="1"/>
    </xf>
    <xf numFmtId="3" fontId="7" fillId="4" borderId="46" xfId="0" applyNumberFormat="1" applyFont="1" applyFill="1" applyBorder="1" applyAlignment="1">
      <alignment horizontal="right"/>
    </xf>
    <xf numFmtId="0" fontId="5" fillId="4" borderId="28" xfId="0" applyFont="1" applyFill="1" applyBorder="1" applyAlignment="1">
      <alignment horizontal="left"/>
    </xf>
    <xf numFmtId="0" fontId="0" fillId="4" borderId="29" xfId="0" applyFont="1" applyFill="1" applyBorder="1" applyAlignment="1">
      <alignment horizontal="left"/>
    </xf>
    <xf numFmtId="3" fontId="0" fillId="4" borderId="29" xfId="0" applyNumberFormat="1" applyFont="1" applyFill="1" applyBorder="1" applyAlignment="1">
      <alignment horizontal="right"/>
    </xf>
    <xf numFmtId="3" fontId="4" fillId="4" borderId="3" xfId="0" applyNumberFormat="1" applyFont="1" applyFill="1" applyBorder="1" applyAlignment="1">
      <alignment horizontal="right" wrapText="1"/>
    </xf>
    <xf numFmtId="3" fontId="4" fillId="4" borderId="46" xfId="0" applyNumberFormat="1" applyFont="1" applyFill="1" applyBorder="1" applyAlignment="1">
      <alignment horizontal="right" wrapText="1"/>
    </xf>
    <xf numFmtId="0" fontId="4" fillId="4" borderId="32" xfId="0" applyFont="1" applyFill="1" applyBorder="1" applyAlignment="1">
      <alignment wrapText="1"/>
    </xf>
    <xf numFmtId="3" fontId="4" fillId="4" borderId="39" xfId="0" applyNumberFormat="1" applyFont="1" applyFill="1" applyBorder="1" applyAlignment="1">
      <alignment wrapText="1"/>
    </xf>
    <xf numFmtId="0" fontId="0" fillId="4" borderId="73" xfId="0" applyFont="1" applyFill="1" applyBorder="1" applyAlignment="1">
      <alignment/>
    </xf>
    <xf numFmtId="3" fontId="0" fillId="4" borderId="73" xfId="0" applyNumberFormat="1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0" fillId="4" borderId="52" xfId="0" applyFont="1" applyFill="1" applyAlignment="1">
      <alignment horizontal="center" vertical="center"/>
    </xf>
    <xf numFmtId="3" fontId="0" fillId="4" borderId="74" xfId="0" applyNumberFormat="1" applyFont="1" applyFill="1" applyBorder="1" applyAlignment="1">
      <alignment/>
    </xf>
    <xf numFmtId="3" fontId="4" fillId="4" borderId="45" xfId="0" applyNumberFormat="1" applyFont="1" applyFill="1" applyBorder="1" applyAlignment="1">
      <alignment/>
    </xf>
    <xf numFmtId="0" fontId="4" fillId="4" borderId="75" xfId="0" applyFont="1" applyFill="1" applyBorder="1" applyAlignment="1">
      <alignment/>
    </xf>
    <xf numFmtId="3" fontId="4" fillId="4" borderId="75" xfId="0" applyNumberFormat="1" applyFont="1" applyFill="1" applyBorder="1" applyAlignment="1">
      <alignment/>
    </xf>
    <xf numFmtId="0" fontId="4" fillId="4" borderId="76" xfId="0" applyFont="1" applyFill="1" applyBorder="1" applyAlignment="1">
      <alignment horizontal="right"/>
    </xf>
    <xf numFmtId="3" fontId="4" fillId="4" borderId="76" xfId="0" applyNumberFormat="1" applyFont="1" applyFill="1" applyBorder="1" applyAlignment="1">
      <alignment horizontal="right"/>
    </xf>
    <xf numFmtId="0" fontId="0" fillId="4" borderId="77" xfId="0" applyFont="1" applyFill="1" applyBorder="1" applyAlignment="1">
      <alignment horizontal="right"/>
    </xf>
    <xf numFmtId="3" fontId="0" fillId="4" borderId="77" xfId="0" applyNumberFormat="1" applyFont="1" applyFill="1" applyBorder="1" applyAlignment="1">
      <alignment horizontal="right"/>
    </xf>
    <xf numFmtId="0" fontId="0" fillId="4" borderId="77" xfId="0" applyFont="1" applyFill="1" applyBorder="1" applyAlignment="1">
      <alignment horizontal="left"/>
    </xf>
    <xf numFmtId="0" fontId="0" fillId="4" borderId="78" xfId="0" applyFont="1" applyFill="1" applyBorder="1" applyAlignment="1">
      <alignment wrapText="1"/>
    </xf>
    <xf numFmtId="3" fontId="0" fillId="4" borderId="78" xfId="0" applyNumberFormat="1" applyFont="1" applyFill="1" applyBorder="1" applyAlignment="1">
      <alignment/>
    </xf>
    <xf numFmtId="3" fontId="0" fillId="4" borderId="64" xfId="0" applyNumberFormat="1" applyFont="1" applyFill="1" applyBorder="1" applyAlignment="1">
      <alignment/>
    </xf>
    <xf numFmtId="0" fontId="0" fillId="4" borderId="64" xfId="0" applyFont="1" applyFill="1" applyBorder="1" applyAlignment="1">
      <alignment/>
    </xf>
    <xf numFmtId="3" fontId="0" fillId="4" borderId="78" xfId="0" applyNumberFormat="1" applyFont="1" applyFill="1" applyBorder="1" applyAlignment="1">
      <alignment wrapText="1"/>
    </xf>
    <xf numFmtId="0" fontId="0" fillId="4" borderId="78" xfId="0" applyFont="1" applyFill="1" applyBorder="1" applyAlignment="1">
      <alignment/>
    </xf>
    <xf numFmtId="3" fontId="12" fillId="4" borderId="0" xfId="0" applyNumberFormat="1" applyFont="1" applyFill="1" applyBorder="1" applyAlignment="1">
      <alignment horizontal="center" wrapText="1"/>
    </xf>
    <xf numFmtId="0" fontId="4" fillId="0" borderId="71" xfId="0" applyFont="1" applyBorder="1" applyAlignment="1">
      <alignment wrapText="1"/>
    </xf>
    <xf numFmtId="3" fontId="4" fillId="4" borderId="71" xfId="0" applyNumberFormat="1" applyFont="1" applyFill="1" applyBorder="1" applyAlignment="1">
      <alignment horizontal="right"/>
    </xf>
    <xf numFmtId="3" fontId="0" fillId="4" borderId="40" xfId="0" applyNumberFormat="1" applyFont="1" applyFill="1" applyBorder="1" applyAlignment="1">
      <alignment wrapText="1"/>
    </xf>
    <xf numFmtId="3" fontId="0" fillId="4" borderId="79" xfId="0" applyNumberFormat="1" applyFont="1" applyFill="1" applyBorder="1" applyAlignment="1">
      <alignment wrapText="1"/>
    </xf>
    <xf numFmtId="3" fontId="0" fillId="4" borderId="78" xfId="0" applyNumberFormat="1" applyFont="1" applyFill="1" applyBorder="1" applyAlignment="1">
      <alignment horizontal="right"/>
    </xf>
    <xf numFmtId="3" fontId="0" fillId="4" borderId="80" xfId="0" applyNumberFormat="1" applyFont="1" applyFill="1" applyBorder="1" applyAlignment="1">
      <alignment wrapText="1"/>
    </xf>
    <xf numFmtId="3" fontId="0" fillId="4" borderId="64" xfId="0" applyNumberFormat="1" applyFont="1" applyFill="1" applyBorder="1" applyAlignment="1">
      <alignment horizontal="right"/>
    </xf>
    <xf numFmtId="3" fontId="0" fillId="4" borderId="0" xfId="0" applyNumberFormat="1" applyFont="1" applyFill="1" applyBorder="1" applyAlignment="1">
      <alignment wrapText="1"/>
    </xf>
    <xf numFmtId="0" fontId="0" fillId="4" borderId="81" xfId="0" applyFont="1" applyFill="1" applyBorder="1" applyAlignment="1">
      <alignment wrapText="1"/>
    </xf>
    <xf numFmtId="3" fontId="0" fillId="4" borderId="82" xfId="0" applyNumberFormat="1" applyFont="1" applyFill="1" applyBorder="1" applyAlignment="1">
      <alignment wrapText="1"/>
    </xf>
    <xf numFmtId="3" fontId="0" fillId="4" borderId="81" xfId="0" applyNumberFormat="1" applyFont="1" applyFill="1" applyBorder="1" applyAlignment="1">
      <alignment horizontal="right"/>
    </xf>
    <xf numFmtId="0" fontId="4" fillId="4" borderId="46" xfId="0" applyFont="1" applyFill="1" applyBorder="1" applyAlignment="1">
      <alignment wrapText="1"/>
    </xf>
    <xf numFmtId="3" fontId="4" fillId="4" borderId="83" xfId="0" applyNumberFormat="1" applyFont="1" applyFill="1" applyBorder="1" applyAlignment="1">
      <alignment wrapText="1"/>
    </xf>
    <xf numFmtId="3" fontId="4" fillId="4" borderId="46" xfId="0" applyNumberFormat="1" applyFont="1" applyFill="1" applyBorder="1" applyAlignment="1">
      <alignment horizontal="right"/>
    </xf>
    <xf numFmtId="0" fontId="4" fillId="4" borderId="84" xfId="0" applyFont="1" applyFill="1" applyBorder="1" applyAlignment="1">
      <alignment wrapText="1"/>
    </xf>
    <xf numFmtId="3" fontId="4" fillId="4" borderId="85" xfId="0" applyNumberFormat="1" applyFont="1" applyFill="1" applyBorder="1" applyAlignment="1">
      <alignment wrapText="1"/>
    </xf>
    <xf numFmtId="3" fontId="4" fillId="4" borderId="84" xfId="0" applyNumberFormat="1" applyFont="1" applyFill="1" applyBorder="1" applyAlignment="1">
      <alignment horizontal="right"/>
    </xf>
    <xf numFmtId="0" fontId="4" fillId="4" borderId="52" xfId="0" applyFont="1" applyFill="1" applyAlignment="1">
      <alignment horizontal="right"/>
    </xf>
    <xf numFmtId="0" fontId="0" fillId="4" borderId="74" xfId="0" applyFont="1" applyFill="1" applyBorder="1" applyAlignment="1">
      <alignment/>
    </xf>
    <xf numFmtId="0" fontId="4" fillId="4" borderId="4" xfId="0" applyFont="1" applyFill="1" applyBorder="1" applyAlignment="1">
      <alignment/>
    </xf>
    <xf numFmtId="3" fontId="4" fillId="4" borderId="4" xfId="0" applyNumberFormat="1" applyFont="1" applyFill="1" applyBorder="1" applyAlignment="1">
      <alignment/>
    </xf>
    <xf numFmtId="0" fontId="5" fillId="5" borderId="61" xfId="0" applyFont="1" applyFill="1" applyBorder="1" applyAlignment="1">
      <alignment/>
    </xf>
    <xf numFmtId="3" fontId="5" fillId="5" borderId="61" xfId="0" applyNumberFormat="1" applyFont="1" applyFill="1" applyBorder="1" applyAlignment="1">
      <alignment/>
    </xf>
    <xf numFmtId="0" fontId="0" fillId="4" borderId="4" xfId="0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0" fontId="0" fillId="4" borderId="86" xfId="0" applyFont="1" applyFill="1" applyBorder="1" applyAlignment="1">
      <alignment/>
    </xf>
    <xf numFmtId="3" fontId="0" fillId="4" borderId="86" xfId="0" applyNumberFormat="1" applyFont="1" applyFill="1" applyBorder="1" applyAlignment="1">
      <alignment/>
    </xf>
    <xf numFmtId="1" fontId="0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0" fillId="0" borderId="0" xfId="15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3" fontId="0" fillId="0" borderId="0" xfId="0" applyNumberFormat="1" applyBorder="1" applyAlignment="1">
      <alignment/>
    </xf>
    <xf numFmtId="1" fontId="5" fillId="0" borderId="0" xfId="0" applyNumberFormat="1" applyFont="1" applyBorder="1" applyAlignment="1">
      <alignment horizontal="center"/>
    </xf>
    <xf numFmtId="1" fontId="5" fillId="0" borderId="26" xfId="0" applyNumberFormat="1" applyFont="1" applyBorder="1" applyAlignment="1">
      <alignment horizontal="center"/>
    </xf>
    <xf numFmtId="3" fontId="5" fillId="0" borderId="26" xfId="0" applyNumberFormat="1" applyFont="1" applyBorder="1" applyAlignment="1">
      <alignment horizontal="left"/>
    </xf>
    <xf numFmtId="0" fontId="0" fillId="0" borderId="26" xfId="0" applyBorder="1" applyAlignment="1">
      <alignment/>
    </xf>
    <xf numFmtId="3" fontId="5" fillId="0" borderId="26" xfId="15" applyNumberFormat="1" applyFont="1" applyBorder="1" applyAlignment="1">
      <alignment horizontal="center"/>
    </xf>
    <xf numFmtId="3" fontId="5" fillId="0" borderId="0" xfId="15" applyNumberFormat="1" applyFont="1" applyBorder="1" applyAlignment="1">
      <alignment horizontal="center"/>
    </xf>
    <xf numFmtId="3" fontId="0" fillId="0" borderId="28" xfId="0" applyNumberFormat="1" applyFont="1" applyBorder="1" applyAlignment="1">
      <alignment/>
    </xf>
    <xf numFmtId="3" fontId="0" fillId="0" borderId="0" xfId="15" applyNumberFormat="1" applyFont="1" applyBorder="1" applyAlignment="1">
      <alignment horizontal="center"/>
    </xf>
    <xf numFmtId="3" fontId="0" fillId="0" borderId="87" xfId="0" applyNumberFormat="1" applyBorder="1" applyAlignment="1">
      <alignment horizontal="center"/>
    </xf>
    <xf numFmtId="3" fontId="0" fillId="0" borderId="88" xfId="15" applyNumberFormat="1" applyFont="1" applyBorder="1" applyAlignment="1">
      <alignment horizontal="center"/>
    </xf>
    <xf numFmtId="3" fontId="0" fillId="0" borderId="4" xfId="0" applyNumberForma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6" fillId="0" borderId="3" xfId="0" applyNumberFormat="1" applyFont="1" applyBorder="1" applyAlignment="1">
      <alignment horizontal="center"/>
    </xf>
    <xf numFmtId="3" fontId="6" fillId="0" borderId="0" xfId="15" applyNumberFormat="1" applyFont="1" applyBorder="1" applyAlignment="1">
      <alignment horizontal="center"/>
    </xf>
    <xf numFmtId="3" fontId="6" fillId="0" borderId="4" xfId="0" applyNumberFormat="1" applyFont="1" applyBorder="1" applyAlignment="1">
      <alignment horizontal="center"/>
    </xf>
    <xf numFmtId="3" fontId="0" fillId="0" borderId="0" xfId="0" applyNumberFormat="1" applyBorder="1" applyAlignment="1">
      <alignment vertical="center"/>
    </xf>
    <xf numFmtId="3" fontId="9" fillId="0" borderId="3" xfId="0" applyNumberFormat="1" applyFon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6" fillId="0" borderId="73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horizontal="center"/>
    </xf>
    <xf numFmtId="1" fontId="33" fillId="10" borderId="89" xfId="0" applyNumberFormat="1" applyFont="1" applyFill="1" applyBorder="1" applyAlignment="1">
      <alignment horizontal="center"/>
    </xf>
    <xf numFmtId="3" fontId="14" fillId="4" borderId="28" xfId="0" applyNumberFormat="1" applyFont="1" applyFill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/>
    </xf>
    <xf numFmtId="1" fontId="0" fillId="11" borderId="86" xfId="0" applyNumberFormat="1" applyFont="1" applyFill="1" applyBorder="1" applyAlignment="1">
      <alignment horizontal="center"/>
    </xf>
    <xf numFmtId="3" fontId="14" fillId="4" borderId="73" xfId="0" applyNumberFormat="1" applyFont="1" applyFill="1" applyBorder="1" applyAlignment="1">
      <alignment horizontal="right" vertical="center"/>
    </xf>
    <xf numFmtId="4" fontId="0" fillId="0" borderId="0" xfId="0" applyNumberFormat="1" applyBorder="1" applyAlignment="1">
      <alignment horizontal="right" vertical="center"/>
    </xf>
    <xf numFmtId="1" fontId="5" fillId="12" borderId="90" xfId="0" applyNumberFormat="1" applyFont="1" applyFill="1" applyBorder="1" applyAlignment="1">
      <alignment horizontal="center"/>
    </xf>
    <xf numFmtId="3" fontId="14" fillId="5" borderId="91" xfId="0" applyNumberFormat="1" applyFont="1" applyFill="1" applyBorder="1" applyAlignment="1">
      <alignment horizontal="right" wrapText="1"/>
    </xf>
    <xf numFmtId="3" fontId="14" fillId="5" borderId="90" xfId="0" applyNumberFormat="1" applyFont="1" applyFill="1" applyBorder="1" applyAlignment="1">
      <alignment horizontal="right" wrapText="1"/>
    </xf>
    <xf numFmtId="10" fontId="0" fillId="0" borderId="0" xfId="0" applyNumberFormat="1" applyBorder="1" applyAlignment="1">
      <alignment horizontal="center" vertical="center"/>
    </xf>
    <xf numFmtId="1" fontId="0" fillId="13" borderId="61" xfId="0" applyNumberFormat="1" applyFont="1" applyFill="1" applyBorder="1" applyAlignment="1">
      <alignment horizontal="center"/>
    </xf>
    <xf numFmtId="3" fontId="0" fillId="13" borderId="92" xfId="0" applyNumberFormat="1" applyFont="1" applyFill="1" applyBorder="1" applyAlignment="1">
      <alignment vertical="center"/>
    </xf>
    <xf numFmtId="3" fontId="13" fillId="13" borderId="28" xfId="0" applyNumberFormat="1" applyFont="1" applyFill="1" applyBorder="1" applyAlignment="1">
      <alignment/>
    </xf>
    <xf numFmtId="1" fontId="0" fillId="0" borderId="61" xfId="0" applyNumberFormat="1" applyFont="1" applyBorder="1" applyAlignment="1">
      <alignment horizontal="center"/>
    </xf>
    <xf numFmtId="3" fontId="0" fillId="4" borderId="92" xfId="0" applyNumberFormat="1" applyFont="1" applyFill="1" applyBorder="1" applyAlignment="1">
      <alignment vertical="center"/>
    </xf>
    <xf numFmtId="3" fontId="13" fillId="0" borderId="28" xfId="0" applyNumberFormat="1" applyFont="1" applyFill="1" applyBorder="1" applyAlignment="1">
      <alignment/>
    </xf>
    <xf numFmtId="3" fontId="5" fillId="14" borderId="93" xfId="15" applyNumberFormat="1" applyFont="1" applyFill="1" applyBorder="1" applyAlignment="1">
      <alignment horizontal="right" vertical="center"/>
    </xf>
    <xf numFmtId="3" fontId="13" fillId="4" borderId="28" xfId="0" applyNumberFormat="1" applyFont="1" applyFill="1" applyBorder="1" applyAlignment="1">
      <alignment/>
    </xf>
    <xf numFmtId="3" fontId="5" fillId="0" borderId="0" xfId="0" applyNumberFormat="1" applyFont="1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1" fontId="0" fillId="15" borderId="61" xfId="0" applyNumberFormat="1" applyFont="1" applyFill="1" applyBorder="1" applyAlignment="1">
      <alignment horizontal="center"/>
    </xf>
    <xf numFmtId="3" fontId="13" fillId="15" borderId="28" xfId="0" applyNumberFormat="1" applyFont="1" applyFill="1" applyBorder="1" applyAlignment="1">
      <alignment/>
    </xf>
    <xf numFmtId="1" fontId="0" fillId="16" borderId="61" xfId="0" applyNumberFormat="1" applyFont="1" applyFill="1" applyBorder="1" applyAlignment="1">
      <alignment horizontal="center"/>
    </xf>
    <xf numFmtId="3" fontId="13" fillId="16" borderId="28" xfId="0" applyNumberFormat="1" applyFont="1" applyFill="1" applyBorder="1" applyAlignment="1">
      <alignment/>
    </xf>
    <xf numFmtId="1" fontId="0" fillId="15" borderId="27" xfId="0" applyNumberFormat="1" applyFont="1" applyFill="1" applyBorder="1" applyAlignment="1">
      <alignment horizontal="center"/>
    </xf>
    <xf numFmtId="3" fontId="13" fillId="15" borderId="21" xfId="0" applyNumberFormat="1" applyFont="1" applyFill="1" applyBorder="1" applyAlignment="1">
      <alignment/>
    </xf>
    <xf numFmtId="1" fontId="34" fillId="17" borderId="27" xfId="0" applyNumberFormat="1" applyFont="1" applyFill="1" applyBorder="1" applyAlignment="1">
      <alignment horizontal="center"/>
    </xf>
    <xf numFmtId="3" fontId="34" fillId="17" borderId="94" xfId="0" applyNumberFormat="1" applyFont="1" applyFill="1" applyBorder="1" applyAlignment="1">
      <alignment vertical="center"/>
    </xf>
    <xf numFmtId="3" fontId="34" fillId="17" borderId="21" xfId="0" applyNumberFormat="1" applyFont="1" applyFill="1" applyBorder="1" applyAlignment="1">
      <alignment horizontal="center"/>
    </xf>
    <xf numFmtId="4" fontId="0" fillId="4" borderId="0" xfId="0" applyNumberFormat="1" applyFill="1" applyBorder="1" applyAlignment="1">
      <alignment horizontal="center" vertical="center"/>
    </xf>
    <xf numFmtId="3" fontId="0" fillId="4" borderId="0" xfId="0" applyNumberFormat="1" applyFill="1" applyBorder="1" applyAlignment="1">
      <alignment/>
    </xf>
    <xf numFmtId="4" fontId="0" fillId="4" borderId="0" xfId="0" applyNumberFormat="1" applyFill="1" applyBorder="1" applyAlignment="1">
      <alignment horizontal="right" vertical="center"/>
    </xf>
    <xf numFmtId="3" fontId="0" fillId="4" borderId="0" xfId="0" applyNumberFormat="1" applyFill="1" applyBorder="1" applyAlignment="1">
      <alignment horizontal="right"/>
    </xf>
    <xf numFmtId="1" fontId="13" fillId="4" borderId="28" xfId="0" applyNumberFormat="1" applyFont="1" applyFill="1" applyBorder="1" applyAlignment="1">
      <alignment horizontal="center"/>
    </xf>
    <xf numFmtId="3" fontId="13" fillId="4" borderId="2" xfId="0" applyNumberFormat="1" applyFont="1" applyFill="1" applyBorder="1" applyAlignment="1">
      <alignment vertical="center"/>
    </xf>
    <xf numFmtId="3" fontId="13" fillId="4" borderId="2" xfId="0" applyNumberFormat="1" applyFont="1" applyFill="1" applyBorder="1" applyAlignment="1">
      <alignment horizontal="right"/>
    </xf>
    <xf numFmtId="3" fontId="13" fillId="18" borderId="28" xfId="0" applyNumberFormat="1" applyFont="1" applyFill="1" applyBorder="1" applyAlignment="1">
      <alignment vertical="center"/>
    </xf>
    <xf numFmtId="3" fontId="13" fillId="18" borderId="28" xfId="0" applyNumberFormat="1" applyFont="1" applyFill="1" applyBorder="1" applyAlignment="1">
      <alignment horizontal="right"/>
    </xf>
    <xf numFmtId="3" fontId="13" fillId="4" borderId="28" xfId="0" applyNumberFormat="1" applyFont="1" applyFill="1" applyBorder="1" applyAlignment="1">
      <alignment vertical="center"/>
    </xf>
    <xf numFmtId="3" fontId="13" fillId="4" borderId="28" xfId="0" applyNumberFormat="1" applyFont="1" applyFill="1" applyBorder="1" applyAlignment="1">
      <alignment horizontal="right"/>
    </xf>
    <xf numFmtId="3" fontId="34" fillId="17" borderId="28" xfId="0" applyNumberFormat="1" applyFont="1" applyFill="1" applyBorder="1" applyAlignment="1">
      <alignment vertical="center"/>
    </xf>
    <xf numFmtId="3" fontId="34" fillId="17" borderId="28" xfId="0" applyNumberFormat="1" applyFont="1" applyFill="1" applyBorder="1" applyAlignment="1">
      <alignment horizontal="center"/>
    </xf>
    <xf numFmtId="3" fontId="14" fillId="19" borderId="95" xfId="0" applyNumberFormat="1" applyFont="1" applyFill="1" applyBorder="1" applyAlignment="1">
      <alignment vertical="center"/>
    </xf>
    <xf numFmtId="3" fontId="14" fillId="19" borderId="95" xfId="0" applyNumberFormat="1" applyFont="1" applyFill="1" applyBorder="1" applyAlignment="1">
      <alignment horizontal="right"/>
    </xf>
    <xf numFmtId="3" fontId="17" fillId="19" borderId="28" xfId="0" applyNumberFormat="1" applyFont="1" applyFill="1" applyBorder="1" applyAlignment="1">
      <alignment vertical="center"/>
    </xf>
    <xf numFmtId="3" fontId="20" fillId="19" borderId="28" xfId="0" applyNumberFormat="1" applyFont="1" applyFill="1" applyBorder="1" applyAlignment="1">
      <alignment horizontal="center"/>
    </xf>
    <xf numFmtId="3" fontId="14" fillId="19" borderId="28" xfId="0" applyNumberFormat="1" applyFont="1" applyFill="1" applyBorder="1" applyAlignment="1">
      <alignment horizontal="right"/>
    </xf>
    <xf numFmtId="3" fontId="0" fillId="4" borderId="92" xfId="0" applyNumberFormat="1" applyFont="1" applyFill="1" applyBorder="1" applyAlignment="1">
      <alignment vertical="center" wrapText="1"/>
    </xf>
    <xf numFmtId="3" fontId="34" fillId="20" borderId="28" xfId="0" applyNumberFormat="1" applyFont="1" applyFill="1" applyBorder="1" applyAlignment="1">
      <alignment vertical="center"/>
    </xf>
    <xf numFmtId="1" fontId="5" fillId="21" borderId="96" xfId="0" applyNumberFormat="1" applyFont="1" applyFill="1" applyBorder="1" applyAlignment="1">
      <alignment horizontal="center" vertical="center"/>
    </xf>
    <xf numFmtId="3" fontId="14" fillId="21" borderId="68" xfId="0" applyNumberFormat="1" applyFont="1" applyFill="1" applyBorder="1" applyAlignment="1">
      <alignment vertical="center"/>
    </xf>
    <xf numFmtId="3" fontId="14" fillId="21" borderId="97" xfId="0" applyNumberFormat="1" applyFont="1" applyFill="1" applyBorder="1" applyAlignment="1">
      <alignment vertical="center"/>
    </xf>
    <xf numFmtId="4" fontId="0" fillId="0" borderId="0" xfId="0" applyNumberFormat="1" applyFont="1" applyBorder="1" applyAlignment="1">
      <alignment horizontal="center" vertical="center"/>
    </xf>
    <xf numFmtId="1" fontId="0" fillId="0" borderId="26" xfId="0" applyNumberFormat="1" applyFont="1" applyBorder="1" applyAlignment="1">
      <alignment horizontal="center" vertical="center"/>
    </xf>
    <xf numFmtId="3" fontId="13" fillId="0" borderId="2" xfId="0" applyNumberFormat="1" applyFont="1" applyBorder="1" applyAlignment="1">
      <alignment vertical="center"/>
    </xf>
    <xf numFmtId="1" fontId="0" fillId="22" borderId="39" xfId="0" applyNumberFormat="1" applyFont="1" applyFill="1" applyBorder="1" applyAlignment="1">
      <alignment horizontal="center" vertical="center"/>
    </xf>
    <xf numFmtId="3" fontId="13" fillId="22" borderId="28" xfId="0" applyNumberFormat="1" applyFont="1" applyFill="1" applyBorder="1" applyAlignment="1">
      <alignment vertical="center"/>
    </xf>
    <xf numFmtId="1" fontId="0" fillId="0" borderId="39" xfId="0" applyNumberFormat="1" applyFont="1" applyBorder="1" applyAlignment="1">
      <alignment horizontal="center" vertical="center"/>
    </xf>
    <xf numFmtId="3" fontId="13" fillId="0" borderId="28" xfId="0" applyNumberFormat="1" applyFont="1" applyBorder="1" applyAlignment="1">
      <alignment vertical="center"/>
    </xf>
    <xf numFmtId="3" fontId="13" fillId="22" borderId="28" xfId="0" applyNumberFormat="1" applyFont="1" applyFill="1" applyBorder="1" applyAlignment="1">
      <alignment vertical="center"/>
    </xf>
    <xf numFmtId="1" fontId="5" fillId="23" borderId="98" xfId="0" applyNumberFormat="1" applyFont="1" applyFill="1" applyBorder="1" applyAlignment="1">
      <alignment horizontal="center" vertical="center"/>
    </xf>
    <xf numFmtId="3" fontId="14" fillId="5" borderId="91" xfId="0" applyNumberFormat="1" applyFont="1" applyFill="1" applyBorder="1" applyAlignment="1">
      <alignment vertical="center"/>
    </xf>
    <xf numFmtId="3" fontId="0" fillId="8" borderId="2" xfId="0" applyNumberFormat="1" applyFont="1" applyFill="1" applyBorder="1" applyAlignment="1">
      <alignment horizontal="left" vertical="center" wrapText="1"/>
    </xf>
    <xf numFmtId="3" fontId="13" fillId="4" borderId="2" xfId="0" applyNumberFormat="1" applyFont="1" applyFill="1" applyBorder="1" applyAlignment="1">
      <alignment vertical="center"/>
    </xf>
    <xf numFmtId="1" fontId="0" fillId="4" borderId="26" xfId="0" applyNumberFormat="1" applyFont="1" applyFill="1" applyBorder="1" applyAlignment="1" quotePrefix="1">
      <alignment horizontal="center" vertical="center"/>
    </xf>
    <xf numFmtId="1" fontId="0" fillId="15" borderId="39" xfId="0" applyNumberFormat="1" applyFont="1" applyFill="1" applyBorder="1" applyAlignment="1" quotePrefix="1">
      <alignment horizontal="center" vertical="center"/>
    </xf>
    <xf numFmtId="3" fontId="13" fillId="4" borderId="28" xfId="0" applyNumberFormat="1" applyFont="1" applyFill="1" applyBorder="1" applyAlignment="1">
      <alignment vertical="center"/>
    </xf>
    <xf numFmtId="1" fontId="0" fillId="4" borderId="39" xfId="0" applyNumberFormat="1" applyFont="1" applyFill="1" applyBorder="1" applyAlignment="1" quotePrefix="1">
      <alignment horizontal="center" vertical="center"/>
    </xf>
    <xf numFmtId="3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 vertical="center"/>
    </xf>
    <xf numFmtId="3" fontId="13" fillId="15" borderId="28" xfId="0" applyNumberFormat="1" applyFont="1" applyFill="1" applyBorder="1" applyAlignment="1">
      <alignment vertical="center"/>
    </xf>
    <xf numFmtId="3" fontId="0" fillId="4" borderId="0" xfId="0" applyNumberFormat="1" applyFill="1" applyBorder="1" applyAlignment="1">
      <alignment/>
    </xf>
    <xf numFmtId="3" fontId="0" fillId="4" borderId="0" xfId="0" applyNumberFormat="1" applyFill="1" applyBorder="1" applyAlignment="1">
      <alignment vertical="center"/>
    </xf>
    <xf numFmtId="1" fontId="5" fillId="12" borderId="99" xfId="15" applyNumberFormat="1" applyFont="1" applyFill="1" applyBorder="1" applyAlignment="1">
      <alignment horizontal="center" vertical="center"/>
    </xf>
    <xf numFmtId="3" fontId="14" fillId="12" borderId="91" xfId="15" applyNumberFormat="1" applyFont="1" applyFill="1" applyBorder="1" applyAlignment="1">
      <alignment horizontal="right" vertical="center"/>
    </xf>
    <xf numFmtId="1" fontId="0" fillId="4" borderId="39" xfId="0" applyNumberFormat="1" applyFill="1" applyBorder="1" applyAlignment="1" quotePrefix="1">
      <alignment horizontal="center" vertical="center"/>
    </xf>
    <xf numFmtId="3" fontId="13" fillId="4" borderId="61" xfId="0" applyNumberFormat="1" applyFont="1" applyFill="1" applyBorder="1" applyAlignment="1">
      <alignment vertical="center"/>
    </xf>
    <xf numFmtId="1" fontId="0" fillId="4" borderId="0" xfId="0" applyNumberFormat="1" applyFill="1" applyBorder="1" applyAlignment="1">
      <alignment horizontal="center"/>
    </xf>
    <xf numFmtId="3" fontId="13" fillId="4" borderId="43" xfId="15" applyNumberFormat="1" applyFont="1" applyFill="1" applyBorder="1" applyAlignment="1">
      <alignment horizontal="right" vertical="center"/>
    </xf>
    <xf numFmtId="3" fontId="34" fillId="17" borderId="86" xfId="0" applyNumberFormat="1" applyFont="1" applyFill="1" applyBorder="1" applyAlignment="1">
      <alignment horizontal="right" vertical="center"/>
    </xf>
    <xf numFmtId="10" fontId="0" fillId="4" borderId="0" xfId="0" applyNumberFormat="1" applyFill="1" applyBorder="1" applyAlignment="1">
      <alignment horizontal="center" vertical="center"/>
    </xf>
    <xf numFmtId="3" fontId="5" fillId="5" borderId="91" xfId="0" applyNumberFormat="1" applyFont="1" applyFill="1" applyBorder="1" applyAlignment="1">
      <alignment horizontal="left" vertical="center"/>
    </xf>
    <xf numFmtId="3" fontId="0" fillId="0" borderId="0" xfId="0" applyNumberFormat="1" applyFont="1" applyBorder="1" applyAlignment="1">
      <alignment vertical="center"/>
    </xf>
    <xf numFmtId="1" fontId="0" fillId="4" borderId="26" xfId="0" applyNumberFormat="1" applyFont="1" applyFill="1" applyBorder="1" applyAlignment="1">
      <alignment horizontal="center" vertical="center"/>
    </xf>
    <xf numFmtId="3" fontId="0" fillId="4" borderId="100" xfId="0" applyNumberFormat="1" applyFont="1" applyFill="1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4" fontId="0" fillId="0" borderId="0" xfId="0" applyNumberFormat="1" applyFill="1" applyBorder="1" applyAlignment="1">
      <alignment vertical="center"/>
    </xf>
    <xf numFmtId="1" fontId="0" fillId="24" borderId="39" xfId="0" applyNumberFormat="1" applyFont="1" applyFill="1" applyBorder="1" applyAlignment="1">
      <alignment horizontal="center" vertical="center"/>
    </xf>
    <xf numFmtId="3" fontId="13" fillId="24" borderId="28" xfId="0" applyNumberFormat="1" applyFont="1" applyFill="1" applyBorder="1" applyAlignment="1">
      <alignment vertical="center"/>
    </xf>
    <xf numFmtId="1" fontId="0" fillId="4" borderId="39" xfId="0" applyNumberFormat="1" applyFont="1" applyFill="1" applyBorder="1" applyAlignment="1">
      <alignment horizontal="center" vertical="center"/>
    </xf>
    <xf numFmtId="3" fontId="0" fillId="4" borderId="92" xfId="0" applyNumberFormat="1" applyFont="1" applyFill="1" applyBorder="1" applyAlignment="1">
      <alignment vertical="center"/>
    </xf>
    <xf numFmtId="3" fontId="13" fillId="24" borderId="28" xfId="0" applyNumberFormat="1" applyFont="1" applyFill="1" applyBorder="1" applyAlignment="1">
      <alignment/>
    </xf>
    <xf numFmtId="3" fontId="4" fillId="0" borderId="0" xfId="0" applyNumberFormat="1" applyFont="1" applyBorder="1" applyAlignment="1">
      <alignment vertical="center"/>
    </xf>
    <xf numFmtId="3" fontId="0" fillId="4" borderId="92" xfId="0" applyNumberFormat="1" applyFont="1" applyFill="1" applyBorder="1" applyAlignment="1">
      <alignment vertical="center"/>
    </xf>
    <xf numFmtId="3" fontId="13" fillId="4" borderId="28" xfId="15" applyNumberFormat="1" applyFont="1" applyFill="1" applyBorder="1" applyAlignment="1">
      <alignment vertical="center"/>
    </xf>
    <xf numFmtId="3" fontId="4" fillId="4" borderId="0" xfId="0" applyNumberFormat="1" applyFont="1" applyFill="1" applyBorder="1" applyAlignment="1">
      <alignment vertical="center"/>
    </xf>
    <xf numFmtId="1" fontId="0" fillId="7" borderId="39" xfId="0" applyNumberFormat="1" applyFont="1" applyFill="1" applyBorder="1" applyAlignment="1">
      <alignment horizontal="center" vertical="center"/>
    </xf>
    <xf numFmtId="3" fontId="13" fillId="7" borderId="28" xfId="0" applyNumberFormat="1" applyFont="1" applyFill="1" applyBorder="1" applyAlignment="1">
      <alignment/>
    </xf>
    <xf numFmtId="1" fontId="0" fillId="16" borderId="39" xfId="0" applyNumberFormat="1" applyFont="1" applyFill="1" applyBorder="1" applyAlignment="1">
      <alignment horizontal="center" vertical="center"/>
    </xf>
    <xf numFmtId="1" fontId="0" fillId="7" borderId="27" xfId="0" applyNumberFormat="1" applyFont="1" applyFill="1" applyBorder="1" applyAlignment="1">
      <alignment horizontal="center" vertical="center"/>
    </xf>
    <xf numFmtId="3" fontId="13" fillId="7" borderId="21" xfId="0" applyNumberFormat="1" applyFont="1" applyFill="1" applyBorder="1" applyAlignment="1">
      <alignment/>
    </xf>
    <xf numFmtId="1" fontId="14" fillId="25" borderId="99" xfId="0" applyNumberFormat="1" applyFont="1" applyFill="1" applyBorder="1" applyAlignment="1">
      <alignment horizontal="center" vertical="center"/>
    </xf>
    <xf numFmtId="3" fontId="14" fillId="25" borderId="91" xfId="15" applyNumberFormat="1" applyFont="1" applyFill="1" applyBorder="1" applyAlignment="1">
      <alignment horizontal="right" vertical="center"/>
    </xf>
    <xf numFmtId="3" fontId="13" fillId="4" borderId="2" xfId="0" applyNumberFormat="1" applyFont="1" applyFill="1" applyBorder="1" applyAlignment="1">
      <alignment/>
    </xf>
    <xf numFmtId="1" fontId="13" fillId="18" borderId="39" xfId="0" applyNumberFormat="1" applyFont="1" applyFill="1" applyBorder="1" applyAlignment="1">
      <alignment horizontal="center" vertical="center"/>
    </xf>
    <xf numFmtId="3" fontId="13" fillId="18" borderId="28" xfId="15" applyNumberFormat="1" applyFont="1" applyFill="1" applyBorder="1" applyAlignment="1">
      <alignment horizontal="right" vertical="center"/>
    </xf>
    <xf numFmtId="1" fontId="14" fillId="26" borderId="99" xfId="0" applyNumberFormat="1" applyFont="1" applyFill="1" applyBorder="1" applyAlignment="1">
      <alignment horizontal="center" vertical="center"/>
    </xf>
    <xf numFmtId="3" fontId="14" fillId="5" borderId="91" xfId="15" applyNumberFormat="1" applyFont="1" applyFill="1" applyBorder="1" applyAlignment="1">
      <alignment horizontal="right" vertical="center"/>
    </xf>
    <xf numFmtId="1" fontId="13" fillId="4" borderId="26" xfId="0" applyNumberFormat="1" applyFont="1" applyFill="1" applyBorder="1" applyAlignment="1">
      <alignment horizontal="center" vertical="center"/>
    </xf>
    <xf numFmtId="3" fontId="13" fillId="4" borderId="2" xfId="15" applyNumberFormat="1" applyFont="1" applyFill="1" applyBorder="1" applyAlignment="1">
      <alignment horizontal="right" vertical="center"/>
    </xf>
    <xf numFmtId="1" fontId="13" fillId="16" borderId="39" xfId="0" applyNumberFormat="1" applyFont="1" applyFill="1" applyBorder="1" applyAlignment="1">
      <alignment horizontal="center" vertical="center"/>
    </xf>
    <xf numFmtId="3" fontId="13" fillId="16" borderId="28" xfId="15" applyNumberFormat="1" applyFont="1" applyFill="1" applyBorder="1" applyAlignment="1">
      <alignment horizontal="right" vertical="center"/>
    </xf>
    <xf numFmtId="1" fontId="13" fillId="4" borderId="39" xfId="0" applyNumberFormat="1" applyFont="1" applyFill="1" applyBorder="1" applyAlignment="1">
      <alignment horizontal="center" vertical="center"/>
    </xf>
    <xf numFmtId="3" fontId="13" fillId="4" borderId="28" xfId="15" applyNumberFormat="1" applyFont="1" applyFill="1" applyBorder="1" applyAlignment="1">
      <alignment horizontal="right" vertical="center"/>
    </xf>
    <xf numFmtId="3" fontId="16" fillId="4" borderId="0" xfId="0" applyNumberFormat="1" applyFont="1" applyFill="1" applyBorder="1" applyAlignment="1">
      <alignment vertical="center"/>
    </xf>
    <xf numFmtId="3" fontId="16" fillId="0" borderId="0" xfId="0" applyNumberFormat="1" applyFont="1" applyBorder="1" applyAlignment="1">
      <alignment vertical="center"/>
    </xf>
    <xf numFmtId="3" fontId="0" fillId="4" borderId="28" xfId="0" applyNumberFormat="1" applyFill="1" applyBorder="1" applyAlignment="1">
      <alignment vertical="center"/>
    </xf>
    <xf numFmtId="3" fontId="0" fillId="4" borderId="28" xfId="0" applyNumberFormat="1" applyFont="1" applyFill="1" applyBorder="1" applyAlignment="1">
      <alignment vertical="center"/>
    </xf>
    <xf numFmtId="1" fontId="13" fillId="4" borderId="27" xfId="0" applyNumberFormat="1" applyFont="1" applyFill="1" applyBorder="1" applyAlignment="1">
      <alignment horizontal="center" vertical="center"/>
    </xf>
    <xf numFmtId="3" fontId="13" fillId="4" borderId="21" xfId="15" applyNumberFormat="1" applyFont="1" applyFill="1" applyBorder="1" applyAlignment="1">
      <alignment horizontal="right" vertical="center"/>
    </xf>
    <xf numFmtId="1" fontId="5" fillId="12" borderId="99" xfId="0" applyNumberFormat="1" applyFont="1" applyFill="1" applyBorder="1" applyAlignment="1">
      <alignment horizontal="center" vertical="center"/>
    </xf>
    <xf numFmtId="1" fontId="0" fillId="4" borderId="101" xfId="0" applyNumberFormat="1" applyFont="1" applyFill="1" applyBorder="1" applyAlignment="1">
      <alignment vertical="center" wrapText="1"/>
    </xf>
    <xf numFmtId="3" fontId="13" fillId="4" borderId="101" xfId="15" applyNumberFormat="1" applyFont="1" applyFill="1" applyBorder="1" applyAlignment="1">
      <alignment horizontal="right" vertical="center"/>
    </xf>
    <xf numFmtId="1" fontId="0" fillId="4" borderId="28" xfId="0" applyNumberFormat="1" applyFont="1" applyFill="1" applyBorder="1" applyAlignment="1">
      <alignment vertical="center" wrapText="1"/>
    </xf>
    <xf numFmtId="1" fontId="0" fillId="4" borderId="28" xfId="0" applyNumberFormat="1" applyFill="1" applyBorder="1" applyAlignment="1">
      <alignment vertical="center" wrapText="1"/>
    </xf>
    <xf numFmtId="1" fontId="0" fillId="13" borderId="39" xfId="0" applyNumberFormat="1" applyFont="1" applyFill="1" applyBorder="1" applyAlignment="1">
      <alignment horizontal="center" vertical="center"/>
    </xf>
    <xf numFmtId="3" fontId="13" fillId="13" borderId="28" xfId="15" applyNumberFormat="1" applyFont="1" applyFill="1" applyBorder="1" applyAlignment="1">
      <alignment horizontal="right" vertical="center"/>
    </xf>
    <xf numFmtId="3" fontId="13" fillId="7" borderId="28" xfId="15" applyNumberFormat="1" applyFont="1" applyFill="1" applyBorder="1" applyAlignment="1">
      <alignment horizontal="right" vertical="center"/>
    </xf>
    <xf numFmtId="1" fontId="5" fillId="23" borderId="99" xfId="0" applyNumberFormat="1" applyFont="1" applyFill="1" applyBorder="1" applyAlignment="1">
      <alignment horizontal="center" vertical="center"/>
    </xf>
    <xf numFmtId="1" fontId="0" fillId="15" borderId="39" xfId="0" applyNumberFormat="1" applyFont="1" applyFill="1" applyBorder="1" applyAlignment="1">
      <alignment horizontal="center" vertical="center"/>
    </xf>
    <xf numFmtId="3" fontId="13" fillId="15" borderId="28" xfId="15" applyNumberFormat="1" applyFont="1" applyFill="1" applyBorder="1" applyAlignment="1">
      <alignment horizontal="right" vertical="center"/>
    </xf>
    <xf numFmtId="1" fontId="5" fillId="25" borderId="99" xfId="0" applyNumberFormat="1" applyFont="1" applyFill="1" applyBorder="1" applyAlignment="1">
      <alignment horizontal="center" vertical="center"/>
    </xf>
    <xf numFmtId="3" fontId="13" fillId="4" borderId="2" xfId="15" applyNumberFormat="1" applyFont="1" applyFill="1" applyBorder="1" applyAlignment="1">
      <alignment vertical="center"/>
    </xf>
    <xf numFmtId="3" fontId="13" fillId="4" borderId="28" xfId="15" applyNumberFormat="1" applyFont="1" applyFill="1" applyBorder="1" applyAlignment="1">
      <alignment vertical="center"/>
    </xf>
    <xf numFmtId="1" fontId="13" fillId="4" borderId="61" xfId="0" applyNumberFormat="1" applyFont="1" applyFill="1" applyBorder="1" applyAlignment="1">
      <alignment horizontal="center"/>
    </xf>
    <xf numFmtId="3" fontId="13" fillId="4" borderId="28" xfId="0" applyNumberFormat="1" applyFont="1" applyFill="1" applyBorder="1" applyAlignment="1">
      <alignment vertical="center" wrapText="1"/>
    </xf>
    <xf numFmtId="1" fontId="13" fillId="4" borderId="27" xfId="0" applyNumberFormat="1" applyFont="1" applyFill="1" applyBorder="1" applyAlignment="1">
      <alignment horizontal="center"/>
    </xf>
    <xf numFmtId="3" fontId="13" fillId="16" borderId="28" xfId="15" applyNumberFormat="1" applyFont="1" applyFill="1" applyBorder="1" applyAlignment="1">
      <alignment vertical="center"/>
    </xf>
    <xf numFmtId="3" fontId="34" fillId="17" borderId="21" xfId="0" applyNumberFormat="1" applyFont="1" applyFill="1" applyBorder="1" applyAlignment="1">
      <alignment/>
    </xf>
    <xf numFmtId="3" fontId="14" fillId="23" borderId="95" xfId="15" applyNumberFormat="1" applyFont="1" applyFill="1" applyBorder="1" applyAlignment="1">
      <alignment horizontal="right" vertical="center"/>
    </xf>
    <xf numFmtId="3" fontId="0" fillId="4" borderId="28" xfId="0" applyNumberFormat="1" applyFill="1" applyBorder="1" applyAlignment="1">
      <alignment horizontal="center" vertical="center"/>
    </xf>
    <xf numFmtId="3" fontId="5" fillId="5" borderId="91" xfId="0" applyNumberFormat="1" applyFont="1" applyFill="1" applyBorder="1" applyAlignment="1">
      <alignment vertical="center"/>
    </xf>
    <xf numFmtId="3" fontId="7" fillId="5" borderId="91" xfId="0" applyNumberFormat="1" applyFont="1" applyFill="1" applyBorder="1" applyAlignment="1">
      <alignment horizontal="right" vertical="center"/>
    </xf>
    <xf numFmtId="3" fontId="5" fillId="5" borderId="91" xfId="0" applyNumberFormat="1" applyFont="1" applyFill="1" applyBorder="1" applyAlignment="1">
      <alignment horizontal="right" vertical="center"/>
    </xf>
    <xf numFmtId="1" fontId="7" fillId="17" borderId="0" xfId="0" applyNumberFormat="1" applyFont="1" applyFill="1" applyBorder="1" applyAlignment="1">
      <alignment horizontal="center"/>
    </xf>
    <xf numFmtId="3" fontId="0" fillId="4" borderId="68" xfId="0" applyNumberFormat="1" applyFont="1" applyFill="1" applyBorder="1" applyAlignment="1">
      <alignment vertical="center" wrapText="1"/>
    </xf>
    <xf numFmtId="3" fontId="0" fillId="4" borderId="68" xfId="0" applyNumberFormat="1" applyFont="1" applyFill="1" applyBorder="1" applyAlignment="1">
      <alignment horizontal="right" vertical="center"/>
    </xf>
    <xf numFmtId="1" fontId="0" fillId="4" borderId="43" xfId="0" applyNumberFormat="1" applyFont="1" applyFill="1" applyBorder="1" applyAlignment="1">
      <alignment horizontal="center" vertical="center"/>
    </xf>
    <xf numFmtId="1" fontId="0" fillId="18" borderId="43" xfId="0" applyNumberFormat="1" applyFont="1" applyFill="1" applyBorder="1" applyAlignment="1">
      <alignment horizontal="center" vertical="center"/>
    </xf>
    <xf numFmtId="3" fontId="13" fillId="18" borderId="2" xfId="15" applyNumberFormat="1" applyFont="1" applyFill="1" applyBorder="1" applyAlignment="1">
      <alignment horizontal="right" vertical="center"/>
    </xf>
    <xf numFmtId="3" fontId="13" fillId="4" borderId="3" xfId="15" applyNumberFormat="1" applyFont="1" applyFill="1" applyBorder="1" applyAlignment="1">
      <alignment horizontal="right" vertical="center"/>
    </xf>
    <xf numFmtId="3" fontId="5" fillId="0" borderId="0" xfId="0" applyNumberFormat="1" applyFont="1" applyBorder="1" applyAlignment="1">
      <alignment vertical="center"/>
    </xf>
    <xf numFmtId="3" fontId="13" fillId="4" borderId="91" xfId="15" applyNumberFormat="1" applyFont="1" applyFill="1" applyBorder="1" applyAlignment="1">
      <alignment horizontal="right" vertical="center"/>
    </xf>
    <xf numFmtId="3" fontId="20" fillId="27" borderId="61" xfId="0" applyNumberFormat="1" applyFont="1" applyFill="1" applyBorder="1" applyAlignment="1">
      <alignment horizontal="center"/>
    </xf>
    <xf numFmtId="3" fontId="14" fillId="5" borderId="91" xfId="0" applyNumberFormat="1" applyFont="1" applyFill="1" applyBorder="1" applyAlignment="1">
      <alignment horizontal="right"/>
    </xf>
    <xf numFmtId="3" fontId="20" fillId="5" borderId="91" xfId="0" applyNumberFormat="1" applyFont="1" applyFill="1" applyBorder="1" applyAlignment="1">
      <alignment horizontal="center"/>
    </xf>
    <xf numFmtId="4" fontId="13" fillId="0" borderId="0" xfId="0" applyNumberFormat="1" applyFont="1" applyBorder="1" applyAlignment="1">
      <alignment horizontal="center" vertical="center"/>
    </xf>
    <xf numFmtId="3" fontId="13" fillId="0" borderId="0" xfId="0" applyNumberFormat="1" applyFont="1" applyBorder="1" applyAlignment="1">
      <alignment/>
    </xf>
    <xf numFmtId="3" fontId="20" fillId="28" borderId="102" xfId="0" applyNumberFormat="1" applyFont="1" applyFill="1" applyBorder="1" applyAlignment="1">
      <alignment horizontal="center"/>
    </xf>
    <xf numFmtId="3" fontId="13" fillId="4" borderId="103" xfId="0" applyNumberFormat="1" applyFont="1" applyFill="1" applyBorder="1" applyAlignment="1">
      <alignment vertical="center" wrapText="1"/>
    </xf>
    <xf numFmtId="3" fontId="13" fillId="4" borderId="103" xfId="0" applyNumberFormat="1" applyFont="1" applyFill="1" applyBorder="1" applyAlignment="1">
      <alignment horizontal="right"/>
    </xf>
    <xf numFmtId="3" fontId="16" fillId="4" borderId="103" xfId="0" applyNumberFormat="1" applyFont="1" applyFill="1" applyBorder="1" applyAlignment="1">
      <alignment horizontal="center"/>
    </xf>
    <xf numFmtId="3" fontId="13" fillId="15" borderId="43" xfId="0" applyNumberFormat="1" applyFont="1" applyFill="1" applyBorder="1" applyAlignment="1">
      <alignment horizontal="center"/>
    </xf>
    <xf numFmtId="3" fontId="0" fillId="4" borderId="2" xfId="0" applyNumberFormat="1" applyFont="1" applyFill="1" applyBorder="1" applyAlignment="1">
      <alignment vertical="center"/>
    </xf>
    <xf numFmtId="3" fontId="13" fillId="4" borderId="2" xfId="0" applyNumberFormat="1" applyFont="1" applyFill="1" applyBorder="1" applyAlignment="1">
      <alignment horizontal="right"/>
    </xf>
    <xf numFmtId="3" fontId="13" fillId="15" borderId="61" xfId="0" applyNumberFormat="1" applyFont="1" applyFill="1" applyBorder="1" applyAlignment="1">
      <alignment horizontal="center"/>
    </xf>
    <xf numFmtId="3" fontId="13" fillId="4" borderId="28" xfId="0" applyNumberFormat="1" applyFont="1" applyFill="1" applyBorder="1" applyAlignment="1">
      <alignment horizontal="right"/>
    </xf>
    <xf numFmtId="3" fontId="0" fillId="4" borderId="2" xfId="0" applyNumberFormat="1" applyFill="1" applyBorder="1" applyAlignment="1">
      <alignment vertical="center"/>
    </xf>
    <xf numFmtId="3" fontId="0" fillId="4" borderId="2" xfId="0" applyNumberFormat="1" applyFont="1" applyFill="1" applyBorder="1" applyAlignment="1">
      <alignment vertical="center"/>
    </xf>
    <xf numFmtId="1" fontId="0" fillId="4" borderId="2" xfId="0" applyNumberFormat="1" applyFont="1" applyFill="1" applyBorder="1" applyAlignment="1">
      <alignment vertical="center" wrapText="1"/>
    </xf>
    <xf numFmtId="1" fontId="0" fillId="4" borderId="28" xfId="0" applyNumberFormat="1" applyFont="1" applyFill="1" applyBorder="1" applyAlignment="1">
      <alignment vertical="center" wrapText="1"/>
    </xf>
    <xf numFmtId="3" fontId="13" fillId="8" borderId="28" xfId="0" applyNumberFormat="1" applyFont="1" applyFill="1" applyBorder="1" applyAlignment="1">
      <alignment vertical="center"/>
    </xf>
    <xf numFmtId="0" fontId="0" fillId="4" borderId="2" xfId="0" applyFill="1" applyBorder="1" applyAlignment="1">
      <alignment vertical="center"/>
    </xf>
    <xf numFmtId="3" fontId="0" fillId="4" borderId="28" xfId="0" applyNumberFormat="1" applyFont="1" applyFill="1" applyBorder="1" applyAlignment="1">
      <alignment horizontal="left" vertical="center"/>
    </xf>
    <xf numFmtId="0" fontId="0" fillId="4" borderId="28" xfId="0" applyFill="1" applyBorder="1" applyAlignment="1">
      <alignment vertical="center"/>
    </xf>
    <xf numFmtId="3" fontId="0" fillId="4" borderId="2" xfId="0" applyNumberFormat="1" applyFont="1" applyFill="1" applyBorder="1" applyAlignment="1">
      <alignment vertical="center" wrapText="1"/>
    </xf>
    <xf numFmtId="3" fontId="0" fillId="4" borderId="28" xfId="0" applyNumberFormat="1" applyFont="1" applyFill="1" applyBorder="1" applyAlignment="1">
      <alignment wrapText="1"/>
    </xf>
    <xf numFmtId="3" fontId="13" fillId="15" borderId="86" xfId="0" applyNumberFormat="1" applyFont="1" applyFill="1" applyBorder="1" applyAlignment="1">
      <alignment horizontal="center"/>
    </xf>
    <xf numFmtId="3" fontId="13" fillId="4" borderId="21" xfId="0" applyNumberFormat="1" applyFont="1" applyFill="1" applyBorder="1" applyAlignment="1">
      <alignment vertical="center"/>
    </xf>
    <xf numFmtId="3" fontId="13" fillId="4" borderId="21" xfId="0" applyNumberFormat="1" applyFont="1" applyFill="1" applyBorder="1" applyAlignment="1">
      <alignment horizontal="right"/>
    </xf>
    <xf numFmtId="1" fontId="5" fillId="29" borderId="104" xfId="0" applyNumberFormat="1" applyFont="1" applyFill="1" applyBorder="1" applyAlignment="1">
      <alignment horizontal="center" vertical="center"/>
    </xf>
    <xf numFmtId="3" fontId="14" fillId="5" borderId="105" xfId="15" applyNumberFormat="1" applyFont="1" applyFill="1" applyBorder="1" applyAlignment="1">
      <alignment horizontal="right" vertical="center"/>
    </xf>
    <xf numFmtId="1" fontId="13" fillId="30" borderId="39" xfId="0" applyNumberFormat="1" applyFont="1" applyFill="1" applyBorder="1" applyAlignment="1">
      <alignment horizontal="center" vertical="center"/>
    </xf>
    <xf numFmtId="3" fontId="13" fillId="30" borderId="28" xfId="15" applyNumberFormat="1" applyFont="1" applyFill="1" applyBorder="1" applyAlignment="1">
      <alignment horizontal="right" vertical="center"/>
    </xf>
    <xf numFmtId="3" fontId="13" fillId="4" borderId="28" xfId="15" applyNumberFormat="1" applyFont="1" applyFill="1" applyBorder="1" applyAlignment="1">
      <alignment horizontal="right" vertical="center"/>
    </xf>
    <xf numFmtId="1" fontId="0" fillId="30" borderId="39" xfId="0" applyNumberFormat="1" applyFont="1" applyFill="1" applyBorder="1" applyAlignment="1">
      <alignment horizontal="center" vertical="center"/>
    </xf>
    <xf numFmtId="3" fontId="0" fillId="4" borderId="0" xfId="0" applyNumberFormat="1" applyFont="1" applyFill="1" applyBorder="1" applyAlignment="1">
      <alignment/>
    </xf>
    <xf numFmtId="3" fontId="5" fillId="0" borderId="0" xfId="0" applyNumberFormat="1" applyFont="1" applyBorder="1" applyAlignment="1">
      <alignment/>
    </xf>
    <xf numFmtId="1" fontId="0" fillId="4" borderId="39" xfId="15" applyNumberFormat="1" applyFont="1" applyFill="1" applyBorder="1" applyAlignment="1">
      <alignment horizontal="center" vertical="center"/>
    </xf>
    <xf numFmtId="1" fontId="13" fillId="30" borderId="39" xfId="15" applyNumberFormat="1" applyFont="1" applyFill="1" applyBorder="1" applyAlignment="1">
      <alignment horizontal="center" vertical="center"/>
    </xf>
    <xf numFmtId="1" fontId="13" fillId="4" borderId="39" xfId="15" applyNumberFormat="1" applyFont="1" applyFill="1" applyBorder="1" applyAlignment="1">
      <alignment horizontal="center" vertical="center"/>
    </xf>
    <xf numFmtId="1" fontId="5" fillId="31" borderId="99" xfId="15" applyNumberFormat="1" applyFont="1" applyFill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vertical="center"/>
    </xf>
    <xf numFmtId="1" fontId="0" fillId="4" borderId="0" xfId="0" applyNumberFormat="1" applyFont="1" applyFill="1" applyBorder="1" applyAlignment="1">
      <alignment horizontal="center"/>
    </xf>
    <xf numFmtId="3" fontId="0" fillId="4" borderId="100" xfId="0" applyNumberFormat="1" applyFont="1" applyFill="1" applyBorder="1" applyAlignment="1">
      <alignment vertical="center" wrapText="1"/>
    </xf>
    <xf numFmtId="3" fontId="13" fillId="4" borderId="2" xfId="15" applyNumberFormat="1" applyFont="1" applyFill="1" applyBorder="1" applyAlignment="1">
      <alignment horizontal="right" vertical="center" wrapText="1"/>
    </xf>
    <xf numFmtId="1" fontId="0" fillId="32" borderId="39" xfId="15" applyNumberFormat="1" applyFont="1" applyFill="1" applyBorder="1" applyAlignment="1">
      <alignment horizontal="center" vertical="center"/>
    </xf>
    <xf numFmtId="3" fontId="13" fillId="32" borderId="28" xfId="15" applyNumberFormat="1" applyFont="1" applyFill="1" applyBorder="1" applyAlignment="1">
      <alignment horizontal="right" vertical="center"/>
    </xf>
    <xf numFmtId="1" fontId="0" fillId="15" borderId="39" xfId="15" applyNumberFormat="1" applyFont="1" applyFill="1" applyBorder="1" applyAlignment="1">
      <alignment horizontal="center" vertical="center"/>
    </xf>
    <xf numFmtId="1" fontId="5" fillId="23" borderId="99" xfId="15" applyNumberFormat="1" applyFont="1" applyFill="1" applyBorder="1" applyAlignment="1">
      <alignment horizontal="center" vertical="center"/>
    </xf>
    <xf numFmtId="4" fontId="0" fillId="0" borderId="0" xfId="0" applyNumberFormat="1" applyFont="1" applyFill="1" applyBorder="1" applyAlignment="1">
      <alignment vertical="center"/>
    </xf>
    <xf numFmtId="1" fontId="5" fillId="33" borderId="99" xfId="0" applyNumberFormat="1" applyFont="1" applyFill="1" applyBorder="1" applyAlignment="1">
      <alignment horizontal="center" vertical="center"/>
    </xf>
    <xf numFmtId="3" fontId="5" fillId="5" borderId="91" xfId="15" applyNumberFormat="1" applyFont="1" applyFill="1" applyBorder="1" applyAlignment="1">
      <alignment horizontal="right" vertical="center"/>
    </xf>
    <xf numFmtId="1" fontId="0" fillId="4" borderId="26" xfId="15" applyNumberFormat="1" applyFont="1" applyFill="1" applyBorder="1" applyAlignment="1">
      <alignment horizontal="center" vertical="center"/>
    </xf>
    <xf numFmtId="1" fontId="13" fillId="24" borderId="39" xfId="15" applyNumberFormat="1" applyFont="1" applyFill="1" applyBorder="1" applyAlignment="1">
      <alignment horizontal="center" vertical="center"/>
    </xf>
    <xf numFmtId="3" fontId="13" fillId="24" borderId="28" xfId="15" applyNumberFormat="1" applyFont="1" applyFill="1" applyBorder="1" applyAlignment="1">
      <alignment horizontal="right" vertical="center"/>
    </xf>
    <xf numFmtId="1" fontId="5" fillId="25" borderId="99" xfId="15" applyNumberFormat="1" applyFont="1" applyFill="1" applyBorder="1" applyAlignment="1">
      <alignment horizontal="center" vertical="center"/>
    </xf>
    <xf numFmtId="1" fontId="13" fillId="15" borderId="39" xfId="0" applyNumberFormat="1" applyFont="1" applyFill="1" applyBorder="1" applyAlignment="1">
      <alignment horizontal="center" vertical="center"/>
    </xf>
    <xf numFmtId="1" fontId="34" fillId="17" borderId="0" xfId="0" applyNumberFormat="1" applyFont="1" applyFill="1" applyBorder="1" applyAlignment="1">
      <alignment horizontal="center"/>
    </xf>
    <xf numFmtId="3" fontId="7" fillId="4" borderId="106" xfId="0" applyNumberFormat="1" applyFont="1" applyFill="1" applyBorder="1" applyAlignment="1">
      <alignment horizontal="center"/>
    </xf>
    <xf numFmtId="3" fontId="0" fillId="4" borderId="106" xfId="0" applyNumberFormat="1" applyFont="1" applyFill="1" applyBorder="1" applyAlignment="1">
      <alignment horizontal="right"/>
    </xf>
    <xf numFmtId="0" fontId="5" fillId="34" borderId="99" xfId="0" applyFont="1" applyFill="1" applyBorder="1" applyAlignment="1">
      <alignment vertical="center"/>
    </xf>
    <xf numFmtId="3" fontId="14" fillId="5" borderId="91" xfId="0" applyNumberFormat="1" applyFont="1" applyFill="1" applyBorder="1" applyAlignment="1">
      <alignment horizontal="right" vertical="center"/>
    </xf>
    <xf numFmtId="0" fontId="14" fillId="5" borderId="91" xfId="0" applyFont="1" applyFill="1" applyBorder="1" applyAlignment="1">
      <alignment horizontal="right" vertical="center"/>
    </xf>
    <xf numFmtId="0" fontId="5" fillId="34" borderId="0" xfId="0" applyFont="1" applyFill="1" applyBorder="1" applyAlignment="1">
      <alignment vertical="center"/>
    </xf>
    <xf numFmtId="0" fontId="0" fillId="4" borderId="107" xfId="0" applyNumberFormat="1" applyFont="1" applyFill="1" applyBorder="1" applyAlignment="1">
      <alignment vertical="center"/>
    </xf>
    <xf numFmtId="3" fontId="13" fillId="4" borderId="107" xfId="0" applyNumberFormat="1" applyFont="1" applyFill="1" applyBorder="1" applyAlignment="1">
      <alignment horizontal="right" vertical="center"/>
    </xf>
    <xf numFmtId="0" fontId="0" fillId="35" borderId="61" xfId="0" applyFont="1" applyFill="1" applyBorder="1" applyAlignment="1">
      <alignment vertical="center"/>
    </xf>
    <xf numFmtId="0" fontId="13" fillId="4" borderId="2" xfId="0" applyFont="1" applyFill="1" applyBorder="1" applyAlignment="1">
      <alignment vertical="center"/>
    </xf>
    <xf numFmtId="3" fontId="0" fillId="4" borderId="28" xfId="0" applyNumberFormat="1" applyFont="1" applyFill="1" applyBorder="1" applyAlignment="1">
      <alignment vertical="center"/>
    </xf>
    <xf numFmtId="3" fontId="13" fillId="4" borderId="28" xfId="0" applyNumberFormat="1" applyFont="1" applyFill="1" applyBorder="1" applyAlignment="1">
      <alignment/>
    </xf>
    <xf numFmtId="1" fontId="13" fillId="4" borderId="26" xfId="0" applyNumberFormat="1" applyFont="1" applyFill="1" applyBorder="1" applyAlignment="1">
      <alignment horizontal="left" vertical="center"/>
    </xf>
    <xf numFmtId="3" fontId="23" fillId="4" borderId="28" xfId="0" applyNumberFormat="1" applyFont="1" applyFill="1" applyBorder="1" applyAlignment="1">
      <alignment/>
    </xf>
    <xf numFmtId="3" fontId="0" fillId="4" borderId="32" xfId="0" applyNumberFormat="1" applyFont="1" applyFill="1" applyBorder="1" applyAlignment="1">
      <alignment vertical="center"/>
    </xf>
    <xf numFmtId="3" fontId="13" fillId="4" borderId="32" xfId="0" applyNumberFormat="1" applyFont="1" applyFill="1" applyBorder="1" applyAlignment="1">
      <alignment/>
    </xf>
    <xf numFmtId="0" fontId="13" fillId="4" borderId="28" xfId="0" applyFont="1" applyFill="1" applyBorder="1" applyAlignment="1">
      <alignment vertical="center"/>
    </xf>
    <xf numFmtId="1" fontId="13" fillId="35" borderId="26" xfId="0" applyNumberFormat="1" applyFont="1" applyFill="1" applyBorder="1" applyAlignment="1">
      <alignment horizontal="left" vertical="center"/>
    </xf>
    <xf numFmtId="0" fontId="0" fillId="35" borderId="26" xfId="0" applyFont="1" applyFill="1" applyBorder="1" applyAlignment="1">
      <alignment vertical="center"/>
    </xf>
    <xf numFmtId="3" fontId="0" fillId="4" borderId="28" xfId="0" applyNumberFormat="1" applyFont="1" applyFill="1" applyBorder="1" applyAlignment="1">
      <alignment vertical="center" wrapText="1"/>
    </xf>
    <xf numFmtId="1" fontId="20" fillId="17" borderId="27" xfId="0" applyNumberFormat="1" applyFont="1" applyFill="1" applyBorder="1" applyAlignment="1">
      <alignment horizontal="center"/>
    </xf>
    <xf numFmtId="3" fontId="34" fillId="4" borderId="28" xfId="0" applyNumberFormat="1" applyFont="1" applyFill="1" applyBorder="1" applyAlignment="1">
      <alignment vertical="center"/>
    </xf>
    <xf numFmtId="3" fontId="34" fillId="4" borderId="28" xfId="0" applyNumberFormat="1" applyFont="1" applyFill="1" applyBorder="1" applyAlignment="1">
      <alignment horizontal="center"/>
    </xf>
    <xf numFmtId="3" fontId="0" fillId="4" borderId="21" xfId="0" applyNumberFormat="1" applyFont="1" applyFill="1" applyBorder="1" applyAlignment="1">
      <alignment vertical="center"/>
    </xf>
    <xf numFmtId="3" fontId="34" fillId="4" borderId="21" xfId="0" applyNumberFormat="1" applyFont="1" applyFill="1" applyBorder="1" applyAlignment="1">
      <alignment horizontal="center"/>
    </xf>
    <xf numFmtId="1" fontId="20" fillId="4" borderId="61" xfId="0" applyNumberFormat="1" applyFont="1" applyFill="1" applyBorder="1" applyAlignment="1">
      <alignment horizontal="center"/>
    </xf>
    <xf numFmtId="3" fontId="13" fillId="4" borderId="29" xfId="0" applyNumberFormat="1" applyFont="1" applyFill="1" applyBorder="1" applyAlignment="1">
      <alignment horizontal="right"/>
    </xf>
    <xf numFmtId="0" fontId="0" fillId="35" borderId="86" xfId="0" applyFont="1" applyFill="1" applyBorder="1" applyAlignment="1">
      <alignment vertical="center"/>
    </xf>
    <xf numFmtId="0" fontId="13" fillId="4" borderId="21" xfId="0" applyFont="1" applyFill="1" applyBorder="1" applyAlignment="1">
      <alignment vertical="center"/>
    </xf>
    <xf numFmtId="1" fontId="13" fillId="4" borderId="108" xfId="0" applyNumberFormat="1" applyFont="1" applyFill="1" applyBorder="1" applyAlignment="1">
      <alignment horizontal="left" vertical="center"/>
    </xf>
    <xf numFmtId="0" fontId="13" fillId="4" borderId="32" xfId="0" applyFont="1" applyFill="1" applyBorder="1" applyAlignment="1">
      <alignment vertical="center"/>
    </xf>
    <xf numFmtId="3" fontId="13" fillId="4" borderId="32" xfId="0" applyNumberFormat="1" applyFont="1" applyFill="1" applyBorder="1" applyAlignment="1">
      <alignment vertical="center"/>
    </xf>
    <xf numFmtId="0" fontId="0" fillId="4" borderId="28" xfId="0" applyNumberFormat="1" applyFill="1" applyBorder="1" applyAlignment="1">
      <alignment vertical="center"/>
    </xf>
    <xf numFmtId="3" fontId="13" fillId="35" borderId="28" xfId="0" applyNumberFormat="1" applyFont="1" applyFill="1" applyBorder="1" applyAlignment="1">
      <alignment/>
    </xf>
    <xf numFmtId="3" fontId="13" fillId="35" borderId="21" xfId="0" applyNumberFormat="1" applyFont="1" applyFill="1" applyBorder="1" applyAlignment="1">
      <alignment/>
    </xf>
    <xf numFmtId="0" fontId="0" fillId="4" borderId="61" xfId="0" applyFont="1" applyFill="1" applyBorder="1" applyAlignment="1">
      <alignment vertical="center"/>
    </xf>
    <xf numFmtId="3" fontId="13" fillId="4" borderId="21" xfId="0" applyNumberFormat="1" applyFont="1" applyFill="1" applyBorder="1" applyAlignment="1">
      <alignment/>
    </xf>
    <xf numFmtId="3" fontId="34" fillId="17" borderId="3" xfId="0" applyNumberFormat="1" applyFont="1" applyFill="1" applyBorder="1" applyAlignment="1">
      <alignment horizontal="center"/>
    </xf>
    <xf numFmtId="1" fontId="20" fillId="4" borderId="28" xfId="0" applyNumberFormat="1" applyFont="1" applyFill="1" applyBorder="1" applyAlignment="1">
      <alignment horizontal="center"/>
    </xf>
    <xf numFmtId="3" fontId="20" fillId="4" borderId="28" xfId="0" applyNumberFormat="1" applyFont="1" applyFill="1" applyBorder="1" applyAlignment="1">
      <alignment vertical="center"/>
    </xf>
    <xf numFmtId="3" fontId="14" fillId="4" borderId="28" xfId="0" applyNumberFormat="1" applyFont="1" applyFill="1" applyBorder="1" applyAlignment="1">
      <alignment horizontal="center"/>
    </xf>
    <xf numFmtId="3" fontId="13" fillId="4" borderId="21" xfId="0" applyNumberFormat="1" applyFont="1" applyFill="1" applyBorder="1" applyAlignment="1">
      <alignment horizontal="right"/>
    </xf>
    <xf numFmtId="1" fontId="5" fillId="23" borderId="104" xfId="0" applyNumberFormat="1" applyFont="1" applyFill="1" applyBorder="1" applyAlignment="1">
      <alignment horizontal="center" vertical="center"/>
    </xf>
    <xf numFmtId="0" fontId="14" fillId="5" borderId="91" xfId="0" applyFont="1" applyFill="1" applyBorder="1" applyAlignment="1">
      <alignment vertical="center"/>
    </xf>
    <xf numFmtId="3" fontId="13" fillId="0" borderId="2" xfId="0" applyNumberFormat="1" applyFont="1" applyBorder="1" applyAlignment="1">
      <alignment horizontal="right" vertical="center"/>
    </xf>
    <xf numFmtId="3" fontId="14" fillId="23" borderId="68" xfId="0" applyNumberFormat="1" applyFont="1" applyFill="1" applyBorder="1" applyAlignment="1">
      <alignment horizontal="right" vertical="center"/>
    </xf>
    <xf numFmtId="0" fontId="14" fillId="23" borderId="68" xfId="0" applyFont="1" applyFill="1" applyBorder="1" applyAlignment="1">
      <alignment vertical="center"/>
    </xf>
    <xf numFmtId="3" fontId="14" fillId="23" borderId="91" xfId="0" applyNumberFormat="1" applyFont="1" applyFill="1" applyBorder="1" applyAlignment="1">
      <alignment horizontal="right" vertical="center"/>
    </xf>
    <xf numFmtId="1" fontId="5" fillId="25" borderId="26" xfId="0" applyNumberFormat="1" applyFont="1" applyFill="1" applyBorder="1" applyAlignment="1">
      <alignment horizontal="center" vertical="center"/>
    </xf>
    <xf numFmtId="3" fontId="14" fillId="25" borderId="91" xfId="0" applyNumberFormat="1" applyFont="1" applyFill="1" applyBorder="1" applyAlignment="1">
      <alignment vertical="center"/>
    </xf>
    <xf numFmtId="3" fontId="14" fillId="8" borderId="2" xfId="0" applyNumberFormat="1" applyFont="1" applyFill="1" applyBorder="1" applyAlignment="1">
      <alignment horizontal="right" vertical="center"/>
    </xf>
    <xf numFmtId="3" fontId="0" fillId="8" borderId="2" xfId="0" applyNumberFormat="1" applyFont="1" applyFill="1" applyBorder="1" applyAlignment="1">
      <alignment horizontal="left" vertical="center"/>
    </xf>
    <xf numFmtId="1" fontId="5" fillId="26" borderId="99" xfId="15" applyNumberFormat="1" applyFont="1" applyFill="1" applyBorder="1" applyAlignment="1">
      <alignment horizontal="center" vertical="center"/>
    </xf>
    <xf numFmtId="3" fontId="13" fillId="4" borderId="28" xfId="0" applyNumberFormat="1" applyFont="1" applyFill="1" applyBorder="1" applyAlignment="1">
      <alignment horizontal="right" vertical="center"/>
    </xf>
    <xf numFmtId="3" fontId="7" fillId="14" borderId="93" xfId="15" applyNumberFormat="1" applyFont="1" applyFill="1" applyBorder="1" applyAlignment="1">
      <alignment horizontal="right" vertical="center"/>
    </xf>
    <xf numFmtId="1" fontId="14" fillId="31" borderId="61" xfId="0" applyNumberFormat="1" applyFont="1" applyFill="1" applyBorder="1" applyAlignment="1">
      <alignment horizontal="right"/>
    </xf>
    <xf numFmtId="3" fontId="14" fillId="31" borderId="92" xfId="0" applyNumberFormat="1" applyFont="1" applyFill="1" applyBorder="1" applyAlignment="1">
      <alignment horizontal="left" vertical="center"/>
    </xf>
    <xf numFmtId="3" fontId="14" fillId="31" borderId="93" xfId="0" applyNumberFormat="1" applyFont="1" applyFill="1" applyBorder="1" applyAlignment="1">
      <alignment horizontal="right"/>
    </xf>
    <xf numFmtId="3" fontId="5" fillId="14" borderId="93" xfId="15" applyNumberFormat="1" applyFont="1" applyFill="1" applyBorder="1" applyAlignment="1">
      <alignment horizontal="right" vertical="center"/>
    </xf>
    <xf numFmtId="4" fontId="13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0" fontId="0" fillId="22" borderId="92" xfId="0" applyFill="1" applyBorder="1" applyAlignment="1">
      <alignment vertical="center"/>
    </xf>
    <xf numFmtId="1" fontId="13" fillId="22" borderId="28" xfId="0" applyNumberFormat="1" applyFont="1" applyFill="1" applyBorder="1" applyAlignment="1">
      <alignment/>
    </xf>
    <xf numFmtId="0" fontId="0" fillId="22" borderId="28" xfId="0" applyFill="1" applyBorder="1" applyAlignment="1">
      <alignment vertical="center"/>
    </xf>
    <xf numFmtId="3" fontId="14" fillId="32" borderId="61" xfId="0" applyNumberFormat="1" applyFont="1" applyFill="1" applyBorder="1" applyAlignment="1">
      <alignment horizontal="right"/>
    </xf>
    <xf numFmtId="3" fontId="13" fillId="32" borderId="61" xfId="0" applyNumberFormat="1" applyFont="1" applyFill="1" applyBorder="1" applyAlignment="1">
      <alignment horizontal="right"/>
    </xf>
    <xf numFmtId="3" fontId="13" fillId="22" borderId="28" xfId="0" applyNumberFormat="1" applyFont="1" applyFill="1" applyBorder="1" applyAlignment="1">
      <alignment/>
    </xf>
    <xf numFmtId="3" fontId="13" fillId="22" borderId="28" xfId="0" applyNumberFormat="1" applyFont="1" applyFill="1" applyBorder="1" applyAlignment="1">
      <alignment vertical="center" wrapText="1"/>
    </xf>
    <xf numFmtId="1" fontId="34" fillId="17" borderId="39" xfId="0" applyNumberFormat="1" applyFont="1" applyFill="1" applyBorder="1" applyAlignment="1">
      <alignment horizontal="center"/>
    </xf>
    <xf numFmtId="3" fontId="34" fillId="17" borderId="92" xfId="0" applyNumberFormat="1" applyFont="1" applyFill="1" applyBorder="1" applyAlignment="1">
      <alignment vertical="center"/>
    </xf>
    <xf numFmtId="1" fontId="5" fillId="36" borderId="104" xfId="0" applyNumberFormat="1" applyFont="1" applyFill="1" applyBorder="1" applyAlignment="1">
      <alignment vertical="center"/>
    </xf>
    <xf numFmtId="3" fontId="5" fillId="36" borderId="109" xfId="0" applyNumberFormat="1" applyFont="1" applyFill="1" applyBorder="1" applyAlignment="1">
      <alignment vertical="center"/>
    </xf>
    <xf numFmtId="3" fontId="5" fillId="36" borderId="68" xfId="0" applyNumberFormat="1" applyFont="1" applyFill="1" applyBorder="1" applyAlignment="1">
      <alignment/>
    </xf>
    <xf numFmtId="3" fontId="5" fillId="36" borderId="68" xfId="15" applyNumberFormat="1" applyFont="1" applyFill="1" applyBorder="1" applyAlignment="1">
      <alignment/>
    </xf>
    <xf numFmtId="1" fontId="0" fillId="0" borderId="43" xfId="0" applyNumberFormat="1" applyFont="1" applyBorder="1" applyAlignment="1">
      <alignment horizontal="center"/>
    </xf>
    <xf numFmtId="3" fontId="0" fillId="0" borderId="2" xfId="0" applyNumberFormat="1" applyBorder="1" applyAlignment="1">
      <alignment/>
    </xf>
    <xf numFmtId="1" fontId="14" fillId="37" borderId="110" xfId="0" applyNumberFormat="1" applyFont="1" applyFill="1" applyBorder="1" applyAlignment="1">
      <alignment horizontal="center" vertical="center"/>
    </xf>
    <xf numFmtId="0" fontId="10" fillId="37" borderId="111" xfId="0" applyFont="1" applyFill="1" applyBorder="1" applyAlignment="1">
      <alignment horizontal="center" vertical="center"/>
    </xf>
    <xf numFmtId="3" fontId="18" fillId="37" borderId="112" xfId="15" applyNumberFormat="1" applyFont="1" applyFill="1" applyBorder="1" applyAlignment="1">
      <alignment horizontal="right" vertical="center"/>
    </xf>
    <xf numFmtId="0" fontId="5" fillId="38" borderId="99" xfId="0" applyFont="1" applyFill="1" applyBorder="1" applyAlignment="1">
      <alignment vertical="center"/>
    </xf>
    <xf numFmtId="0" fontId="5" fillId="38" borderId="113" xfId="0" applyNumberFormat="1" applyFont="1" applyFill="1" applyBorder="1" applyAlignment="1">
      <alignment vertical="center" wrapText="1"/>
    </xf>
    <xf numFmtId="3" fontId="14" fillId="38" borderId="91" xfId="0" applyNumberFormat="1" applyFont="1" applyFill="1" applyBorder="1" applyAlignment="1">
      <alignment horizontal="right" vertical="center"/>
    </xf>
    <xf numFmtId="0" fontId="0" fillId="39" borderId="61" xfId="0" applyFont="1" applyFill="1" applyBorder="1" applyAlignment="1">
      <alignment vertical="center"/>
    </xf>
    <xf numFmtId="3" fontId="0" fillId="39" borderId="100" xfId="0" applyNumberFormat="1" applyFont="1" applyFill="1" applyBorder="1" applyAlignment="1">
      <alignment vertical="center"/>
    </xf>
    <xf numFmtId="3" fontId="13" fillId="39" borderId="2" xfId="0" applyNumberFormat="1" applyFont="1" applyFill="1" applyBorder="1" applyAlignment="1">
      <alignment horizontal="right" vertical="center"/>
    </xf>
    <xf numFmtId="3" fontId="13" fillId="4" borderId="2" xfId="0" applyNumberFormat="1" applyFont="1" applyFill="1" applyBorder="1" applyAlignment="1">
      <alignment horizontal="right" vertical="center"/>
    </xf>
    <xf numFmtId="1" fontId="20" fillId="17" borderId="28" xfId="0" applyNumberFormat="1" applyFont="1" applyFill="1" applyBorder="1" applyAlignment="1">
      <alignment horizontal="center"/>
    </xf>
    <xf numFmtId="3" fontId="7" fillId="14" borderId="93" xfId="15" applyNumberFormat="1" applyFont="1" applyFill="1" applyBorder="1" applyAlignment="1">
      <alignment horizontal="right" vertical="center"/>
    </xf>
    <xf numFmtId="1" fontId="14" fillId="40" borderId="114" xfId="0" applyNumberFormat="1" applyFont="1" applyFill="1" applyBorder="1" applyAlignment="1">
      <alignment horizontal="center" vertical="center"/>
    </xf>
    <xf numFmtId="0" fontId="3" fillId="40" borderId="115" xfId="0" applyNumberFormat="1" applyFont="1" applyFill="1" applyBorder="1" applyAlignment="1">
      <alignment horizontal="left" vertical="center"/>
    </xf>
    <xf numFmtId="3" fontId="18" fillId="40" borderId="87" xfId="0" applyNumberFormat="1" applyFont="1" applyFill="1" applyBorder="1" applyAlignment="1">
      <alignment horizontal="right" vertical="center"/>
    </xf>
    <xf numFmtId="1" fontId="14" fillId="41" borderId="116" xfId="0" applyNumberFormat="1" applyFont="1" applyFill="1" applyBorder="1" applyAlignment="1">
      <alignment horizontal="center" vertical="center"/>
    </xf>
    <xf numFmtId="0" fontId="5" fillId="41" borderId="91" xfId="0" applyNumberFormat="1" applyFont="1" applyFill="1" applyBorder="1" applyAlignment="1">
      <alignment horizontal="left" vertical="center"/>
    </xf>
    <xf numFmtId="3" fontId="14" fillId="41" borderId="91" xfId="0" applyNumberFormat="1" applyFont="1" applyFill="1" applyBorder="1" applyAlignment="1">
      <alignment horizontal="right" vertical="center"/>
    </xf>
    <xf numFmtId="1" fontId="14" fillId="4" borderId="34" xfId="0" applyNumberFormat="1" applyFont="1" applyFill="1" applyBorder="1" applyAlignment="1">
      <alignment horizontal="center" vertical="center"/>
    </xf>
    <xf numFmtId="0" fontId="0" fillId="4" borderId="2" xfId="0" applyNumberFormat="1" applyFont="1" applyFill="1" applyBorder="1" applyAlignment="1">
      <alignment horizontal="left" vertical="center"/>
    </xf>
    <xf numFmtId="3" fontId="18" fillId="4" borderId="2" xfId="0" applyNumberFormat="1" applyFont="1" applyFill="1" applyBorder="1" applyAlignment="1">
      <alignment horizontal="right" vertical="center"/>
    </xf>
    <xf numFmtId="3" fontId="23" fillId="4" borderId="2" xfId="0" applyNumberFormat="1" applyFont="1" applyFill="1" applyBorder="1" applyAlignment="1">
      <alignment horizontal="right" vertical="center"/>
    </xf>
    <xf numFmtId="1" fontId="13" fillId="4" borderId="56" xfId="0" applyNumberFormat="1" applyFont="1" applyFill="1" applyBorder="1" applyAlignment="1">
      <alignment horizontal="center" vertical="center"/>
    </xf>
    <xf numFmtId="0" fontId="0" fillId="4" borderId="28" xfId="0" applyNumberFormat="1" applyFont="1" applyFill="1" applyBorder="1" applyAlignment="1">
      <alignment horizontal="left" vertical="center"/>
    </xf>
    <xf numFmtId="3" fontId="18" fillId="4" borderId="28" xfId="0" applyNumberFormat="1" applyFont="1" applyFill="1" applyBorder="1" applyAlignment="1">
      <alignment horizontal="right" vertical="center"/>
    </xf>
    <xf numFmtId="1" fontId="13" fillId="4" borderId="73" xfId="0" applyNumberFormat="1" applyFont="1" applyFill="1" applyBorder="1" applyAlignment="1">
      <alignment horizontal="center" vertical="center"/>
    </xf>
    <xf numFmtId="3" fontId="18" fillId="4" borderId="21" xfId="0" applyNumberFormat="1" applyFont="1" applyFill="1" applyBorder="1" applyAlignment="1">
      <alignment horizontal="right" vertical="center"/>
    </xf>
    <xf numFmtId="1" fontId="13" fillId="4" borderId="117" xfId="0" applyNumberFormat="1" applyFont="1" applyFill="1" applyBorder="1" applyAlignment="1">
      <alignment horizontal="center" vertical="center"/>
    </xf>
    <xf numFmtId="3" fontId="18" fillId="4" borderId="33" xfId="0" applyNumberFormat="1" applyFont="1" applyFill="1" applyBorder="1" applyAlignment="1">
      <alignment horizontal="right" vertical="center"/>
    </xf>
    <xf numFmtId="1" fontId="5" fillId="31" borderId="118" xfId="0" applyNumberFormat="1" applyFont="1" applyFill="1" applyBorder="1" applyAlignment="1">
      <alignment horizontal="center" vertical="center"/>
    </xf>
    <xf numFmtId="3" fontId="5" fillId="31" borderId="119" xfId="0" applyNumberFormat="1" applyFont="1" applyFill="1" applyBorder="1" applyAlignment="1">
      <alignment horizontal="left" vertical="center" wrapText="1"/>
    </xf>
    <xf numFmtId="3" fontId="14" fillId="31" borderId="105" xfId="0" applyNumberFormat="1" applyFont="1" applyFill="1" applyBorder="1" applyAlignment="1">
      <alignment horizontal="right" vertical="center"/>
    </xf>
    <xf numFmtId="1" fontId="14" fillId="4" borderId="56" xfId="0" applyNumberFormat="1" applyFont="1" applyFill="1" applyBorder="1" applyAlignment="1">
      <alignment horizontal="center" vertical="center"/>
    </xf>
    <xf numFmtId="0" fontId="6" fillId="4" borderId="28" xfId="0" applyNumberFormat="1" applyFont="1" applyFill="1" applyBorder="1" applyAlignment="1">
      <alignment horizontal="left" vertical="center" wrapText="1"/>
    </xf>
    <xf numFmtId="1" fontId="14" fillId="32" borderId="56" xfId="0" applyNumberFormat="1" applyFont="1" applyFill="1" applyBorder="1" applyAlignment="1">
      <alignment horizontal="center" vertical="center"/>
    </xf>
    <xf numFmtId="0" fontId="4" fillId="32" borderId="28" xfId="0" applyNumberFormat="1" applyFont="1" applyFill="1" applyBorder="1" applyAlignment="1">
      <alignment horizontal="left" vertical="center" wrapText="1"/>
    </xf>
    <xf numFmtId="3" fontId="20" fillId="32" borderId="28" xfId="0" applyNumberFormat="1" applyFont="1" applyFill="1" applyBorder="1" applyAlignment="1">
      <alignment horizontal="right" vertical="center"/>
    </xf>
    <xf numFmtId="0" fontId="0" fillId="4" borderId="28" xfId="0" applyNumberFormat="1" applyFont="1" applyFill="1" applyBorder="1" applyAlignment="1">
      <alignment horizontal="left" vertical="center" wrapText="1"/>
    </xf>
    <xf numFmtId="1" fontId="13" fillId="32" borderId="56" xfId="0" applyNumberFormat="1" applyFont="1" applyFill="1" applyBorder="1" applyAlignment="1">
      <alignment horizontal="center" vertical="center"/>
    </xf>
    <xf numFmtId="0" fontId="0" fillId="32" borderId="28" xfId="0" applyNumberFormat="1" applyFont="1" applyFill="1" applyBorder="1" applyAlignment="1">
      <alignment horizontal="left" vertical="center" wrapText="1"/>
    </xf>
    <xf numFmtId="3" fontId="13" fillId="32" borderId="28" xfId="0" applyNumberFormat="1" applyFont="1" applyFill="1" applyBorder="1" applyAlignment="1">
      <alignment horizontal="right" vertical="center"/>
    </xf>
    <xf numFmtId="0" fontId="0" fillId="4" borderId="28" xfId="0" applyNumberFormat="1" applyFont="1" applyFill="1" applyBorder="1" applyAlignment="1">
      <alignment vertical="center" wrapText="1"/>
    </xf>
    <xf numFmtId="0" fontId="0" fillId="4" borderId="21" xfId="0" applyNumberFormat="1" applyFont="1" applyFill="1" applyBorder="1" applyAlignment="1">
      <alignment horizontal="left" vertical="center"/>
    </xf>
    <xf numFmtId="3" fontId="4" fillId="32" borderId="28" xfId="0" applyNumberFormat="1" applyFont="1" applyFill="1" applyBorder="1" applyAlignment="1">
      <alignment vertical="center" wrapText="1"/>
    </xf>
    <xf numFmtId="1" fontId="13" fillId="4" borderId="0" xfId="0" applyNumberFormat="1" applyFont="1" applyFill="1" applyBorder="1" applyAlignment="1">
      <alignment horizontal="center" vertical="center"/>
    </xf>
    <xf numFmtId="3" fontId="13" fillId="4" borderId="3" xfId="0" applyNumberFormat="1" applyFont="1" applyFill="1" applyBorder="1" applyAlignment="1">
      <alignment horizontal="right" vertical="center"/>
    </xf>
    <xf numFmtId="1" fontId="5" fillId="6" borderId="118" xfId="0" applyNumberFormat="1" applyFont="1" applyFill="1" applyBorder="1" applyAlignment="1">
      <alignment horizontal="center" vertical="center"/>
    </xf>
    <xf numFmtId="3" fontId="5" fillId="6" borderId="119" xfId="0" applyNumberFormat="1" applyFont="1" applyFill="1" applyBorder="1" applyAlignment="1">
      <alignment horizontal="left" vertical="center" wrapText="1"/>
    </xf>
    <xf numFmtId="3" fontId="14" fillId="6" borderId="105" xfId="0" applyNumberFormat="1" applyFont="1" applyFill="1" applyBorder="1" applyAlignment="1">
      <alignment horizontal="right" vertical="center"/>
    </xf>
    <xf numFmtId="1" fontId="14" fillId="7" borderId="56" xfId="0" applyNumberFormat="1" applyFont="1" applyFill="1" applyBorder="1" applyAlignment="1">
      <alignment horizontal="center" vertical="center"/>
    </xf>
    <xf numFmtId="0" fontId="4" fillId="7" borderId="28" xfId="0" applyNumberFormat="1" applyFont="1" applyFill="1" applyBorder="1" applyAlignment="1">
      <alignment horizontal="left" vertical="center" wrapText="1"/>
    </xf>
    <xf numFmtId="3" fontId="20" fillId="7" borderId="28" xfId="0" applyNumberFormat="1" applyFont="1" applyFill="1" applyBorder="1" applyAlignment="1">
      <alignment horizontal="right" vertical="center"/>
    </xf>
    <xf numFmtId="1" fontId="20" fillId="7" borderId="28" xfId="0" applyNumberFormat="1" applyFont="1" applyFill="1" applyBorder="1" applyAlignment="1">
      <alignment horizontal="center"/>
    </xf>
    <xf numFmtId="3" fontId="4" fillId="7" borderId="28" xfId="0" applyNumberFormat="1" applyFont="1" applyFill="1" applyBorder="1" applyAlignment="1">
      <alignment vertical="center" wrapText="1"/>
    </xf>
    <xf numFmtId="3" fontId="5" fillId="29" borderId="109" xfId="0" applyNumberFormat="1" applyFont="1" applyFill="1" applyBorder="1" applyAlignment="1">
      <alignment horizontal="left" vertical="center" wrapText="1"/>
    </xf>
    <xf numFmtId="3" fontId="14" fillId="29" borderId="68" xfId="0" applyNumberFormat="1" applyFont="1" applyFill="1" applyBorder="1" applyAlignment="1">
      <alignment horizontal="right" vertical="center"/>
    </xf>
    <xf numFmtId="0" fontId="13" fillId="4" borderId="2" xfId="0" applyFont="1" applyFill="1" applyBorder="1" applyAlignment="1">
      <alignment horizontal="right" vertical="center"/>
    </xf>
    <xf numFmtId="0" fontId="13" fillId="30" borderId="28" xfId="0" applyFont="1" applyFill="1" applyBorder="1" applyAlignment="1">
      <alignment horizontal="left" vertical="center"/>
    </xf>
    <xf numFmtId="0" fontId="13" fillId="30" borderId="28" xfId="0" applyFont="1" applyFill="1" applyBorder="1" applyAlignment="1">
      <alignment horizontal="right" vertical="center"/>
    </xf>
    <xf numFmtId="0" fontId="13" fillId="4" borderId="28" xfId="0" applyFont="1" applyFill="1" applyBorder="1" applyAlignment="1">
      <alignment horizontal="right" vertical="center"/>
    </xf>
    <xf numFmtId="0" fontId="13" fillId="30" borderId="28" xfId="0" applyNumberFormat="1" applyFont="1" applyFill="1" applyBorder="1" applyAlignment="1">
      <alignment horizontal="left" vertical="center"/>
    </xf>
    <xf numFmtId="0" fontId="13" fillId="30" borderId="28" xfId="0" applyNumberFormat="1" applyFont="1" applyFill="1" applyBorder="1" applyAlignment="1">
      <alignment horizontal="right" vertical="center"/>
    </xf>
    <xf numFmtId="1" fontId="5" fillId="25" borderId="0" xfId="0" applyNumberFormat="1" applyFont="1" applyFill="1" applyBorder="1" applyAlignment="1">
      <alignment horizontal="center" vertical="center"/>
    </xf>
    <xf numFmtId="3" fontId="5" fillId="25" borderId="109" xfId="0" applyNumberFormat="1" applyFont="1" applyFill="1" applyBorder="1" applyAlignment="1">
      <alignment horizontal="left" vertical="center" wrapText="1"/>
    </xf>
    <xf numFmtId="3" fontId="14" fillId="25" borderId="3" xfId="0" applyNumberFormat="1" applyFont="1" applyFill="1" applyBorder="1" applyAlignment="1">
      <alignment horizontal="right" vertical="center"/>
    </xf>
    <xf numFmtId="3" fontId="22" fillId="4" borderId="56" xfId="0" applyNumberFormat="1" applyFont="1" applyFill="1" applyBorder="1" applyAlignment="1">
      <alignment vertical="center" wrapText="1"/>
    </xf>
    <xf numFmtId="1" fontId="0" fillId="18" borderId="28" xfId="0" applyNumberFormat="1" applyFont="1" applyFill="1" applyBorder="1" applyAlignment="1">
      <alignment horizontal="center"/>
    </xf>
    <xf numFmtId="0" fontId="4" fillId="18" borderId="56" xfId="0" applyNumberFormat="1" applyFont="1" applyFill="1" applyBorder="1" applyAlignment="1">
      <alignment horizontal="left" vertical="center" wrapText="1"/>
    </xf>
    <xf numFmtId="3" fontId="7" fillId="18" borderId="28" xfId="15" applyNumberFormat="1" applyFont="1" applyFill="1" applyBorder="1" applyAlignment="1">
      <alignment horizontal="right"/>
    </xf>
    <xf numFmtId="1" fontId="0" fillId="0" borderId="28" xfId="0" applyNumberFormat="1" applyFont="1" applyBorder="1" applyAlignment="1">
      <alignment horizontal="center"/>
    </xf>
    <xf numFmtId="0" fontId="0" fillId="4" borderId="56" xfId="0" applyNumberFormat="1" applyFont="1" applyFill="1" applyBorder="1" applyAlignment="1">
      <alignment horizontal="left" vertical="center" wrapText="1"/>
    </xf>
    <xf numFmtId="3" fontId="13" fillId="4" borderId="28" xfId="0" applyNumberFormat="1" applyFont="1" applyFill="1" applyBorder="1" applyAlignment="1">
      <alignment horizontal="right" vertical="center"/>
    </xf>
    <xf numFmtId="3" fontId="0" fillId="4" borderId="34" xfId="0" applyNumberFormat="1" applyFont="1" applyFill="1" applyBorder="1" applyAlignment="1">
      <alignment vertical="center"/>
    </xf>
    <xf numFmtId="0" fontId="7" fillId="4" borderId="28" xfId="0" applyNumberFormat="1" applyFont="1" applyFill="1" applyBorder="1" applyAlignment="1">
      <alignment horizontal="left" vertical="center" wrapText="1"/>
    </xf>
    <xf numFmtId="3" fontId="20" fillId="4" borderId="28" xfId="0" applyNumberFormat="1" applyFont="1" applyFill="1" applyBorder="1" applyAlignment="1">
      <alignment horizontal="right" vertical="center"/>
    </xf>
    <xf numFmtId="3" fontId="5" fillId="11" borderId="94" xfId="0" applyNumberFormat="1" applyFont="1" applyFill="1" applyBorder="1" applyAlignment="1">
      <alignment horizontal="center" vertical="center"/>
    </xf>
    <xf numFmtId="3" fontId="5" fillId="12" borderId="113" xfId="0" applyNumberFormat="1" applyFont="1" applyFill="1" applyBorder="1" applyAlignment="1">
      <alignment horizontal="left" vertical="center"/>
    </xf>
    <xf numFmtId="3" fontId="5" fillId="12" borderId="113" xfId="0" applyNumberFormat="1" applyFont="1" applyFill="1" applyBorder="1" applyAlignment="1">
      <alignment horizontal="right" vertical="center"/>
    </xf>
    <xf numFmtId="1" fontId="0" fillId="4" borderId="61" xfId="0" applyNumberFormat="1" applyFont="1" applyFill="1" applyBorder="1" applyAlignment="1">
      <alignment horizontal="center"/>
    </xf>
    <xf numFmtId="1" fontId="14" fillId="40" borderId="110" xfId="0" applyNumberFormat="1" applyFont="1" applyFill="1" applyBorder="1" applyAlignment="1">
      <alignment horizontal="center" vertical="center"/>
    </xf>
    <xf numFmtId="0" fontId="10" fillId="40" borderId="111" xfId="0" applyFont="1" applyFill="1" applyBorder="1" applyAlignment="1">
      <alignment horizontal="right" vertical="center"/>
    </xf>
    <xf numFmtId="3" fontId="10" fillId="40" borderId="111" xfId="0" applyNumberFormat="1" applyFont="1" applyFill="1" applyBorder="1" applyAlignment="1">
      <alignment horizontal="center" vertical="center"/>
    </xf>
    <xf numFmtId="1" fontId="5" fillId="29" borderId="118" xfId="0" applyNumberFormat="1" applyFont="1" applyFill="1" applyBorder="1" applyAlignment="1">
      <alignment horizontal="center" vertical="center"/>
    </xf>
    <xf numFmtId="3" fontId="5" fillId="29" borderId="119" xfId="0" applyNumberFormat="1" applyFont="1" applyFill="1" applyBorder="1" applyAlignment="1">
      <alignment horizontal="left" vertical="center"/>
    </xf>
    <xf numFmtId="3" fontId="5" fillId="29" borderId="119" xfId="0" applyNumberFormat="1" applyFont="1" applyFill="1" applyBorder="1" applyAlignment="1">
      <alignment horizontal="right" vertical="center"/>
    </xf>
    <xf numFmtId="1" fontId="4" fillId="0" borderId="28" xfId="0" applyNumberFormat="1" applyFont="1" applyBorder="1" applyAlignment="1">
      <alignment horizontal="center"/>
    </xf>
    <xf numFmtId="0" fontId="4" fillId="4" borderId="28" xfId="0" applyNumberFormat="1" applyFont="1" applyFill="1" applyBorder="1" applyAlignment="1">
      <alignment horizontal="left" vertical="center" wrapText="1"/>
    </xf>
    <xf numFmtId="3" fontId="16" fillId="4" borderId="28" xfId="0" applyNumberFormat="1" applyFont="1" applyFill="1" applyBorder="1" applyAlignment="1">
      <alignment horizontal="right" vertical="center"/>
    </xf>
    <xf numFmtId="3" fontId="4" fillId="14" borderId="93" xfId="15" applyNumberFormat="1" applyFont="1" applyFill="1" applyBorder="1" applyAlignment="1">
      <alignment horizontal="right" vertical="center"/>
    </xf>
    <xf numFmtId="1" fontId="5" fillId="11" borderId="86" xfId="0" applyNumberFormat="1" applyFont="1" applyFill="1" applyBorder="1" applyAlignment="1">
      <alignment horizontal="center"/>
    </xf>
    <xf numFmtId="3" fontId="5" fillId="11" borderId="94" xfId="0" applyNumberFormat="1" applyFont="1" applyFill="1" applyBorder="1" applyAlignment="1">
      <alignment horizontal="center" vertical="center"/>
    </xf>
    <xf numFmtId="3" fontId="5" fillId="42" borderId="113" xfId="0" applyNumberFormat="1" applyFont="1" applyFill="1" applyBorder="1" applyAlignment="1">
      <alignment horizontal="left" vertical="center"/>
    </xf>
    <xf numFmtId="3" fontId="5" fillId="42" borderId="113" xfId="0" applyNumberFormat="1" applyFont="1" applyFill="1" applyBorder="1" applyAlignment="1">
      <alignment horizontal="right" vertical="center"/>
    </xf>
    <xf numFmtId="1" fontId="7" fillId="4" borderId="61" xfId="0" applyNumberFormat="1" applyFont="1" applyFill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Continuous"/>
    </xf>
    <xf numFmtId="3" fontId="9" fillId="0" borderId="3" xfId="0" applyNumberFormat="1" applyFont="1" applyBorder="1" applyAlignment="1">
      <alignment horizontal="centerContinuous"/>
    </xf>
    <xf numFmtId="3" fontId="9" fillId="0" borderId="120" xfId="0" applyNumberFormat="1" applyFont="1" applyBorder="1" applyAlignment="1">
      <alignment horizontal="center"/>
    </xf>
    <xf numFmtId="3" fontId="9" fillId="0" borderId="43" xfId="0" applyNumberFormat="1" applyFont="1" applyBorder="1" applyAlignment="1">
      <alignment horizontal="center"/>
    </xf>
    <xf numFmtId="3" fontId="9" fillId="0" borderId="2" xfId="0" applyNumberFormat="1" applyFont="1" applyBorder="1" applyAlignment="1">
      <alignment horizontal="center"/>
    </xf>
    <xf numFmtId="3" fontId="9" fillId="0" borderId="61" xfId="15" applyNumberFormat="1" applyFont="1" applyBorder="1" applyAlignment="1">
      <alignment horizontal="center" wrapText="1"/>
    </xf>
    <xf numFmtId="1" fontId="0" fillId="23" borderId="0" xfId="0" applyNumberFormat="1" applyFont="1" applyFill="1" applyBorder="1" applyAlignment="1">
      <alignment horizontal="center" vertical="center"/>
    </xf>
    <xf numFmtId="3" fontId="0" fillId="4" borderId="107" xfId="0" applyNumberFormat="1" applyFont="1" applyFill="1" applyBorder="1" applyAlignment="1">
      <alignment horizontal="left" vertical="center" wrapText="1"/>
    </xf>
    <xf numFmtId="3" fontId="13" fillId="4" borderId="107" xfId="0" applyNumberFormat="1" applyFont="1" applyFill="1" applyBorder="1" applyAlignment="1">
      <alignment vertical="center"/>
    </xf>
    <xf numFmtId="3" fontId="5" fillId="4" borderId="28" xfId="0" applyNumberFormat="1" applyFont="1" applyFill="1" applyBorder="1" applyAlignment="1">
      <alignment vertical="center"/>
    </xf>
    <xf numFmtId="3" fontId="5" fillId="5" borderId="91" xfId="0" applyNumberFormat="1" applyFont="1" applyFill="1" applyBorder="1" applyAlignment="1">
      <alignment horizontal="left" vertical="center" wrapText="1"/>
    </xf>
    <xf numFmtId="3" fontId="4" fillId="4" borderId="31" xfId="0" applyNumberFormat="1" applyFont="1" applyFill="1" applyBorder="1" applyAlignment="1">
      <alignment wrapText="1"/>
    </xf>
    <xf numFmtId="0" fontId="0" fillId="4" borderId="41" xfId="0" applyFont="1" applyFill="1" applyBorder="1" applyAlignment="1">
      <alignment wrapText="1"/>
    </xf>
    <xf numFmtId="3" fontId="0" fillId="4" borderId="41" xfId="0" applyNumberFormat="1" applyFont="1" applyFill="1" applyBorder="1" applyAlignment="1">
      <alignment wrapText="1"/>
    </xf>
    <xf numFmtId="3" fontId="4" fillId="4" borderId="29" xfId="0" applyNumberFormat="1" applyFont="1" applyFill="1" applyBorder="1" applyAlignment="1">
      <alignment/>
    </xf>
    <xf numFmtId="0" fontId="4" fillId="4" borderId="32" xfId="0" applyFont="1" applyFill="1" applyBorder="1" applyAlignment="1">
      <alignment/>
    </xf>
    <xf numFmtId="3" fontId="4" fillId="4" borderId="32" xfId="0" applyNumberFormat="1" applyFont="1" applyFill="1" applyBorder="1" applyAlignment="1">
      <alignment/>
    </xf>
    <xf numFmtId="0" fontId="0" fillId="4" borderId="63" xfId="0" applyFont="1" applyFill="1" applyBorder="1" applyAlignment="1">
      <alignment/>
    </xf>
    <xf numFmtId="3" fontId="0" fillId="4" borderId="63" xfId="0" applyNumberFormat="1" applyFont="1" applyFill="1" applyBorder="1" applyAlignment="1">
      <alignment/>
    </xf>
    <xf numFmtId="0" fontId="0" fillId="4" borderId="121" xfId="0" applyFont="1" applyFill="1" applyBorder="1" applyAlignment="1">
      <alignment/>
    </xf>
    <xf numFmtId="3" fontId="0" fillId="4" borderId="121" xfId="0" applyNumberFormat="1" applyFont="1" applyFill="1" applyBorder="1" applyAlignment="1">
      <alignment/>
    </xf>
    <xf numFmtId="3" fontId="5" fillId="5" borderId="61" xfId="0" applyNumberFormat="1" applyFont="1" applyFill="1" applyBorder="1" applyAlignment="1">
      <alignment wrapText="1"/>
    </xf>
    <xf numFmtId="3" fontId="5" fillId="5" borderId="122" xfId="0" applyNumberFormat="1" applyFont="1" applyFill="1" applyBorder="1" applyAlignment="1">
      <alignment wrapText="1"/>
    </xf>
    <xf numFmtId="1" fontId="5" fillId="5" borderId="2" xfId="0" applyNumberFormat="1" applyFont="1" applyFill="1" applyBorder="1" applyAlignment="1">
      <alignment/>
    </xf>
    <xf numFmtId="1" fontId="5" fillId="4" borderId="21" xfId="0" applyNumberFormat="1" applyFont="1" applyFill="1" applyBorder="1" applyAlignment="1">
      <alignment/>
    </xf>
    <xf numFmtId="1" fontId="5" fillId="4" borderId="28" xfId="0" applyNumberFormat="1" applyFont="1" applyFill="1" applyBorder="1" applyAlignment="1">
      <alignment/>
    </xf>
    <xf numFmtId="3" fontId="5" fillId="4" borderId="61" xfId="0" applyNumberFormat="1" applyFont="1" applyFill="1" applyBorder="1" applyAlignment="1">
      <alignment wrapText="1"/>
    </xf>
    <xf numFmtId="3" fontId="5" fillId="4" borderId="122" xfId="0" applyNumberFormat="1" applyFont="1" applyFill="1" applyBorder="1" applyAlignment="1">
      <alignment wrapText="1"/>
    </xf>
    <xf numFmtId="1" fontId="0" fillId="4" borderId="3" xfId="0" applyNumberFormat="1" applyFont="1" applyFill="1" applyBorder="1" applyAlignment="1">
      <alignment/>
    </xf>
    <xf numFmtId="1" fontId="0" fillId="4" borderId="3" xfId="0" applyNumberFormat="1" applyFont="1" applyFill="1" applyBorder="1" applyAlignment="1">
      <alignment/>
    </xf>
    <xf numFmtId="3" fontId="0" fillId="4" borderId="30" xfId="0" applyNumberFormat="1" applyFont="1" applyFill="1" applyBorder="1" applyAlignment="1">
      <alignment wrapText="1"/>
    </xf>
    <xf numFmtId="3" fontId="0" fillId="4" borderId="86" xfId="0" applyNumberFormat="1" applyFont="1" applyFill="1" applyBorder="1" applyAlignment="1">
      <alignment wrapText="1"/>
    </xf>
    <xf numFmtId="3" fontId="0" fillId="4" borderId="123" xfId="0" applyNumberFormat="1" applyFont="1" applyFill="1" applyBorder="1" applyAlignment="1">
      <alignment wrapText="1"/>
    </xf>
    <xf numFmtId="3" fontId="0" fillId="4" borderId="73" xfId="0" applyNumberFormat="1" applyFont="1" applyFill="1" applyBorder="1" applyAlignment="1">
      <alignment wrapText="1"/>
    </xf>
    <xf numFmtId="3" fontId="35" fillId="4" borderId="21" xfId="0" applyNumberFormat="1" applyFont="1" applyFill="1" applyBorder="1" applyAlignment="1">
      <alignment horizontal="center"/>
    </xf>
    <xf numFmtId="0" fontId="0" fillId="4" borderId="3" xfId="0" applyFont="1" applyFill="1" applyBorder="1" applyAlignment="1">
      <alignment horizontal="left" wrapText="1"/>
    </xf>
    <xf numFmtId="3" fontId="0" fillId="4" borderId="3" xfId="0" applyNumberFormat="1" applyFont="1" applyFill="1" applyBorder="1" applyAlignment="1">
      <alignment horizontal="right" wrapText="1"/>
    </xf>
    <xf numFmtId="3" fontId="31" fillId="4" borderId="24" xfId="0" applyNumberFormat="1" applyFont="1" applyFill="1" applyBorder="1" applyAlignment="1">
      <alignment horizontal="center" vertical="center"/>
    </xf>
    <xf numFmtId="3" fontId="26" fillId="4" borderId="24" xfId="0" applyNumberFormat="1" applyFont="1" applyFill="1" applyBorder="1" applyAlignment="1">
      <alignment horizontal="center" vertical="center"/>
    </xf>
    <xf numFmtId="3" fontId="7" fillId="4" borderId="24" xfId="0" applyNumberFormat="1" applyFont="1" applyFill="1" applyBorder="1" applyAlignment="1">
      <alignment horizontal="right" vertical="center"/>
    </xf>
    <xf numFmtId="3" fontId="4" fillId="4" borderId="46" xfId="0" applyNumberFormat="1" applyFont="1" applyFill="1" applyBorder="1" applyAlignment="1">
      <alignment/>
    </xf>
    <xf numFmtId="0" fontId="4" fillId="4" borderId="47" xfId="0" applyFont="1" applyFill="1" applyBorder="1" applyAlignment="1">
      <alignment/>
    </xf>
    <xf numFmtId="3" fontId="4" fillId="4" borderId="3" xfId="0" applyNumberFormat="1" applyFont="1" applyFill="1" applyBorder="1" applyAlignment="1">
      <alignment wrapText="1"/>
    </xf>
    <xf numFmtId="0" fontId="4" fillId="4" borderId="124" xfId="0" applyFont="1" applyFill="1" applyBorder="1" applyAlignment="1">
      <alignment/>
    </xf>
    <xf numFmtId="3" fontId="4" fillId="4" borderId="124" xfId="0" applyNumberFormat="1" applyFont="1" applyFill="1" applyBorder="1" applyAlignment="1">
      <alignment/>
    </xf>
    <xf numFmtId="1" fontId="5" fillId="5" borderId="28" xfId="0" applyNumberFormat="1" applyFont="1" applyFill="1" applyBorder="1" applyAlignment="1">
      <alignment/>
    </xf>
    <xf numFmtId="3" fontId="5" fillId="5" borderId="43" xfId="0" applyNumberFormat="1" applyFont="1" applyFill="1" applyBorder="1" applyAlignment="1">
      <alignment/>
    </xf>
    <xf numFmtId="3" fontId="5" fillId="5" borderId="125" xfId="0" applyNumberFormat="1" applyFont="1" applyFill="1" applyBorder="1" applyAlignment="1">
      <alignment/>
    </xf>
    <xf numFmtId="3" fontId="5" fillId="5" borderId="34" xfId="0" applyNumberFormat="1" applyFont="1" applyFill="1" applyBorder="1" applyAlignment="1">
      <alignment/>
    </xf>
    <xf numFmtId="1" fontId="5" fillId="4" borderId="3" xfId="0" applyNumberFormat="1" applyFont="1" applyFill="1" applyBorder="1" applyAlignment="1">
      <alignment/>
    </xf>
    <xf numFmtId="1" fontId="5" fillId="4" borderId="28" xfId="0" applyNumberFormat="1" applyFont="1" applyFill="1" applyBorder="1" applyAlignment="1">
      <alignment vertical="top"/>
    </xf>
    <xf numFmtId="3" fontId="0" fillId="4" borderId="126" xfId="0" applyNumberFormat="1" applyFont="1" applyFill="1" applyBorder="1" applyAlignment="1">
      <alignment wrapText="1"/>
    </xf>
    <xf numFmtId="3" fontId="0" fillId="4" borderId="127" xfId="0" applyNumberFormat="1" applyFont="1" applyFill="1" applyBorder="1" applyAlignment="1">
      <alignment wrapText="1"/>
    </xf>
    <xf numFmtId="3" fontId="0" fillId="4" borderId="128" xfId="0" applyNumberFormat="1" applyFont="1" applyFill="1" applyBorder="1" applyAlignment="1">
      <alignment wrapText="1"/>
    </xf>
    <xf numFmtId="3" fontId="0" fillId="4" borderId="3" xfId="0" applyNumberFormat="1" applyFont="1" applyFill="1" applyBorder="1" applyAlignment="1">
      <alignment wrapText="1"/>
    </xf>
    <xf numFmtId="3" fontId="0" fillId="4" borderId="4" xfId="0" applyNumberFormat="1" applyFont="1" applyFill="1" applyBorder="1" applyAlignment="1">
      <alignment wrapText="1"/>
    </xf>
    <xf numFmtId="3" fontId="0" fillId="4" borderId="19" xfId="0" applyNumberFormat="1" applyFont="1" applyFill="1" applyBorder="1" applyAlignment="1">
      <alignment wrapText="1"/>
    </xf>
    <xf numFmtId="3" fontId="0" fillId="4" borderId="120" xfId="0" applyNumberFormat="1" applyFont="1" applyFill="1" applyBorder="1" applyAlignment="1">
      <alignment wrapText="1"/>
    </xf>
    <xf numFmtId="3" fontId="0" fillId="4" borderId="32" xfId="0" applyNumberFormat="1" applyFont="1" applyFill="1" applyBorder="1" applyAlignment="1">
      <alignment wrapText="1"/>
    </xf>
    <xf numFmtId="0" fontId="0" fillId="4" borderId="47" xfId="0" applyFont="1" applyFill="1" applyBorder="1" applyAlignment="1">
      <alignment/>
    </xf>
    <xf numFmtId="0" fontId="0" fillId="4" borderId="47" xfId="0" applyFont="1" applyFill="1" applyBorder="1" applyAlignment="1">
      <alignment wrapText="1"/>
    </xf>
    <xf numFmtId="1" fontId="5" fillId="4" borderId="2" xfId="0" applyNumberFormat="1" applyFont="1" applyFill="1" applyBorder="1" applyAlignment="1">
      <alignment/>
    </xf>
    <xf numFmtId="1" fontId="5" fillId="4" borderId="28" xfId="0" applyNumberFormat="1" applyFont="1" applyFill="1" applyBorder="1" applyAlignment="1">
      <alignment/>
    </xf>
    <xf numFmtId="3" fontId="5" fillId="4" borderId="43" xfId="0" applyNumberFormat="1" applyFont="1" applyFill="1" applyBorder="1" applyAlignment="1">
      <alignment/>
    </xf>
    <xf numFmtId="3" fontId="5" fillId="4" borderId="44" xfId="0" applyNumberFormat="1" applyFont="1" applyFill="1" applyBorder="1" applyAlignment="1">
      <alignment/>
    </xf>
    <xf numFmtId="3" fontId="5" fillId="4" borderId="34" xfId="0" applyNumberFormat="1" applyFont="1" applyFill="1" applyBorder="1" applyAlignment="1">
      <alignment/>
    </xf>
    <xf numFmtId="3" fontId="0" fillId="4" borderId="108" xfId="0" applyNumberFormat="1" applyFont="1" applyFill="1" applyBorder="1" applyAlignment="1">
      <alignment wrapText="1"/>
    </xf>
    <xf numFmtId="3" fontId="0" fillId="4" borderId="129" xfId="0" applyNumberFormat="1" applyFont="1" applyFill="1" applyBorder="1" applyAlignment="1">
      <alignment wrapText="1"/>
    </xf>
    <xf numFmtId="3" fontId="0" fillId="4" borderId="130" xfId="0" applyNumberFormat="1" applyFont="1" applyFill="1" applyBorder="1" applyAlignment="1">
      <alignment wrapText="1"/>
    </xf>
    <xf numFmtId="3" fontId="5" fillId="4" borderId="61" xfId="0" applyNumberFormat="1" applyFont="1" applyFill="1" applyBorder="1" applyAlignment="1">
      <alignment/>
    </xf>
    <xf numFmtId="3" fontId="5" fillId="4" borderId="122" xfId="0" applyNumberFormat="1" applyFont="1" applyFill="1" applyBorder="1" applyAlignment="1">
      <alignment/>
    </xf>
    <xf numFmtId="3" fontId="0" fillId="4" borderId="126" xfId="0" applyNumberFormat="1" applyFont="1" applyFill="1" applyBorder="1" applyAlignment="1">
      <alignment/>
    </xf>
    <xf numFmtId="3" fontId="0" fillId="4" borderId="129" xfId="0" applyNumberFormat="1" applyFont="1" applyFill="1" applyBorder="1" applyAlignment="1">
      <alignment/>
    </xf>
    <xf numFmtId="3" fontId="0" fillId="4" borderId="128" xfId="0" applyNumberFormat="1" applyFont="1" applyFill="1" applyBorder="1" applyAlignment="1">
      <alignment/>
    </xf>
    <xf numFmtId="3" fontId="0" fillId="4" borderId="41" xfId="0" applyNumberFormat="1" applyFont="1" applyFill="1" applyBorder="1" applyAlignment="1">
      <alignment horizontal="right"/>
    </xf>
    <xf numFmtId="0" fontId="4" fillId="4" borderId="26" xfId="0" applyFont="1" applyFill="1" applyBorder="1" applyAlignment="1">
      <alignment/>
    </xf>
    <xf numFmtId="3" fontId="31" fillId="4" borderId="2" xfId="0" applyNumberFormat="1" applyFont="1" applyFill="1" applyBorder="1" applyAlignment="1">
      <alignment horizontal="right"/>
    </xf>
    <xf numFmtId="0" fontId="36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6" fillId="0" borderId="0" xfId="0" applyFont="1" applyAlignment="1">
      <alignment horizontal="centerContinuous"/>
    </xf>
    <xf numFmtId="0" fontId="25" fillId="0" borderId="0" xfId="0" applyFont="1" applyAlignment="1">
      <alignment horizontal="center"/>
    </xf>
    <xf numFmtId="0" fontId="0" fillId="0" borderId="3" xfId="0" applyFont="1" applyBorder="1" applyAlignment="1">
      <alignment vertical="center"/>
    </xf>
    <xf numFmtId="0" fontId="5" fillId="43" borderId="3" xfId="0" applyFont="1" applyFill="1" applyBorder="1" applyAlignment="1">
      <alignment/>
    </xf>
    <xf numFmtId="3" fontId="5" fillId="43" borderId="3" xfId="0" applyNumberFormat="1" applyFont="1" applyFill="1" applyBorder="1" applyAlignment="1">
      <alignment/>
    </xf>
    <xf numFmtId="0" fontId="37" fillId="43" borderId="87" xfId="0" applyFont="1" applyFill="1" applyBorder="1" applyAlignment="1">
      <alignment horizontal="center"/>
    </xf>
    <xf numFmtId="3" fontId="37" fillId="43" borderId="87" xfId="0" applyNumberFormat="1" applyFont="1" applyFill="1" applyBorder="1" applyAlignment="1">
      <alignment horizontal="center"/>
    </xf>
    <xf numFmtId="0" fontId="0" fillId="0" borderId="2" xfId="0" applyFont="1" applyBorder="1" applyAlignment="1">
      <alignment vertical="center"/>
    </xf>
    <xf numFmtId="0" fontId="5" fillId="43" borderId="2" xfId="0" applyFont="1" applyFill="1" applyBorder="1" applyAlignment="1">
      <alignment horizontal="center"/>
    </xf>
    <xf numFmtId="3" fontId="5" fillId="43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/>
    </xf>
    <xf numFmtId="3" fontId="5" fillId="2" borderId="2" xfId="0" applyNumberFormat="1" applyFont="1" applyFill="1" applyBorder="1" applyAlignment="1">
      <alignment/>
    </xf>
    <xf numFmtId="3" fontId="5" fillId="2" borderId="28" xfId="0" applyNumberFormat="1" applyFont="1" applyFill="1" applyBorder="1" applyAlignment="1">
      <alignment/>
    </xf>
    <xf numFmtId="3" fontId="0" fillId="0" borderId="3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0" fontId="0" fillId="9" borderId="21" xfId="0" applyFont="1" applyFill="1" applyBorder="1" applyAlignment="1">
      <alignment/>
    </xf>
    <xf numFmtId="3" fontId="0" fillId="9" borderId="21" xfId="0" applyNumberFormat="1" applyFont="1" applyFill="1" applyBorder="1" applyAlignment="1">
      <alignment/>
    </xf>
    <xf numFmtId="0" fontId="4" fillId="9" borderId="3" xfId="0" applyFont="1" applyFill="1" applyBorder="1" applyAlignment="1">
      <alignment/>
    </xf>
    <xf numFmtId="0" fontId="4" fillId="9" borderId="2" xfId="0" applyFont="1" applyFill="1" applyBorder="1" applyAlignment="1">
      <alignment/>
    </xf>
    <xf numFmtId="3" fontId="4" fillId="9" borderId="2" xfId="0" applyNumberFormat="1" applyFont="1" applyFill="1" applyBorder="1" applyAlignment="1">
      <alignment/>
    </xf>
    <xf numFmtId="0" fontId="4" fillId="4" borderId="34" xfId="0" applyFont="1" applyFill="1" applyBorder="1" applyAlignment="1">
      <alignment/>
    </xf>
    <xf numFmtId="0" fontId="0" fillId="4" borderId="73" xfId="0" applyFont="1" applyFill="1" applyBorder="1" applyAlignment="1">
      <alignment wrapText="1"/>
    </xf>
    <xf numFmtId="0" fontId="5" fillId="5" borderId="28" xfId="0" applyFont="1" applyFill="1" applyBorder="1" applyAlignment="1">
      <alignment horizontal="center"/>
    </xf>
    <xf numFmtId="3" fontId="4" fillId="4" borderId="3" xfId="0" applyNumberFormat="1" applyFont="1" applyFill="1" applyBorder="1" applyAlignment="1">
      <alignment horizontal="right"/>
    </xf>
    <xf numFmtId="2" fontId="0" fillId="4" borderId="21" xfId="0" applyNumberFormat="1" applyFont="1" applyFill="1" applyBorder="1" applyAlignment="1">
      <alignment wrapText="1"/>
    </xf>
    <xf numFmtId="0" fontId="4" fillId="4" borderId="120" xfId="0" applyFont="1" applyFill="1" applyBorder="1" applyAlignment="1">
      <alignment/>
    </xf>
    <xf numFmtId="0" fontId="0" fillId="4" borderId="120" xfId="0" applyFont="1" applyFill="1" applyBorder="1" applyAlignment="1">
      <alignment/>
    </xf>
    <xf numFmtId="0" fontId="4" fillId="4" borderId="2" xfId="0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11" fillId="4" borderId="21" xfId="0" applyFont="1" applyFill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3" fontId="12" fillId="4" borderId="21" xfId="0" applyNumberFormat="1" applyFont="1" applyFill="1" applyBorder="1" applyAlignment="1">
      <alignment horizontal="right"/>
    </xf>
    <xf numFmtId="3" fontId="12" fillId="4" borderId="3" xfId="0" applyNumberFormat="1" applyFont="1" applyFill="1" applyBorder="1" applyAlignment="1">
      <alignment horizontal="center" wrapText="1"/>
    </xf>
    <xf numFmtId="0" fontId="7" fillId="4" borderId="33" xfId="0" applyFont="1" applyFill="1" applyBorder="1" applyAlignment="1">
      <alignment wrapText="1"/>
    </xf>
    <xf numFmtId="3" fontId="7" fillId="4" borderId="33" xfId="0" applyNumberFormat="1" applyFont="1" applyFill="1" applyBorder="1" applyAlignment="1">
      <alignment wrapText="1"/>
    </xf>
    <xf numFmtId="3" fontId="7" fillId="4" borderId="131" xfId="0" applyNumberFormat="1" applyFont="1" applyFill="1" applyBorder="1" applyAlignment="1">
      <alignment wrapText="1"/>
    </xf>
    <xf numFmtId="3" fontId="7" fillId="4" borderId="117" xfId="0" applyNumberFormat="1" applyFont="1" applyFill="1" applyBorder="1" applyAlignment="1">
      <alignment wrapText="1"/>
    </xf>
    <xf numFmtId="0" fontId="0" fillId="4" borderId="39" xfId="0" applyFont="1" applyFill="1" applyBorder="1" applyAlignment="1">
      <alignment/>
    </xf>
    <xf numFmtId="3" fontId="0" fillId="4" borderId="39" xfId="0" applyNumberFormat="1" applyFont="1" applyFill="1" applyBorder="1" applyAlignment="1">
      <alignment/>
    </xf>
    <xf numFmtId="3" fontId="0" fillId="4" borderId="39" xfId="0" applyNumberFormat="1" applyFont="1" applyFill="1" applyBorder="1" applyAlignment="1">
      <alignment horizontal="center"/>
    </xf>
    <xf numFmtId="3" fontId="0" fillId="4" borderId="28" xfId="0" applyNumberFormat="1" applyFont="1" applyFill="1" applyBorder="1" applyAlignment="1">
      <alignment/>
    </xf>
    <xf numFmtId="0" fontId="5" fillId="4" borderId="132" xfId="0" applyFont="1" applyFill="1" applyBorder="1" applyAlignment="1">
      <alignment/>
    </xf>
    <xf numFmtId="0" fontId="5" fillId="4" borderId="87" xfId="0" applyFont="1" applyFill="1" applyBorder="1" applyAlignment="1">
      <alignment/>
    </xf>
    <xf numFmtId="0" fontId="5" fillId="4" borderId="133" xfId="0" applyFont="1" applyFill="1" applyBorder="1" applyAlignment="1">
      <alignment/>
    </xf>
    <xf numFmtId="3" fontId="5" fillId="4" borderId="105" xfId="0" applyNumberFormat="1" applyFont="1" applyFill="1" applyBorder="1" applyAlignment="1">
      <alignment horizontal="right"/>
    </xf>
    <xf numFmtId="3" fontId="5" fillId="4" borderId="134" xfId="0" applyNumberFormat="1" applyFont="1" applyFill="1" applyBorder="1" applyAlignment="1">
      <alignment horizontal="right"/>
    </xf>
    <xf numFmtId="3" fontId="5" fillId="4" borderId="135" xfId="0" applyNumberFormat="1" applyFont="1" applyFill="1" applyBorder="1" applyAlignment="1">
      <alignment horizontal="right"/>
    </xf>
    <xf numFmtId="0" fontId="5" fillId="4" borderId="4" xfId="0" applyFont="1" applyFill="1" applyBorder="1" applyAlignment="1">
      <alignment/>
    </xf>
    <xf numFmtId="3" fontId="5" fillId="4" borderId="3" xfId="0" applyNumberFormat="1" applyFont="1" applyFill="1" applyBorder="1" applyAlignment="1">
      <alignment horizontal="right"/>
    </xf>
    <xf numFmtId="3" fontId="5" fillId="4" borderId="4" xfId="0" applyNumberFormat="1" applyFont="1" applyFill="1" applyBorder="1" applyAlignment="1">
      <alignment horizontal="right"/>
    </xf>
    <xf numFmtId="3" fontId="5" fillId="4" borderId="136" xfId="0" applyNumberFormat="1" applyFont="1" applyFill="1" applyBorder="1" applyAlignment="1">
      <alignment horizontal="right"/>
    </xf>
    <xf numFmtId="3" fontId="5" fillId="4" borderId="0" xfId="0" applyNumberFormat="1" applyFont="1" applyFill="1" applyBorder="1" applyAlignment="1">
      <alignment/>
    </xf>
    <xf numFmtId="3" fontId="5" fillId="4" borderId="4" xfId="0" applyNumberFormat="1" applyFont="1" applyFill="1" applyBorder="1" applyAlignment="1">
      <alignment/>
    </xf>
    <xf numFmtId="3" fontId="5" fillId="4" borderId="95" xfId="0" applyNumberFormat="1" applyFont="1" applyFill="1" applyBorder="1" applyAlignment="1">
      <alignment/>
    </xf>
    <xf numFmtId="0" fontId="7" fillId="4" borderId="70" xfId="0" applyFont="1" applyFill="1" applyBorder="1" applyAlignment="1">
      <alignment horizontal="left" wrapText="1"/>
    </xf>
    <xf numFmtId="3" fontId="7" fillId="4" borderId="70" xfId="0" applyNumberFormat="1" applyFont="1" applyFill="1" applyBorder="1" applyAlignment="1">
      <alignment horizontal="right" wrapText="1"/>
    </xf>
    <xf numFmtId="3" fontId="7" fillId="4" borderId="137" xfId="0" applyNumberFormat="1" applyFont="1" applyFill="1" applyBorder="1" applyAlignment="1">
      <alignment horizontal="right" wrapText="1"/>
    </xf>
    <xf numFmtId="3" fontId="7" fillId="4" borderId="54" xfId="0" applyNumberFormat="1" applyFont="1" applyFill="1" applyBorder="1" applyAlignment="1">
      <alignment horizontal="right" wrapText="1"/>
    </xf>
    <xf numFmtId="3" fontId="7" fillId="4" borderId="24" xfId="0" applyNumberFormat="1" applyFont="1" applyFill="1" applyBorder="1" applyAlignment="1">
      <alignment horizontal="right" wrapText="1"/>
    </xf>
    <xf numFmtId="0" fontId="7" fillId="4" borderId="2" xfId="0" applyFont="1" applyFill="1" applyBorder="1" applyAlignment="1">
      <alignment/>
    </xf>
    <xf numFmtId="3" fontId="7" fillId="4" borderId="2" xfId="0" applyNumberFormat="1" applyFont="1" applyFill="1" applyBorder="1" applyAlignment="1">
      <alignment/>
    </xf>
    <xf numFmtId="0" fontId="13" fillId="9" borderId="52" xfId="0" applyFill="1" applyAlignment="1">
      <alignment/>
    </xf>
    <xf numFmtId="0" fontId="13" fillId="9" borderId="138" xfId="0" applyFill="1" applyBorder="1" applyAlignment="1">
      <alignment/>
    </xf>
    <xf numFmtId="0" fontId="19" fillId="44" borderId="52" xfId="0" applyFill="1" applyBorder="1" applyAlignment="1">
      <alignment horizontal="center"/>
    </xf>
    <xf numFmtId="3" fontId="19" fillId="44" borderId="52" xfId="0" applyNumberFormat="1" applyFill="1" applyAlignment="1">
      <alignment horizontal="center"/>
    </xf>
    <xf numFmtId="0" fontId="13" fillId="9" borderId="52" xfId="0" applyFill="1" applyAlignment="1">
      <alignment horizontal="center"/>
    </xf>
    <xf numFmtId="0" fontId="13" fillId="9" borderId="138" xfId="0" applyFill="1" applyBorder="1" applyAlignment="1">
      <alignment horizontal="center"/>
    </xf>
    <xf numFmtId="0" fontId="14" fillId="44" borderId="139" xfId="0" applyFont="1" applyFill="1" applyBorder="1" applyAlignment="1">
      <alignment horizontal="center"/>
    </xf>
    <xf numFmtId="3" fontId="14" fillId="44" borderId="139" xfId="0" applyNumberFormat="1" applyFill="1" applyAlignment="1">
      <alignment horizontal="right"/>
    </xf>
    <xf numFmtId="0" fontId="18" fillId="9" borderId="140" xfId="0" applyFill="1" applyAlignment="1">
      <alignment horizontal="left"/>
    </xf>
    <xf numFmtId="0" fontId="18" fillId="9" borderId="141" xfId="0" applyFill="1" applyBorder="1" applyAlignment="1">
      <alignment/>
    </xf>
    <xf numFmtId="0" fontId="18" fillId="9" borderId="76" xfId="0" applyFill="1" applyBorder="1" applyAlignment="1">
      <alignment horizontal="left"/>
    </xf>
    <xf numFmtId="3" fontId="18" fillId="9" borderId="76" xfId="0" applyNumberFormat="1" applyFill="1" applyAlignment="1">
      <alignment horizontal="right"/>
    </xf>
    <xf numFmtId="3" fontId="18" fillId="9" borderId="76" xfId="0" applyNumberFormat="1" applyFont="1" applyFill="1" applyAlignment="1">
      <alignment horizontal="right"/>
    </xf>
    <xf numFmtId="0" fontId="0" fillId="4" borderId="0" xfId="0" applyFont="1" applyFill="1" applyAlignment="1">
      <alignment/>
    </xf>
    <xf numFmtId="0" fontId="5" fillId="4" borderId="0" xfId="0" applyFont="1" applyFill="1" applyAlignment="1">
      <alignment/>
    </xf>
    <xf numFmtId="0" fontId="8" fillId="4" borderId="0" xfId="0" applyFont="1" applyFill="1" applyAlignment="1">
      <alignment/>
    </xf>
    <xf numFmtId="0" fontId="4" fillId="4" borderId="0" xfId="0" applyFont="1" applyFill="1" applyAlignment="1">
      <alignment horizontal="right"/>
    </xf>
    <xf numFmtId="0" fontId="5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0" fillId="4" borderId="87" xfId="0" applyFont="1" applyFill="1" applyBorder="1" applyAlignment="1">
      <alignment/>
    </xf>
    <xf numFmtId="0" fontId="5" fillId="4" borderId="112" xfId="0" applyFont="1" applyFill="1" applyBorder="1" applyAlignment="1">
      <alignment horizontal="right"/>
    </xf>
    <xf numFmtId="3" fontId="5" fillId="4" borderId="112" xfId="0" applyNumberFormat="1" applyFont="1" applyFill="1" applyBorder="1" applyAlignment="1">
      <alignment/>
    </xf>
    <xf numFmtId="0" fontId="5" fillId="4" borderId="68" xfId="0" applyFont="1" applyFill="1" applyBorder="1" applyAlignment="1">
      <alignment/>
    </xf>
    <xf numFmtId="3" fontId="5" fillId="4" borderId="68" xfId="0" applyNumberFormat="1" applyFont="1" applyFill="1" applyBorder="1" applyAlignment="1">
      <alignment/>
    </xf>
    <xf numFmtId="0" fontId="7" fillId="4" borderId="55" xfId="0" applyFont="1" applyFill="1" applyBorder="1" applyAlignment="1">
      <alignment wrapText="1"/>
    </xf>
    <xf numFmtId="0" fontId="7" fillId="4" borderId="112" xfId="0" applyFont="1" applyFill="1" applyBorder="1" applyAlignment="1">
      <alignment wrapText="1"/>
    </xf>
    <xf numFmtId="3" fontId="7" fillId="4" borderId="112" xfId="0" applyNumberFormat="1" applyFont="1" applyFill="1" applyBorder="1" applyAlignment="1">
      <alignment/>
    </xf>
    <xf numFmtId="0" fontId="0" fillId="4" borderId="71" xfId="0" applyFont="1" applyFill="1" applyBorder="1" applyAlignment="1">
      <alignment wrapText="1"/>
    </xf>
    <xf numFmtId="1" fontId="5" fillId="5" borderId="28" xfId="0" applyNumberFormat="1" applyFont="1" applyFill="1" applyBorder="1" applyAlignment="1">
      <alignment/>
    </xf>
    <xf numFmtId="0" fontId="10" fillId="4" borderId="68" xfId="0" applyFont="1" applyFill="1" applyBorder="1" applyAlignment="1">
      <alignment wrapText="1"/>
    </xf>
    <xf numFmtId="3" fontId="10" fillId="4" borderId="68" xfId="0" applyNumberFormat="1" applyFont="1" applyFill="1" applyBorder="1" applyAlignment="1">
      <alignment horizontal="right"/>
    </xf>
    <xf numFmtId="3" fontId="10" fillId="4" borderId="142" xfId="0" applyNumberFormat="1" applyFont="1" applyFill="1" applyBorder="1" applyAlignment="1">
      <alignment horizontal="right"/>
    </xf>
    <xf numFmtId="3" fontId="10" fillId="4" borderId="143" xfId="0" applyNumberFormat="1" applyFont="1" applyFill="1" applyBorder="1" applyAlignment="1">
      <alignment horizontal="right"/>
    </xf>
    <xf numFmtId="3" fontId="0" fillId="4" borderId="144" xfId="0" applyNumberFormat="1" applyFont="1" applyFill="1" applyBorder="1" applyAlignment="1">
      <alignment/>
    </xf>
    <xf numFmtId="3" fontId="0" fillId="4" borderId="123" xfId="0" applyNumberFormat="1" applyFont="1" applyFill="1" applyBorder="1" applyAlignment="1">
      <alignment/>
    </xf>
    <xf numFmtId="0" fontId="26" fillId="4" borderId="24" xfId="0" applyFont="1" applyFill="1" applyBorder="1" applyAlignment="1">
      <alignment wrapText="1"/>
    </xf>
    <xf numFmtId="3" fontId="26" fillId="4" borderId="24" xfId="0" applyNumberFormat="1" applyFont="1" applyFill="1" applyBorder="1" applyAlignment="1">
      <alignment/>
    </xf>
    <xf numFmtId="3" fontId="26" fillId="4" borderId="8" xfId="0" applyNumberFormat="1" applyFont="1" applyFill="1" applyBorder="1" applyAlignment="1">
      <alignment/>
    </xf>
    <xf numFmtId="3" fontId="26" fillId="4" borderId="54" xfId="0" applyNumberFormat="1" applyFont="1" applyFill="1" applyBorder="1" applyAlignment="1">
      <alignment/>
    </xf>
    <xf numFmtId="0" fontId="26" fillId="4" borderId="33" xfId="0" applyFont="1" applyFill="1" applyBorder="1" applyAlignment="1">
      <alignment wrapText="1"/>
    </xf>
    <xf numFmtId="3" fontId="26" fillId="4" borderId="33" xfId="0" applyNumberFormat="1" applyFont="1" applyFill="1" applyBorder="1" applyAlignment="1">
      <alignment/>
    </xf>
    <xf numFmtId="3" fontId="26" fillId="4" borderId="145" xfId="0" applyNumberFormat="1" applyFont="1" applyFill="1" applyBorder="1" applyAlignment="1">
      <alignment/>
    </xf>
    <xf numFmtId="3" fontId="26" fillId="4" borderId="5" xfId="0" applyNumberFormat="1" applyFont="1" applyFill="1" applyBorder="1" applyAlignment="1">
      <alignment/>
    </xf>
    <xf numFmtId="3" fontId="26" fillId="4" borderId="146" xfId="0" applyNumberFormat="1" applyFont="1" applyFill="1" applyBorder="1" applyAlignment="1">
      <alignment/>
    </xf>
    <xf numFmtId="3" fontId="7" fillId="4" borderId="33" xfId="0" applyNumberFormat="1" applyFont="1" applyFill="1" applyBorder="1" applyAlignment="1">
      <alignment horizontal="right"/>
    </xf>
    <xf numFmtId="0" fontId="5" fillId="4" borderId="112" xfId="0" applyFont="1" applyFill="1" applyBorder="1" applyAlignment="1">
      <alignment horizontal="center"/>
    </xf>
    <xf numFmtId="3" fontId="5" fillId="4" borderId="112" xfId="0" applyNumberFormat="1" applyFont="1" applyFill="1" applyBorder="1" applyAlignment="1">
      <alignment/>
    </xf>
    <xf numFmtId="0" fontId="0" fillId="4" borderId="87" xfId="0" applyFont="1" applyFill="1" applyBorder="1" applyAlignment="1">
      <alignment horizontal="left"/>
    </xf>
    <xf numFmtId="3" fontId="5" fillId="4" borderId="87" xfId="0" applyNumberFormat="1" applyFont="1" applyFill="1" applyBorder="1" applyAlignment="1">
      <alignment/>
    </xf>
    <xf numFmtId="3" fontId="7" fillId="4" borderId="24" xfId="0" applyNumberFormat="1" applyFont="1" applyFill="1" applyBorder="1" applyAlignment="1">
      <alignment/>
    </xf>
    <xf numFmtId="3" fontId="7" fillId="4" borderId="0" xfId="0" applyNumberFormat="1" applyFont="1" applyFill="1" applyBorder="1" applyAlignment="1">
      <alignment wrapText="1"/>
    </xf>
    <xf numFmtId="0" fontId="6" fillId="4" borderId="3" xfId="0" applyFont="1" applyFill="1" applyBorder="1" applyAlignment="1">
      <alignment horizontal="center" vertical="center"/>
    </xf>
    <xf numFmtId="3" fontId="12" fillId="4" borderId="4" xfId="0" applyNumberFormat="1" applyFont="1" applyFill="1" applyBorder="1" applyAlignment="1">
      <alignment horizontal="center" vertical="center"/>
    </xf>
    <xf numFmtId="0" fontId="6" fillId="4" borderId="87" xfId="0" applyFont="1" applyFill="1" applyBorder="1" applyAlignment="1">
      <alignment horizontal="center" vertical="center"/>
    </xf>
    <xf numFmtId="0" fontId="10" fillId="4" borderId="105" xfId="0" applyFont="1" applyFill="1" applyBorder="1" applyAlignment="1">
      <alignment horizontal="right" vertical="center"/>
    </xf>
    <xf numFmtId="3" fontId="10" fillId="4" borderId="105" xfId="0" applyNumberFormat="1" applyFont="1" applyFill="1" applyBorder="1" applyAlignment="1">
      <alignment horizontal="right" vertical="center"/>
    </xf>
    <xf numFmtId="0" fontId="7" fillId="4" borderId="106" xfId="0" applyFont="1" applyFill="1" applyBorder="1" applyAlignment="1">
      <alignment wrapText="1"/>
    </xf>
    <xf numFmtId="3" fontId="7" fillId="4" borderId="106" xfId="0" applyNumberFormat="1" applyFont="1" applyFill="1" applyBorder="1" applyAlignment="1">
      <alignment wrapText="1"/>
    </xf>
    <xf numFmtId="0" fontId="5" fillId="4" borderId="68" xfId="0" applyFont="1" applyFill="1" applyBorder="1" applyAlignment="1">
      <alignment wrapText="1"/>
    </xf>
    <xf numFmtId="3" fontId="5" fillId="4" borderId="68" xfId="0" applyNumberFormat="1" applyFont="1" applyFill="1" applyBorder="1" applyAlignment="1">
      <alignment/>
    </xf>
    <xf numFmtId="0" fontId="5" fillId="4" borderId="105" xfId="0" applyFont="1" applyFill="1" applyBorder="1" applyAlignment="1">
      <alignment/>
    </xf>
    <xf numFmtId="3" fontId="5" fillId="4" borderId="105" xfId="0" applyNumberFormat="1" applyFont="1" applyFill="1" applyBorder="1" applyAlignment="1">
      <alignment/>
    </xf>
    <xf numFmtId="3" fontId="0" fillId="4" borderId="3" xfId="0" applyNumberFormat="1" applyFont="1" applyFill="1" applyBorder="1" applyAlignment="1">
      <alignment/>
    </xf>
    <xf numFmtId="0" fontId="4" fillId="4" borderId="3" xfId="0" applyFont="1" applyFill="1" applyBorder="1" applyAlignment="1">
      <alignment horizontal="center" vertical="center"/>
    </xf>
    <xf numFmtId="0" fontId="0" fillId="4" borderId="81" xfId="0" applyFont="1" applyFill="1" applyBorder="1" applyAlignment="1">
      <alignment/>
    </xf>
    <xf numFmtId="0" fontId="7" fillId="4" borderId="3" xfId="0" applyFont="1" applyFill="1" applyBorder="1" applyAlignment="1">
      <alignment horizontal="left"/>
    </xf>
    <xf numFmtId="0" fontId="4" fillId="4" borderId="3" xfId="0" applyFont="1" applyFill="1" applyBorder="1" applyAlignment="1">
      <alignment wrapText="1"/>
    </xf>
    <xf numFmtId="0" fontId="0" fillId="4" borderId="27" xfId="0" applyFont="1" applyFill="1" applyBorder="1" applyAlignment="1">
      <alignment/>
    </xf>
    <xf numFmtId="0" fontId="4" fillId="4" borderId="27" xfId="0" applyFont="1" applyFill="1" applyBorder="1" applyAlignment="1">
      <alignment/>
    </xf>
    <xf numFmtId="0" fontId="4" fillId="4" borderId="27" xfId="0" applyFont="1" applyFill="1" applyBorder="1" applyAlignment="1">
      <alignment wrapText="1"/>
    </xf>
    <xf numFmtId="3" fontId="4" fillId="4" borderId="27" xfId="0" applyNumberFormat="1" applyFont="1" applyFill="1" applyBorder="1" applyAlignment="1">
      <alignment wrapText="1"/>
    </xf>
    <xf numFmtId="0" fontId="0" fillId="4" borderId="21" xfId="0" applyFont="1" applyFill="1" applyBorder="1" applyAlignment="1">
      <alignment horizontal="left"/>
    </xf>
    <xf numFmtId="0" fontId="5" fillId="4" borderId="21" xfId="0" applyFont="1" applyFill="1" applyBorder="1" applyAlignment="1">
      <alignment/>
    </xf>
    <xf numFmtId="3" fontId="0" fillId="4" borderId="28" xfId="0" applyNumberFormat="1" applyFont="1" applyFill="1" applyBorder="1" applyAlignment="1">
      <alignment horizontal="right" wrapText="1"/>
    </xf>
    <xf numFmtId="0" fontId="5" fillId="4" borderId="3" xfId="0" applyFont="1" applyFill="1" applyBorder="1" applyAlignment="1">
      <alignment horizontal="left"/>
    </xf>
    <xf numFmtId="3" fontId="5" fillId="4" borderId="3" xfId="0" applyNumberFormat="1" applyFont="1" applyFill="1" applyBorder="1" applyAlignment="1">
      <alignment horizontal="right" wrapText="1"/>
    </xf>
    <xf numFmtId="0" fontId="0" fillId="4" borderId="28" xfId="0" applyFont="1" applyFill="1" applyBorder="1" applyAlignment="1">
      <alignment wrapText="1"/>
    </xf>
    <xf numFmtId="3" fontId="0" fillId="4" borderId="47" xfId="0" applyNumberFormat="1" applyFont="1" applyFill="1" applyBorder="1" applyAlignment="1">
      <alignment wrapText="1"/>
    </xf>
    <xf numFmtId="3" fontId="0" fillId="4" borderId="2" xfId="0" applyNumberFormat="1" applyFont="1" applyFill="1" applyBorder="1" applyAlignment="1">
      <alignment/>
    </xf>
    <xf numFmtId="0" fontId="0" fillId="4" borderId="147" xfId="0" applyFont="1" applyFill="1" applyBorder="1" applyAlignment="1">
      <alignment/>
    </xf>
    <xf numFmtId="3" fontId="0" fillId="4" borderId="147" xfId="0" applyNumberFormat="1" applyFont="1" applyFill="1" applyBorder="1" applyAlignment="1">
      <alignment/>
    </xf>
    <xf numFmtId="0" fontId="0" fillId="4" borderId="148" xfId="0" applyFont="1" applyFill="1" applyBorder="1" applyAlignment="1">
      <alignment wrapText="1"/>
    </xf>
    <xf numFmtId="3" fontId="0" fillId="4" borderId="148" xfId="0" applyNumberFormat="1" applyFont="1" applyFill="1" applyBorder="1" applyAlignment="1">
      <alignment wrapText="1"/>
    </xf>
    <xf numFmtId="3" fontId="0" fillId="4" borderId="47" xfId="0" applyNumberFormat="1" applyFont="1" applyFill="1" applyBorder="1" applyAlignment="1">
      <alignment/>
    </xf>
    <xf numFmtId="0" fontId="0" fillId="4" borderId="32" xfId="0" applyFont="1" applyFill="1" applyBorder="1" applyAlignment="1">
      <alignment/>
    </xf>
    <xf numFmtId="3" fontId="0" fillId="4" borderId="32" xfId="0" applyNumberFormat="1" applyFont="1" applyFill="1" applyBorder="1" applyAlignment="1">
      <alignment/>
    </xf>
    <xf numFmtId="0" fontId="4" fillId="4" borderId="66" xfId="0" applyFont="1" applyFill="1" applyBorder="1" applyAlignment="1">
      <alignment/>
    </xf>
    <xf numFmtId="3" fontId="4" fillId="4" borderId="66" xfId="0" applyNumberFormat="1" applyFont="1" applyFill="1" applyBorder="1" applyAlignment="1">
      <alignment/>
    </xf>
    <xf numFmtId="0" fontId="0" fillId="4" borderId="32" xfId="0" applyFont="1" applyFill="1" applyBorder="1" applyAlignment="1">
      <alignment wrapText="1"/>
    </xf>
    <xf numFmtId="0" fontId="0" fillId="8" borderId="42" xfId="0" applyFont="1" applyFill="1" applyBorder="1" applyAlignment="1">
      <alignment wrapText="1"/>
    </xf>
    <xf numFmtId="0" fontId="0" fillId="0" borderId="28" xfId="0" applyFont="1" applyBorder="1" applyAlignment="1">
      <alignment/>
    </xf>
    <xf numFmtId="3" fontId="4" fillId="4" borderId="35" xfId="0" applyNumberFormat="1" applyFont="1" applyFill="1" applyBorder="1" applyAlignment="1">
      <alignment horizontal="right" wrapText="1"/>
    </xf>
    <xf numFmtId="3" fontId="4" fillId="4" borderId="120" xfId="0" applyNumberFormat="1" applyFont="1" applyFill="1" applyBorder="1" applyAlignment="1">
      <alignment horizontal="right" wrapText="1"/>
    </xf>
    <xf numFmtId="0" fontId="4" fillId="4" borderId="42" xfId="0" applyFont="1" applyFill="1" applyBorder="1" applyAlignment="1">
      <alignment wrapText="1"/>
    </xf>
    <xf numFmtId="3" fontId="4" fillId="4" borderId="42" xfId="0" applyNumberFormat="1" applyFont="1" applyFill="1" applyBorder="1" applyAlignment="1">
      <alignment horizontal="right" wrapText="1"/>
    </xf>
    <xf numFmtId="3" fontId="4" fillId="4" borderId="149" xfId="0" applyNumberFormat="1" applyFont="1" applyFill="1" applyBorder="1" applyAlignment="1">
      <alignment horizontal="right" wrapText="1"/>
    </xf>
    <xf numFmtId="3" fontId="0" fillId="4" borderId="128" xfId="0" applyNumberFormat="1" applyFont="1" applyFill="1" applyBorder="1" applyAlignment="1">
      <alignment horizontal="right" wrapText="1"/>
    </xf>
    <xf numFmtId="3" fontId="0" fillId="4" borderId="42" xfId="0" applyNumberFormat="1" applyFont="1" applyFill="1" applyBorder="1" applyAlignment="1">
      <alignment horizontal="right" wrapText="1"/>
    </xf>
    <xf numFmtId="3" fontId="4" fillId="4" borderId="35" xfId="0" applyNumberFormat="1" applyFont="1" applyFill="1" applyBorder="1" applyAlignment="1">
      <alignment/>
    </xf>
    <xf numFmtId="3" fontId="4" fillId="4" borderId="120" xfId="0" applyNumberFormat="1" applyFont="1" applyFill="1" applyBorder="1" applyAlignment="1">
      <alignment/>
    </xf>
    <xf numFmtId="3" fontId="0" fillId="4" borderId="37" xfId="0" applyNumberFormat="1" applyFont="1" applyFill="1" applyBorder="1" applyAlignment="1">
      <alignment/>
    </xf>
    <xf numFmtId="3" fontId="0" fillId="4" borderId="34" xfId="0" applyNumberFormat="1" applyFont="1" applyFill="1" applyBorder="1" applyAlignment="1">
      <alignment/>
    </xf>
    <xf numFmtId="0" fontId="11" fillId="9" borderId="140" xfId="0" applyFont="1" applyFill="1" applyAlignment="1">
      <alignment horizontal="center" vertical="center"/>
    </xf>
    <xf numFmtId="0" fontId="10" fillId="9" borderId="150" xfId="0" applyFont="1" applyFill="1" applyAlignment="1">
      <alignment horizontal="center" vertical="center"/>
    </xf>
    <xf numFmtId="3" fontId="10" fillId="9" borderId="150" xfId="0" applyNumberFormat="1" applyFont="1" applyFill="1" applyAlignment="1">
      <alignment horizontal="right"/>
    </xf>
    <xf numFmtId="0" fontId="0" fillId="9" borderId="52" xfId="0" applyFont="1" applyFill="1" applyAlignment="1">
      <alignment horizontal="center" vertical="center"/>
    </xf>
    <xf numFmtId="0" fontId="0" fillId="9" borderId="52" xfId="0" applyFont="1" applyFill="1" applyAlignment="1">
      <alignment horizontal="left" vertical="center"/>
    </xf>
    <xf numFmtId="3" fontId="0" fillId="9" borderId="151" xfId="0" applyNumberFormat="1" applyFont="1" applyFill="1" applyAlignment="1">
      <alignment horizontal="center" vertical="center"/>
    </xf>
    <xf numFmtId="3" fontId="0" fillId="9" borderId="52" xfId="0" applyNumberFormat="1" applyFont="1" applyFill="1" applyAlignment="1">
      <alignment horizontal="center" vertical="center"/>
    </xf>
    <xf numFmtId="0" fontId="0" fillId="4" borderId="52" xfId="0" applyFont="1" applyFill="1" applyBorder="1" applyAlignment="1">
      <alignment horizontal="center" vertical="center"/>
    </xf>
    <xf numFmtId="0" fontId="12" fillId="4" borderId="52" xfId="0" applyFont="1" applyFill="1" applyBorder="1" applyAlignment="1">
      <alignment horizontal="center" vertical="center"/>
    </xf>
    <xf numFmtId="3" fontId="12" fillId="4" borderId="52" xfId="0" applyNumberFormat="1" applyFont="1" applyFill="1" applyAlignment="1">
      <alignment horizontal="right" vertical="center"/>
    </xf>
    <xf numFmtId="3" fontId="5" fillId="4" borderId="0" xfId="0" applyNumberFormat="1" applyFont="1" applyFill="1" applyBorder="1" applyAlignment="1">
      <alignment horizontal="right" wrapText="1"/>
    </xf>
    <xf numFmtId="0" fontId="30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3" fontId="5" fillId="4" borderId="21" xfId="15" applyNumberFormat="1" applyFont="1" applyFill="1" applyBorder="1" applyAlignment="1">
      <alignment horizontal="right" vertical="center"/>
    </xf>
    <xf numFmtId="3" fontId="5" fillId="5" borderId="91" xfId="15" applyNumberFormat="1" applyFont="1" applyFill="1" applyBorder="1" applyAlignment="1">
      <alignment horizontal="right" vertical="center"/>
    </xf>
    <xf numFmtId="3" fontId="5" fillId="14" borderId="2" xfId="15" applyNumberFormat="1" applyFont="1" applyFill="1" applyBorder="1" applyAlignment="1">
      <alignment horizontal="right" vertical="center"/>
    </xf>
    <xf numFmtId="3" fontId="5" fillId="14" borderId="28" xfId="15" applyNumberFormat="1" applyFont="1" applyFill="1" applyBorder="1" applyAlignment="1">
      <alignment horizontal="right" vertical="center"/>
    </xf>
    <xf numFmtId="3" fontId="5" fillId="4" borderId="28" xfId="15" applyNumberFormat="1" applyFont="1" applyFill="1" applyBorder="1" applyAlignment="1">
      <alignment horizontal="right" vertical="center"/>
    </xf>
    <xf numFmtId="3" fontId="5" fillId="14" borderId="21" xfId="15" applyNumberFormat="1" applyFont="1" applyFill="1" applyBorder="1" applyAlignment="1">
      <alignment horizontal="right" vertical="center"/>
    </xf>
    <xf numFmtId="3" fontId="5" fillId="4" borderId="2" xfId="15" applyNumberFormat="1" applyFont="1" applyFill="1" applyBorder="1" applyAlignment="1">
      <alignment horizontal="right" vertical="center"/>
    </xf>
    <xf numFmtId="3" fontId="5" fillId="4" borderId="101" xfId="15" applyNumberFormat="1" applyFont="1" applyFill="1" applyBorder="1" applyAlignment="1">
      <alignment horizontal="right" vertical="center"/>
    </xf>
    <xf numFmtId="3" fontId="0" fillId="4" borderId="68" xfId="15" applyNumberFormat="1" applyFont="1" applyFill="1" applyBorder="1" applyAlignment="1">
      <alignment horizontal="right" vertical="center"/>
    </xf>
    <xf numFmtId="3" fontId="5" fillId="5" borderId="91" xfId="15" applyNumberFormat="1" applyFont="1" applyFill="1" applyBorder="1" applyAlignment="1">
      <alignment horizontal="right"/>
    </xf>
    <xf numFmtId="3" fontId="5" fillId="5" borderId="105" xfId="15" applyNumberFormat="1" applyFont="1" applyFill="1" applyBorder="1" applyAlignment="1">
      <alignment horizontal="right" vertical="center"/>
    </xf>
    <xf numFmtId="3" fontId="5" fillId="4" borderId="32" xfId="15" applyNumberFormat="1" applyFont="1" applyFill="1" applyBorder="1" applyAlignment="1">
      <alignment horizontal="right" vertical="center"/>
    </xf>
    <xf numFmtId="3" fontId="5" fillId="4" borderId="28" xfId="15" applyNumberFormat="1" applyFont="1" applyFill="1" applyBorder="1" applyAlignment="1">
      <alignment horizontal="right"/>
    </xf>
    <xf numFmtId="3" fontId="9" fillId="0" borderId="86" xfId="15" applyNumberFormat="1" applyFont="1" applyBorder="1" applyAlignment="1">
      <alignment horizontal="center"/>
    </xf>
    <xf numFmtId="3" fontId="0" fillId="0" borderId="86" xfId="0" applyNumberFormat="1" applyBorder="1" applyAlignment="1">
      <alignment horizontal="center"/>
    </xf>
    <xf numFmtId="3" fontId="9" fillId="0" borderId="86" xfId="0" applyNumberFormat="1" applyFont="1" applyBorder="1" applyAlignment="1">
      <alignment horizontal="center"/>
    </xf>
    <xf numFmtId="3" fontId="9" fillId="0" borderId="86" xfId="0" applyNumberFormat="1" applyFont="1" applyBorder="1" applyAlignment="1">
      <alignment horizontal="centerContinuous"/>
    </xf>
    <xf numFmtId="3" fontId="9" fillId="0" borderId="21" xfId="0" applyNumberFormat="1" applyFont="1" applyBorder="1" applyAlignment="1">
      <alignment horizontal="centerContinuous"/>
    </xf>
    <xf numFmtId="3" fontId="9" fillId="0" borderId="21" xfId="0" applyNumberFormat="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3" xfId="0" applyNumberFormat="1" applyBorder="1" applyAlignment="1">
      <alignment horizontal="left"/>
    </xf>
    <xf numFmtId="3" fontId="0" fillId="0" borderId="2" xfId="0" applyNumberFormat="1" applyBorder="1" applyAlignment="1">
      <alignment horizontal="left"/>
    </xf>
    <xf numFmtId="3" fontId="14" fillId="4" borderId="28" xfId="0" applyNumberFormat="1" applyFont="1" applyFill="1" applyBorder="1" applyAlignment="1">
      <alignment horizontal="center" wrapText="1"/>
    </xf>
    <xf numFmtId="3" fontId="5" fillId="4" borderId="106" xfId="0" applyNumberFormat="1" applyFont="1" applyFill="1" applyBorder="1" applyAlignment="1">
      <alignment horizontal="center" vertical="center"/>
    </xf>
    <xf numFmtId="3" fontId="0" fillId="0" borderId="21" xfId="0" applyNumberFormat="1" applyFont="1" applyBorder="1" applyAlignment="1">
      <alignment horizontal="center"/>
    </xf>
    <xf numFmtId="1" fontId="13" fillId="18" borderId="61" xfId="0" applyNumberFormat="1" applyFont="1" applyFill="1" applyBorder="1" applyAlignment="1">
      <alignment horizontal="center"/>
    </xf>
    <xf numFmtId="1" fontId="34" fillId="17" borderId="61" xfId="0" applyNumberFormat="1" applyFont="1" applyFill="1" applyBorder="1" applyAlignment="1">
      <alignment horizontal="center"/>
    </xf>
    <xf numFmtId="1" fontId="14" fillId="19" borderId="152" xfId="0" applyNumberFormat="1" applyFont="1" applyFill="1" applyBorder="1" applyAlignment="1">
      <alignment horizontal="center"/>
    </xf>
    <xf numFmtId="1" fontId="14" fillId="19" borderId="61" xfId="0" applyNumberFormat="1" applyFont="1" applyFill="1" applyBorder="1" applyAlignment="1">
      <alignment horizontal="center"/>
    </xf>
    <xf numFmtId="1" fontId="14" fillId="4" borderId="61" xfId="0" applyNumberFormat="1" applyFont="1" applyFill="1" applyBorder="1" applyAlignment="1">
      <alignment horizontal="center"/>
    </xf>
    <xf numFmtId="1" fontId="34" fillId="20" borderId="61" xfId="0" applyNumberFormat="1" applyFont="1" applyFill="1" applyBorder="1" applyAlignment="1">
      <alignment horizontal="center"/>
    </xf>
    <xf numFmtId="1" fontId="0" fillId="45" borderId="61" xfId="0" applyNumberFormat="1" applyFont="1" applyFill="1" applyBorder="1" applyAlignment="1" quotePrefix="1">
      <alignment horizontal="center" vertical="center"/>
    </xf>
    <xf numFmtId="1" fontId="5" fillId="5" borderId="90" xfId="0" applyNumberFormat="1" applyFont="1" applyFill="1" applyBorder="1" applyAlignment="1">
      <alignment horizontal="center" vertical="center"/>
    </xf>
    <xf numFmtId="1" fontId="13" fillId="4" borderId="61" xfId="0" applyNumberFormat="1" applyFont="1" applyFill="1" applyBorder="1" applyAlignment="1">
      <alignment horizontal="center" vertical="center"/>
    </xf>
    <xf numFmtId="1" fontId="0" fillId="4" borderId="153" xfId="0" applyNumberFormat="1" applyFont="1" applyFill="1" applyBorder="1" applyAlignment="1">
      <alignment horizontal="center" vertical="center"/>
    </xf>
    <xf numFmtId="1" fontId="0" fillId="4" borderId="61" xfId="0" applyNumberFormat="1" applyFont="1" applyFill="1" applyBorder="1" applyAlignment="1">
      <alignment horizontal="center" vertical="center"/>
    </xf>
    <xf numFmtId="1" fontId="7" fillId="46" borderId="69" xfId="0" applyNumberFormat="1" applyFont="1" applyFill="1" applyBorder="1" applyAlignment="1">
      <alignment horizontal="center"/>
    </xf>
    <xf numFmtId="1" fontId="5" fillId="25" borderId="154" xfId="0" applyNumberFormat="1" applyFont="1" applyFill="1" applyBorder="1" applyAlignment="1">
      <alignment horizontal="center" vertical="center"/>
    </xf>
    <xf numFmtId="1" fontId="14" fillId="4" borderId="110" xfId="0" applyNumberFormat="1" applyFont="1" applyFill="1" applyBorder="1" applyAlignment="1">
      <alignment horizontal="center" vertical="center"/>
    </xf>
    <xf numFmtId="1" fontId="0" fillId="8" borderId="26" xfId="0" applyNumberFormat="1" applyFont="1" applyFill="1" applyBorder="1" applyAlignment="1">
      <alignment horizontal="center" vertical="center"/>
    </xf>
    <xf numFmtId="3" fontId="5" fillId="5" borderId="91" xfId="0" applyNumberFormat="1" applyFont="1" applyFill="1" applyBorder="1" applyAlignment="1">
      <alignment horizontal="left" vertical="center"/>
    </xf>
    <xf numFmtId="3" fontId="0" fillId="13" borderId="28" xfId="0" applyNumberFormat="1" applyFont="1" applyFill="1" applyBorder="1" applyAlignment="1">
      <alignment vertical="center"/>
    </xf>
    <xf numFmtId="3" fontId="0" fillId="13" borderId="28" xfId="0" applyNumberFormat="1" applyFill="1" applyBorder="1" applyAlignment="1">
      <alignment vertical="center"/>
    </xf>
    <xf numFmtId="3" fontId="0" fillId="15" borderId="28" xfId="0" applyNumberFormat="1" applyFill="1" applyBorder="1" applyAlignment="1">
      <alignment vertical="center"/>
    </xf>
    <xf numFmtId="3" fontId="0" fillId="16" borderId="28" xfId="0" applyNumberFormat="1" applyFill="1" applyBorder="1" applyAlignment="1">
      <alignment vertical="center"/>
    </xf>
    <xf numFmtId="3" fontId="0" fillId="15" borderId="21" xfId="0" applyNumberFormat="1" applyFill="1" applyBorder="1" applyAlignment="1">
      <alignment vertical="center"/>
    </xf>
    <xf numFmtId="3" fontId="34" fillId="17" borderId="21" xfId="0" applyNumberFormat="1" applyFont="1" applyFill="1" applyBorder="1" applyAlignment="1">
      <alignment vertical="center"/>
    </xf>
    <xf numFmtId="3" fontId="5" fillId="21" borderId="68" xfId="0" applyNumberFormat="1" applyFont="1" applyFill="1" applyBorder="1" applyAlignment="1">
      <alignment horizontal="left" vertical="center"/>
    </xf>
    <xf numFmtId="0" fontId="0" fillId="4" borderId="2" xfId="0" applyNumberFormat="1" applyFill="1" applyBorder="1" applyAlignment="1">
      <alignment vertical="center"/>
    </xf>
    <xf numFmtId="0" fontId="0" fillId="22" borderId="28" xfId="0" applyNumberFormat="1" applyFont="1" applyFill="1" applyBorder="1" applyAlignment="1">
      <alignment vertical="center" wrapText="1"/>
    </xf>
    <xf numFmtId="0" fontId="0" fillId="4" borderId="2" xfId="0" applyNumberFormat="1" applyFill="1" applyBorder="1" applyAlignment="1">
      <alignment vertical="center" wrapText="1"/>
    </xf>
    <xf numFmtId="0" fontId="5" fillId="12" borderId="91" xfId="0" applyFont="1" applyFill="1" applyBorder="1" applyAlignment="1">
      <alignment vertical="center"/>
    </xf>
    <xf numFmtId="3" fontId="0" fillId="24" borderId="28" xfId="0" applyNumberFormat="1" applyFont="1" applyFill="1" applyBorder="1" applyAlignment="1">
      <alignment vertical="center"/>
    </xf>
    <xf numFmtId="3" fontId="13" fillId="24" borderId="28" xfId="0" applyNumberFormat="1" applyFont="1" applyFill="1" applyBorder="1" applyAlignment="1">
      <alignment vertical="center"/>
    </xf>
    <xf numFmtId="3" fontId="0" fillId="4" borderId="28" xfId="0" applyNumberFormat="1" applyFont="1" applyFill="1" applyBorder="1" applyAlignment="1">
      <alignment vertical="center"/>
    </xf>
    <xf numFmtId="3" fontId="0" fillId="7" borderId="28" xfId="0" applyNumberFormat="1" applyFont="1" applyFill="1" applyBorder="1" applyAlignment="1">
      <alignment vertical="center"/>
    </xf>
    <xf numFmtId="3" fontId="0" fillId="16" borderId="28" xfId="0" applyNumberFormat="1" applyFont="1" applyFill="1" applyBorder="1" applyAlignment="1">
      <alignment vertical="center"/>
    </xf>
    <xf numFmtId="3" fontId="0" fillId="7" borderId="21" xfId="0" applyNumberFormat="1" applyFont="1" applyFill="1" applyBorder="1" applyAlignment="1">
      <alignment vertical="center"/>
    </xf>
    <xf numFmtId="3" fontId="5" fillId="25" borderId="91" xfId="0" applyNumberFormat="1" applyFont="1" applyFill="1" applyBorder="1" applyAlignment="1">
      <alignment horizontal="left" vertical="center"/>
    </xf>
    <xf numFmtId="3" fontId="13" fillId="18" borderId="28" xfId="0" applyNumberFormat="1" applyFont="1" applyFill="1" applyBorder="1" applyAlignment="1">
      <alignment vertical="center" wrapText="1"/>
    </xf>
    <xf numFmtId="3" fontId="13" fillId="4" borderId="2" xfId="0" applyNumberFormat="1" applyFont="1" applyFill="1" applyBorder="1" applyAlignment="1">
      <alignment vertical="center" wrapText="1"/>
    </xf>
    <xf numFmtId="3" fontId="0" fillId="16" borderId="28" xfId="0" applyNumberFormat="1" applyFont="1" applyFill="1" applyBorder="1" applyAlignment="1">
      <alignment vertical="center"/>
    </xf>
    <xf numFmtId="3" fontId="0" fillId="4" borderId="21" xfId="0" applyNumberFormat="1" applyFont="1" applyFill="1" applyBorder="1" applyAlignment="1">
      <alignment vertical="center"/>
    </xf>
    <xf numFmtId="1" fontId="0" fillId="13" borderId="28" xfId="0" applyNumberFormat="1" applyFill="1" applyBorder="1" applyAlignment="1">
      <alignment vertical="center" wrapText="1"/>
    </xf>
    <xf numFmtId="1" fontId="0" fillId="7" borderId="28" xfId="0" applyNumberFormat="1" applyFont="1" applyFill="1" applyBorder="1" applyAlignment="1">
      <alignment vertical="center" wrapText="1"/>
    </xf>
    <xf numFmtId="1" fontId="0" fillId="16" borderId="28" xfId="0" applyNumberFormat="1" applyFill="1" applyBorder="1" applyAlignment="1">
      <alignment vertical="center" wrapText="1"/>
    </xf>
    <xf numFmtId="1" fontId="0" fillId="16" borderId="28" xfId="0" applyNumberFormat="1" applyFont="1" applyFill="1" applyBorder="1" applyAlignment="1">
      <alignment vertical="center" wrapText="1"/>
    </xf>
    <xf numFmtId="1" fontId="0" fillId="7" borderId="28" xfId="0" applyNumberFormat="1" applyFill="1" applyBorder="1" applyAlignment="1">
      <alignment vertical="center" wrapText="1"/>
    </xf>
    <xf numFmtId="1" fontId="0" fillId="15" borderId="28" xfId="0" applyNumberFormat="1" applyFont="1" applyFill="1" applyBorder="1" applyAlignment="1">
      <alignment vertical="center" wrapText="1"/>
    </xf>
    <xf numFmtId="3" fontId="0" fillId="13" borderId="28" xfId="0" applyNumberFormat="1" applyFont="1" applyFill="1" applyBorder="1" applyAlignment="1">
      <alignment vertical="center" wrapText="1"/>
    </xf>
    <xf numFmtId="3" fontId="13" fillId="16" borderId="28" xfId="0" applyNumberFormat="1" applyFont="1" applyFill="1" applyBorder="1" applyAlignment="1">
      <alignment vertical="center"/>
    </xf>
    <xf numFmtId="3" fontId="5" fillId="23" borderId="95" xfId="0" applyNumberFormat="1" applyFont="1" applyFill="1" applyBorder="1" applyAlignment="1">
      <alignment horizontal="left" vertical="center"/>
    </xf>
    <xf numFmtId="0" fontId="0" fillId="18" borderId="2" xfId="0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5" fillId="5" borderId="91" xfId="0" applyFont="1" applyFill="1" applyBorder="1" applyAlignment="1">
      <alignment vertical="center"/>
    </xf>
    <xf numFmtId="0" fontId="0" fillId="4" borderId="91" xfId="0" applyFont="1" applyFill="1" applyBorder="1" applyAlignment="1">
      <alignment vertical="center"/>
    </xf>
    <xf numFmtId="3" fontId="5" fillId="5" borderId="105" xfId="0" applyNumberFormat="1" applyFont="1" applyFill="1" applyBorder="1" applyAlignment="1">
      <alignment horizontal="left" vertical="center"/>
    </xf>
    <xf numFmtId="3" fontId="0" fillId="30" borderId="28" xfId="0" applyNumberFormat="1" applyFont="1" applyFill="1" applyBorder="1" applyAlignment="1">
      <alignment vertical="center"/>
    </xf>
    <xf numFmtId="3" fontId="0" fillId="30" borderId="28" xfId="0" applyNumberFormat="1" applyFont="1" applyFill="1" applyBorder="1" applyAlignment="1">
      <alignment vertical="center"/>
    </xf>
    <xf numFmtId="0" fontId="0" fillId="30" borderId="28" xfId="0" applyFont="1" applyFill="1" applyBorder="1" applyAlignment="1">
      <alignment/>
    </xf>
    <xf numFmtId="0" fontId="0" fillId="4" borderId="28" xfId="0" applyFont="1" applyFill="1" applyBorder="1" applyAlignment="1">
      <alignment/>
    </xf>
    <xf numFmtId="0" fontId="0" fillId="4" borderId="28" xfId="0" applyFont="1" applyFill="1" applyBorder="1" applyAlignment="1">
      <alignment vertical="center"/>
    </xf>
    <xf numFmtId="3" fontId="5" fillId="5" borderId="91" xfId="0" applyNumberFormat="1" applyFont="1" applyFill="1" applyBorder="1" applyAlignment="1">
      <alignment vertical="center" wrapText="1"/>
    </xf>
    <xf numFmtId="3" fontId="0" fillId="32" borderId="28" xfId="0" applyNumberFormat="1" applyFont="1" applyFill="1" applyBorder="1" applyAlignment="1">
      <alignment wrapText="1"/>
    </xf>
    <xf numFmtId="3" fontId="0" fillId="15" borderId="28" xfId="0" applyNumberFormat="1" applyFont="1" applyFill="1" applyBorder="1" applyAlignment="1">
      <alignment wrapText="1"/>
    </xf>
    <xf numFmtId="0" fontId="5" fillId="5" borderId="91" xfId="0" applyFont="1" applyFill="1" applyBorder="1" applyAlignment="1">
      <alignment vertical="center" wrapText="1"/>
    </xf>
    <xf numFmtId="0" fontId="0" fillId="15" borderId="28" xfId="0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0" fontId="0" fillId="24" borderId="28" xfId="0" applyFont="1" applyFill="1" applyBorder="1" applyAlignment="1">
      <alignment vertical="center"/>
    </xf>
    <xf numFmtId="3" fontId="0" fillId="18" borderId="28" xfId="0" applyNumberFormat="1" applyFont="1" applyFill="1" applyBorder="1" applyAlignment="1">
      <alignment vertical="center"/>
    </xf>
    <xf numFmtId="3" fontId="0" fillId="15" borderId="28" xfId="0" applyNumberFormat="1" applyFont="1" applyFill="1" applyBorder="1" applyAlignment="1">
      <alignment vertical="center"/>
    </xf>
    <xf numFmtId="3" fontId="13" fillId="15" borderId="28" xfId="0" applyNumberFormat="1" applyFont="1" applyFill="1" applyBorder="1" applyAlignment="1">
      <alignment vertical="center" wrapText="1"/>
    </xf>
    <xf numFmtId="3" fontId="0" fillId="4" borderId="106" xfId="0" applyNumberFormat="1" applyFont="1" applyFill="1" applyBorder="1" applyAlignment="1">
      <alignment vertical="center"/>
    </xf>
    <xf numFmtId="0" fontId="5" fillId="5" borderId="91" xfId="0" applyNumberFormat="1" applyFont="1" applyFill="1" applyBorder="1" applyAlignment="1">
      <alignment vertical="center" wrapText="1"/>
    </xf>
    <xf numFmtId="3" fontId="0" fillId="35" borderId="28" xfId="0" applyNumberFormat="1" applyFont="1" applyFill="1" applyBorder="1" applyAlignment="1">
      <alignment vertical="center"/>
    </xf>
    <xf numFmtId="3" fontId="13" fillId="35" borderId="28" xfId="0" applyNumberFormat="1" applyFont="1" applyFill="1" applyBorder="1" applyAlignment="1">
      <alignment vertical="center" wrapText="1"/>
    </xf>
    <xf numFmtId="1" fontId="0" fillId="35" borderId="28" xfId="0" applyNumberFormat="1" applyFill="1" applyBorder="1" applyAlignment="1">
      <alignment vertical="center" wrapText="1"/>
    </xf>
    <xf numFmtId="1" fontId="0" fillId="35" borderId="21" xfId="0" applyNumberFormat="1" applyFill="1" applyBorder="1" applyAlignment="1">
      <alignment vertical="center" wrapText="1"/>
    </xf>
    <xf numFmtId="3" fontId="5" fillId="23" borderId="68" xfId="0" applyNumberFormat="1" applyFont="1" applyFill="1" applyBorder="1" applyAlignment="1">
      <alignment horizontal="left" vertical="center"/>
    </xf>
    <xf numFmtId="0" fontId="0" fillId="4" borderId="28" xfId="0" applyFont="1" applyFill="1" applyBorder="1" applyAlignment="1">
      <alignment vertical="center"/>
    </xf>
    <xf numFmtId="0" fontId="5" fillId="5" borderId="91" xfId="0" applyFont="1" applyFill="1" applyBorder="1" applyAlignment="1">
      <alignment wrapText="1"/>
    </xf>
    <xf numFmtId="3" fontId="14" fillId="4" borderId="112" xfId="15" applyNumberFormat="1" applyFont="1" applyFill="1" applyBorder="1" applyAlignment="1">
      <alignment horizontal="right" vertical="center"/>
    </xf>
    <xf numFmtId="3" fontId="5" fillId="4" borderId="112" xfId="15" applyNumberFormat="1" applyFont="1" applyFill="1" applyBorder="1" applyAlignment="1">
      <alignment horizontal="right" vertical="center"/>
    </xf>
    <xf numFmtId="0" fontId="5" fillId="4" borderId="112" xfId="0" applyFont="1" applyFill="1" applyBorder="1" applyAlignment="1">
      <alignment horizontal="center" vertical="center" wrapText="1"/>
    </xf>
    <xf numFmtId="0" fontId="7" fillId="4" borderId="112" xfId="0" applyFont="1" applyFill="1" applyBorder="1" applyAlignment="1">
      <alignment/>
    </xf>
    <xf numFmtId="0" fontId="7" fillId="4" borderId="87" xfId="0" applyFont="1" applyFill="1" applyBorder="1" applyAlignment="1">
      <alignment wrapText="1"/>
    </xf>
    <xf numFmtId="3" fontId="7" fillId="4" borderId="87" xfId="0" applyNumberFormat="1" applyFont="1" applyFill="1" applyBorder="1" applyAlignment="1">
      <alignment/>
    </xf>
    <xf numFmtId="3" fontId="7" fillId="4" borderId="87" xfId="0" applyNumberFormat="1" applyFont="1" applyFill="1" applyBorder="1" applyAlignment="1">
      <alignment horizontal="right"/>
    </xf>
    <xf numFmtId="0" fontId="5" fillId="4" borderId="27" xfId="0" applyFont="1" applyFill="1" applyBorder="1" applyAlignment="1">
      <alignment/>
    </xf>
    <xf numFmtId="0" fontId="7" fillId="4" borderId="27" xfId="0" applyFont="1" applyFill="1" applyBorder="1" applyAlignment="1">
      <alignment wrapText="1"/>
    </xf>
    <xf numFmtId="3" fontId="7" fillId="4" borderId="27" xfId="0" applyNumberFormat="1" applyFont="1" applyFill="1" applyBorder="1" applyAlignment="1">
      <alignment/>
    </xf>
    <xf numFmtId="3" fontId="7" fillId="4" borderId="27" xfId="0" applyNumberFormat="1" applyFont="1" applyFill="1" applyBorder="1" applyAlignment="1">
      <alignment horizontal="right"/>
    </xf>
    <xf numFmtId="3" fontId="5" fillId="5" borderId="72" xfId="0" applyNumberFormat="1" applyFont="1" applyFill="1" applyBorder="1" applyAlignment="1">
      <alignment/>
    </xf>
    <xf numFmtId="0" fontId="7" fillId="4" borderId="72" xfId="0" applyFont="1" applyFill="1" applyBorder="1" applyAlignment="1">
      <alignment wrapText="1"/>
    </xf>
    <xf numFmtId="3" fontId="7" fillId="4" borderId="72" xfId="0" applyNumberFormat="1" applyFont="1" applyFill="1" applyBorder="1" applyAlignment="1">
      <alignment/>
    </xf>
    <xf numFmtId="3" fontId="7" fillId="4" borderId="72" xfId="0" applyNumberFormat="1" applyFont="1" applyFill="1" applyBorder="1" applyAlignment="1">
      <alignment horizontal="right"/>
    </xf>
    <xf numFmtId="0" fontId="0" fillId="4" borderId="155" xfId="0" applyFont="1" applyFill="1" applyBorder="1" applyAlignment="1">
      <alignment wrapText="1"/>
    </xf>
    <xf numFmtId="3" fontId="0" fillId="4" borderId="155" xfId="0" applyNumberFormat="1" applyFont="1" applyFill="1" applyBorder="1" applyAlignment="1">
      <alignment/>
    </xf>
    <xf numFmtId="0" fontId="0" fillId="5" borderId="28" xfId="0" applyFont="1" applyFill="1" applyBorder="1" applyAlignment="1">
      <alignment/>
    </xf>
    <xf numFmtId="3" fontId="4" fillId="4" borderId="27" xfId="0" applyNumberFormat="1" applyFont="1" applyFill="1" applyBorder="1" applyAlignment="1">
      <alignment/>
    </xf>
    <xf numFmtId="3" fontId="4" fillId="4" borderId="28" xfId="0" applyNumberFormat="1" applyFont="1" applyFill="1" applyBorder="1" applyAlignment="1">
      <alignment horizontal="right" wrapText="1"/>
    </xf>
    <xf numFmtId="3" fontId="4" fillId="4" borderId="38" xfId="0" applyNumberFormat="1" applyFont="1" applyFill="1" applyBorder="1" applyAlignment="1">
      <alignment horizontal="right" wrapText="1"/>
    </xf>
    <xf numFmtId="3" fontId="4" fillId="4" borderId="56" xfId="0" applyNumberFormat="1" applyFont="1" applyFill="1" applyBorder="1" applyAlignment="1">
      <alignment horizontal="right" wrapText="1"/>
    </xf>
    <xf numFmtId="3" fontId="4" fillId="4" borderId="50" xfId="0" applyNumberFormat="1" applyFont="1" applyFill="1" applyBorder="1" applyAlignment="1">
      <alignment horizontal="right" wrapText="1"/>
    </xf>
    <xf numFmtId="3" fontId="5" fillId="5" borderId="38" xfId="0" applyNumberFormat="1" applyFont="1" applyFill="1" applyBorder="1" applyAlignment="1">
      <alignment horizontal="right" wrapText="1"/>
    </xf>
    <xf numFmtId="0" fontId="0" fillId="9" borderId="32" xfId="0" applyFont="1" applyFill="1" applyBorder="1" applyAlignment="1">
      <alignment wrapText="1"/>
    </xf>
    <xf numFmtId="3" fontId="4" fillId="4" borderId="156" xfId="0" applyNumberFormat="1" applyFont="1" applyFill="1" applyBorder="1" applyAlignment="1">
      <alignment wrapText="1"/>
    </xf>
    <xf numFmtId="3" fontId="4" fillId="4" borderId="34" xfId="0" applyNumberFormat="1" applyFont="1" applyFill="1" applyBorder="1" applyAlignment="1">
      <alignment wrapText="1"/>
    </xf>
    <xf numFmtId="3" fontId="5" fillId="5" borderId="56" xfId="0" applyNumberFormat="1" applyFont="1" applyFill="1" applyBorder="1" applyAlignment="1">
      <alignment horizontal="right" wrapText="1"/>
    </xf>
    <xf numFmtId="3" fontId="7" fillId="4" borderId="137" xfId="0" applyNumberFormat="1" applyFont="1" applyFill="1" applyBorder="1" applyAlignment="1">
      <alignment wrapText="1"/>
    </xf>
    <xf numFmtId="3" fontId="7" fillId="4" borderId="157" xfId="0" applyNumberFormat="1" applyFont="1" applyFill="1" applyBorder="1" applyAlignment="1">
      <alignment wrapText="1"/>
    </xf>
    <xf numFmtId="3" fontId="4" fillId="4" borderId="27" xfId="0" applyNumberFormat="1" applyFont="1" applyFill="1" applyBorder="1" applyAlignment="1">
      <alignment horizontal="right" wrapText="1"/>
    </xf>
    <xf numFmtId="0" fontId="0" fillId="4" borderId="27" xfId="0" applyFont="1" applyFill="1" applyBorder="1" applyAlignment="1">
      <alignment horizontal="right"/>
    </xf>
    <xf numFmtId="3" fontId="0" fillId="4" borderId="81" xfId="0" applyNumberFormat="1" applyFont="1" applyFill="1" applyBorder="1" applyAlignment="1">
      <alignment/>
    </xf>
    <xf numFmtId="0" fontId="4" fillId="4" borderId="30" xfId="0" applyFont="1" applyFill="1" applyBorder="1" applyAlignment="1">
      <alignment wrapText="1"/>
    </xf>
    <xf numFmtId="0" fontId="13" fillId="9" borderId="0" xfId="0" applyFill="1" applyBorder="1" applyAlignment="1">
      <alignment/>
    </xf>
    <xf numFmtId="3" fontId="20" fillId="44" borderId="76" xfId="0" applyNumberFormat="1" applyFont="1" applyFill="1" applyBorder="1" applyAlignment="1">
      <alignment horizontal="right"/>
    </xf>
    <xf numFmtId="3" fontId="20" fillId="44" borderId="158" xfId="0" applyNumberFormat="1" applyFont="1" applyFill="1" applyBorder="1" applyAlignment="1">
      <alignment horizontal="right"/>
    </xf>
    <xf numFmtId="0" fontId="14" fillId="5" borderId="159" xfId="0" applyFont="1" applyFill="1" applyBorder="1" applyAlignment="1">
      <alignment/>
    </xf>
    <xf numFmtId="0" fontId="14" fillId="5" borderId="160" xfId="0" applyFont="1" applyFill="1" applyBorder="1" applyAlignment="1">
      <alignment/>
    </xf>
    <xf numFmtId="3" fontId="14" fillId="47" borderId="76" xfId="0" applyNumberFormat="1" applyFont="1" applyFill="1" applyBorder="1" applyAlignment="1">
      <alignment horizontal="right"/>
    </xf>
    <xf numFmtId="0" fontId="14" fillId="47" borderId="76" xfId="0" applyFont="1" applyFill="1" applyBorder="1" applyAlignment="1">
      <alignment horizontal="left"/>
    </xf>
    <xf numFmtId="0" fontId="13" fillId="9" borderId="161" xfId="0" applyFill="1" applyBorder="1" applyAlignment="1">
      <alignment/>
    </xf>
    <xf numFmtId="0" fontId="13" fillId="44" borderId="162" xfId="0" applyFont="1" applyFill="1" applyBorder="1" applyAlignment="1">
      <alignment horizontal="left" wrapText="1"/>
    </xf>
    <xf numFmtId="0" fontId="16" fillId="9" borderId="163" xfId="0" applyFont="1" applyFill="1" applyBorder="1" applyAlignment="1">
      <alignment/>
    </xf>
    <xf numFmtId="0" fontId="16" fillId="44" borderId="76" xfId="0" applyFont="1" applyFill="1" applyBorder="1" applyAlignment="1">
      <alignment horizontal="left"/>
    </xf>
    <xf numFmtId="3" fontId="16" fillId="44" borderId="76" xfId="0" applyNumberFormat="1" applyFont="1" applyFill="1" applyBorder="1" applyAlignment="1">
      <alignment horizontal="right"/>
    </xf>
    <xf numFmtId="3" fontId="13" fillId="44" borderId="162" xfId="0" applyNumberFormat="1" applyFont="1" applyFill="1" applyBorder="1" applyAlignment="1">
      <alignment horizontal="right"/>
    </xf>
    <xf numFmtId="0" fontId="20" fillId="44" borderId="158" xfId="0" applyFont="1" applyFill="1" applyBorder="1" applyAlignment="1">
      <alignment horizontal="left" wrapText="1"/>
    </xf>
    <xf numFmtId="0" fontId="20" fillId="44" borderId="76" xfId="0" applyFont="1" applyFill="1" applyBorder="1" applyAlignment="1">
      <alignment horizontal="left"/>
    </xf>
    <xf numFmtId="3" fontId="9" fillId="0" borderId="28" xfId="15" applyNumberFormat="1" applyFont="1" applyBorder="1" applyAlignment="1">
      <alignment horizontal="center" wrapText="1"/>
    </xf>
    <xf numFmtId="3" fontId="5" fillId="4" borderId="91" xfId="0" applyNumberFormat="1" applyFont="1" applyFill="1" applyBorder="1" applyAlignment="1">
      <alignment horizontal="left" vertical="center" wrapText="1"/>
    </xf>
    <xf numFmtId="3" fontId="5" fillId="4" borderId="91" xfId="0" applyNumberFormat="1" applyFont="1" applyFill="1" applyBorder="1" applyAlignment="1">
      <alignment horizontal="right" vertical="center" wrapText="1"/>
    </xf>
    <xf numFmtId="3" fontId="5" fillId="4" borderId="91" xfId="15" applyNumberFormat="1" applyFont="1" applyFill="1" applyBorder="1" applyAlignment="1">
      <alignment horizontal="right" vertical="center"/>
    </xf>
    <xf numFmtId="3" fontId="5" fillId="4" borderId="107" xfId="15" applyNumberFormat="1" applyFont="1" applyFill="1" applyBorder="1" applyAlignment="1">
      <alignment horizontal="right" vertical="center"/>
    </xf>
    <xf numFmtId="3" fontId="5" fillId="4" borderId="28" xfId="15" applyNumberFormat="1" applyFont="1" applyFill="1" applyBorder="1" applyAlignment="1">
      <alignment horizontal="right" vertical="center"/>
    </xf>
    <xf numFmtId="3" fontId="28" fillId="4" borderId="28" xfId="0" applyNumberFormat="1" applyFont="1" applyFill="1" applyBorder="1" applyAlignment="1" applyProtection="1">
      <alignment/>
      <protection/>
    </xf>
    <xf numFmtId="1" fontId="13" fillId="4" borderId="61" xfId="0" applyNumberFormat="1" applyFont="1" applyFill="1" applyBorder="1" applyAlignment="1">
      <alignment horizontal="left" vertical="center"/>
    </xf>
    <xf numFmtId="1" fontId="13" fillId="16" borderId="26" xfId="0" applyNumberFormat="1" applyFont="1" applyFill="1" applyBorder="1" applyAlignment="1">
      <alignment horizontal="center" vertical="center"/>
    </xf>
    <xf numFmtId="3" fontId="0" fillId="4" borderId="27" xfId="0" applyNumberFormat="1" applyFont="1" applyFill="1" applyBorder="1" applyAlignment="1">
      <alignment vertical="center"/>
    </xf>
    <xf numFmtId="3" fontId="13" fillId="4" borderId="27" xfId="15" applyNumberFormat="1" applyFont="1" applyFill="1" applyBorder="1" applyAlignment="1">
      <alignment horizontal="right" vertical="center"/>
    </xf>
    <xf numFmtId="3" fontId="5" fillId="4" borderId="27" xfId="15" applyNumberFormat="1" applyFont="1" applyFill="1" applyBorder="1" applyAlignment="1">
      <alignment horizontal="right" vertical="center"/>
    </xf>
    <xf numFmtId="0" fontId="7" fillId="4" borderId="68" xfId="0" applyFont="1" applyFill="1" applyBorder="1" applyAlignment="1">
      <alignment horizontal="left" vertical="center"/>
    </xf>
    <xf numFmtId="3" fontId="7" fillId="4" borderId="69" xfId="0" applyNumberFormat="1" applyFont="1" applyFill="1" applyBorder="1" applyAlignment="1">
      <alignment horizontal="center" vertical="center"/>
    </xf>
    <xf numFmtId="3" fontId="7" fillId="4" borderId="68" xfId="0" applyNumberFormat="1" applyFont="1" applyFill="1" applyBorder="1" applyAlignment="1">
      <alignment horizontal="right" vertical="center"/>
    </xf>
    <xf numFmtId="3" fontId="10" fillId="4" borderId="164" xfId="0" applyNumberFormat="1" applyFont="1" applyFill="1" applyBorder="1" applyAlignment="1">
      <alignment horizontal="center" vertical="center"/>
    </xf>
    <xf numFmtId="0" fontId="7" fillId="4" borderId="55" xfId="0" applyFont="1" applyFill="1" applyBorder="1" applyAlignment="1">
      <alignment horizontal="left" vertical="center"/>
    </xf>
    <xf numFmtId="3" fontId="26" fillId="4" borderId="55" xfId="0" applyNumberFormat="1" applyFont="1" applyFill="1" applyBorder="1" applyAlignment="1">
      <alignment horizontal="right" vertical="center"/>
    </xf>
    <xf numFmtId="3" fontId="37" fillId="5" borderId="43" xfId="0" applyNumberFormat="1" applyFont="1" applyFill="1" applyBorder="1" applyAlignment="1">
      <alignment horizontal="center"/>
    </xf>
    <xf numFmtId="0" fontId="5" fillId="5" borderId="2" xfId="0" applyFont="1" applyFill="1" applyBorder="1" applyAlignment="1">
      <alignment horizontal="left"/>
    </xf>
    <xf numFmtId="0" fontId="5" fillId="4" borderId="28" xfId="0" applyFont="1" applyFill="1" applyBorder="1" applyAlignment="1">
      <alignment horizontal="center"/>
    </xf>
    <xf numFmtId="3" fontId="5" fillId="4" borderId="61" xfId="0" applyNumberFormat="1" applyFont="1" applyFill="1" applyBorder="1" applyAlignment="1">
      <alignment horizontal="center"/>
    </xf>
    <xf numFmtId="3" fontId="5" fillId="4" borderId="48" xfId="0" applyNumberFormat="1" applyFont="1" applyFill="1" applyBorder="1" applyAlignment="1">
      <alignment horizontal="center"/>
    </xf>
    <xf numFmtId="3" fontId="5" fillId="4" borderId="29" xfId="0" applyNumberFormat="1" applyFont="1" applyFill="1" applyBorder="1" applyAlignment="1">
      <alignment horizontal="center"/>
    </xf>
    <xf numFmtId="3" fontId="38" fillId="4" borderId="43" xfId="0" applyNumberFormat="1" applyFont="1" applyFill="1" applyBorder="1" applyAlignment="1">
      <alignment horizontal="center"/>
    </xf>
    <xf numFmtId="3" fontId="38" fillId="4" borderId="2" xfId="0" applyNumberFormat="1" applyFont="1" applyFill="1" applyBorder="1" applyAlignment="1">
      <alignment horizontal="center"/>
    </xf>
    <xf numFmtId="3" fontId="7" fillId="4" borderId="55" xfId="0" applyNumberFormat="1" applyFont="1" applyFill="1" applyBorder="1" applyAlignment="1">
      <alignment horizontal="right" vertical="center"/>
    </xf>
    <xf numFmtId="3" fontId="5" fillId="5" borderId="39" xfId="0" applyNumberFormat="1" applyFont="1" applyFill="1" applyBorder="1" applyAlignment="1">
      <alignment wrapText="1"/>
    </xf>
    <xf numFmtId="3" fontId="0" fillId="4" borderId="165" xfId="0" applyNumberFormat="1" applyFont="1" applyFill="1" applyBorder="1" applyAlignment="1">
      <alignment wrapText="1"/>
    </xf>
    <xf numFmtId="0" fontId="4" fillId="4" borderId="155" xfId="0" applyFont="1" applyFill="1" applyBorder="1" applyAlignment="1">
      <alignment/>
    </xf>
    <xf numFmtId="3" fontId="4" fillId="4" borderId="166" xfId="0" applyNumberFormat="1" applyFont="1" applyFill="1" applyBorder="1" applyAlignment="1">
      <alignment wrapText="1"/>
    </xf>
    <xf numFmtId="3" fontId="4" fillId="4" borderId="155" xfId="0" applyNumberFormat="1" applyFont="1" applyFill="1" applyBorder="1" applyAlignment="1">
      <alignment horizontal="right"/>
    </xf>
    <xf numFmtId="0" fontId="4" fillId="4" borderId="46" xfId="0" applyFont="1" applyFill="1" applyBorder="1" applyAlignment="1">
      <alignment/>
    </xf>
    <xf numFmtId="0" fontId="4" fillId="4" borderId="66" xfId="0" applyFont="1" applyFill="1" applyBorder="1" applyAlignment="1">
      <alignment wrapText="1"/>
    </xf>
    <xf numFmtId="3" fontId="4" fillId="4" borderId="66" xfId="0" applyNumberFormat="1" applyFont="1" applyFill="1" applyBorder="1" applyAlignment="1">
      <alignment horizontal="right"/>
    </xf>
    <xf numFmtId="2" fontId="0" fillId="4" borderId="3" xfId="0" applyNumberFormat="1" applyFont="1" applyFill="1" applyBorder="1" applyAlignment="1">
      <alignment wrapText="1"/>
    </xf>
    <xf numFmtId="0" fontId="0" fillId="4" borderId="3" xfId="0" applyFont="1" applyFill="1" applyBorder="1" applyAlignment="1">
      <alignment wrapText="1"/>
    </xf>
    <xf numFmtId="3" fontId="0" fillId="4" borderId="26" xfId="0" applyNumberFormat="1" applyFont="1" applyFill="1" applyBorder="1" applyAlignment="1">
      <alignment wrapText="1"/>
    </xf>
    <xf numFmtId="3" fontId="31" fillId="5" borderId="2" xfId="0" applyNumberFormat="1" applyFont="1" applyFill="1" applyBorder="1" applyAlignment="1">
      <alignment horizontal="right"/>
    </xf>
    <xf numFmtId="0" fontId="7" fillId="5" borderId="2" xfId="0" applyFont="1" applyFill="1" applyBorder="1" applyAlignment="1">
      <alignment/>
    </xf>
    <xf numFmtId="0" fontId="7" fillId="5" borderId="26" xfId="0" applyFont="1" applyFill="1" applyBorder="1" applyAlignment="1">
      <alignment/>
    </xf>
    <xf numFmtId="3" fontId="7" fillId="5" borderId="2" xfId="0" applyNumberFormat="1" applyFont="1" applyFill="1" applyBorder="1" applyAlignment="1">
      <alignment horizontal="right"/>
    </xf>
    <xf numFmtId="3" fontId="31" fillId="4" borderId="28" xfId="0" applyNumberFormat="1" applyFont="1" applyFill="1" applyBorder="1" applyAlignment="1">
      <alignment horizontal="right"/>
    </xf>
    <xf numFmtId="0" fontId="7" fillId="4" borderId="28" xfId="0" applyFont="1" applyFill="1" applyBorder="1" applyAlignment="1">
      <alignment/>
    </xf>
    <xf numFmtId="0" fontId="7" fillId="4" borderId="39" xfId="0" applyFont="1" applyFill="1" applyBorder="1" applyAlignment="1">
      <alignment/>
    </xf>
    <xf numFmtId="3" fontId="7" fillId="4" borderId="28" xfId="0" applyNumberFormat="1" applyFont="1" applyFill="1" applyBorder="1" applyAlignment="1">
      <alignment horizontal="right"/>
    </xf>
    <xf numFmtId="0" fontId="4" fillId="4" borderId="40" xfId="0" applyFont="1" applyFill="1" applyBorder="1" applyAlignment="1">
      <alignment/>
    </xf>
    <xf numFmtId="3" fontId="31" fillId="4" borderId="29" xfId="0" applyNumberFormat="1" applyFont="1" applyFill="1" applyBorder="1" applyAlignment="1">
      <alignment horizontal="right"/>
    </xf>
    <xf numFmtId="3" fontId="4" fillId="4" borderId="29" xfId="0" applyNumberFormat="1" applyFont="1" applyFill="1" applyBorder="1" applyAlignment="1">
      <alignment horizontal="right"/>
    </xf>
    <xf numFmtId="0" fontId="0" fillId="4" borderId="40" xfId="0" applyFont="1" applyFill="1" applyBorder="1" applyAlignment="1">
      <alignment/>
    </xf>
    <xf numFmtId="3" fontId="12" fillId="4" borderId="29" xfId="0" applyNumberFormat="1" applyFont="1" applyFill="1" applyBorder="1" applyAlignment="1">
      <alignment horizontal="right"/>
    </xf>
    <xf numFmtId="0" fontId="4" fillId="4" borderId="3" xfId="0" applyFont="1" applyFill="1" applyBorder="1" applyAlignment="1">
      <alignment horizontal="left"/>
    </xf>
    <xf numFmtId="0" fontId="4" fillId="4" borderId="27" xfId="0" applyFont="1" applyFill="1" applyBorder="1" applyAlignment="1">
      <alignment horizontal="left"/>
    </xf>
    <xf numFmtId="3" fontId="4" fillId="4" borderId="27" xfId="0" applyNumberFormat="1" applyFont="1" applyFill="1" applyBorder="1" applyAlignment="1">
      <alignment horizontal="right"/>
    </xf>
    <xf numFmtId="3" fontId="4" fillId="4" borderId="167" xfId="0" applyNumberFormat="1" applyFont="1" applyFill="1" applyBorder="1" applyAlignment="1">
      <alignment wrapText="1"/>
    </xf>
    <xf numFmtId="3" fontId="4" fillId="4" borderId="168" xfId="0" applyNumberFormat="1" applyFont="1" applyFill="1" applyBorder="1" applyAlignment="1">
      <alignment horizontal="right"/>
    </xf>
    <xf numFmtId="0" fontId="4" fillId="4" borderId="43" xfId="0" applyFont="1" applyFill="1" applyBorder="1" applyAlignment="1">
      <alignment/>
    </xf>
    <xf numFmtId="3" fontId="4" fillId="4" borderId="43" xfId="0" applyNumberFormat="1" applyFont="1" applyFill="1" applyBorder="1" applyAlignment="1">
      <alignment/>
    </xf>
    <xf numFmtId="0" fontId="0" fillId="4" borderId="120" xfId="0" applyFont="1" applyFill="1" applyBorder="1" applyAlignment="1">
      <alignment wrapText="1"/>
    </xf>
    <xf numFmtId="3" fontId="5" fillId="4" borderId="2" xfId="15" applyNumberFormat="1" applyFont="1" applyFill="1" applyBorder="1" applyAlignment="1">
      <alignment horizontal="right" vertical="center"/>
    </xf>
    <xf numFmtId="3" fontId="29" fillId="4" borderId="41" xfId="0" applyNumberFormat="1" applyFont="1" applyFill="1" applyBorder="1" applyAlignment="1" applyProtection="1">
      <alignment/>
      <protection/>
    </xf>
    <xf numFmtId="3" fontId="13" fillId="4" borderId="29" xfId="0" applyNumberFormat="1" applyFont="1" applyFill="1" applyBorder="1" applyAlignment="1">
      <alignment wrapText="1"/>
    </xf>
    <xf numFmtId="3" fontId="5" fillId="4" borderId="29" xfId="15" applyNumberFormat="1" applyFont="1" applyFill="1" applyBorder="1" applyAlignment="1">
      <alignment horizontal="right"/>
    </xf>
    <xf numFmtId="3" fontId="5" fillId="4" borderId="91" xfId="15" applyNumberFormat="1" applyFont="1" applyFill="1" applyBorder="1" applyAlignment="1">
      <alignment horizontal="right" vertical="center"/>
    </xf>
    <xf numFmtId="3" fontId="5" fillId="4" borderId="103" xfId="15" applyNumberFormat="1" applyFont="1" applyFill="1" applyBorder="1" applyAlignment="1">
      <alignment horizontal="right"/>
    </xf>
    <xf numFmtId="0" fontId="7" fillId="4" borderId="24" xfId="0" applyFont="1" applyFill="1" applyBorder="1" applyAlignment="1">
      <alignment/>
    </xf>
    <xf numFmtId="0" fontId="7" fillId="4" borderId="24" xfId="0" applyFont="1" applyFill="1" applyBorder="1" applyAlignment="1">
      <alignment horizontal="left" wrapText="1"/>
    </xf>
    <xf numFmtId="0" fontId="7" fillId="4" borderId="54" xfId="0" applyFont="1" applyFill="1" applyBorder="1" applyAlignment="1">
      <alignment/>
    </xf>
    <xf numFmtId="3" fontId="31" fillId="4" borderId="24" xfId="0" applyNumberFormat="1" applyFont="1" applyFill="1" applyBorder="1" applyAlignment="1">
      <alignment horizontal="right"/>
    </xf>
    <xf numFmtId="0" fontId="4" fillId="4" borderId="27" xfId="0" applyFont="1" applyFill="1" applyBorder="1" applyAlignment="1">
      <alignment/>
    </xf>
    <xf numFmtId="3" fontId="31" fillId="4" borderId="21" xfId="0" applyNumberFormat="1" applyFont="1" applyFill="1" applyBorder="1" applyAlignment="1">
      <alignment horizontal="right"/>
    </xf>
    <xf numFmtId="3" fontId="4" fillId="4" borderId="21" xfId="0" applyNumberFormat="1" applyFont="1" applyFill="1" applyBorder="1" applyAlignment="1">
      <alignment horizontal="right"/>
    </xf>
    <xf numFmtId="0" fontId="0" fillId="4" borderId="31" xfId="0" applyFont="1" applyFill="1" applyBorder="1" applyAlignment="1">
      <alignment/>
    </xf>
    <xf numFmtId="3" fontId="12" fillId="4" borderId="41" xfId="0" applyNumberFormat="1" applyFont="1" applyFill="1" applyBorder="1" applyAlignment="1">
      <alignment horizontal="right"/>
    </xf>
    <xf numFmtId="3" fontId="31" fillId="4" borderId="27" xfId="0" applyNumberFormat="1" applyFont="1" applyFill="1" applyBorder="1" applyAlignment="1">
      <alignment horizontal="right"/>
    </xf>
    <xf numFmtId="0" fontId="0" fillId="4" borderId="39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0" xfId="15" applyNumberFormat="1" applyAlignment="1">
      <alignment horizontal="center"/>
    </xf>
    <xf numFmtId="0" fontId="0" fillId="0" borderId="0" xfId="0" applyAlignment="1">
      <alignment horizontal="center" wrapText="1"/>
    </xf>
    <xf numFmtId="0" fontId="5" fillId="4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/>
    </xf>
    <xf numFmtId="0" fontId="5" fillId="0" borderId="7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vertical="top" wrapText="1"/>
    </xf>
    <xf numFmtId="3" fontId="5" fillId="3" borderId="169" xfId="0" applyNumberFormat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5" fillId="3" borderId="7" xfId="0" applyFont="1" applyFill="1" applyBorder="1" applyAlignment="1">
      <alignment horizontal="center" vertical="center" wrapText="1"/>
    </xf>
    <xf numFmtId="0" fontId="0" fillId="0" borderId="170" xfId="0" applyFont="1" applyBorder="1" applyAlignment="1">
      <alignment horizontal="left"/>
    </xf>
    <xf numFmtId="0" fontId="0" fillId="0" borderId="146" xfId="0" applyFont="1" applyBorder="1" applyAlignment="1">
      <alignment horizontal="left"/>
    </xf>
    <xf numFmtId="0" fontId="0" fillId="0" borderId="117" xfId="0" applyFont="1" applyBorder="1" applyAlignment="1">
      <alignment horizontal="left"/>
    </xf>
    <xf numFmtId="3" fontId="9" fillId="0" borderId="61" xfId="15" applyNumberFormat="1" applyFont="1" applyBorder="1" applyAlignment="1">
      <alignment horizontal="center" wrapText="1"/>
    </xf>
    <xf numFmtId="3" fontId="9" fillId="0" borderId="56" xfId="15" applyNumberFormat="1" applyFont="1" applyBorder="1" applyAlignment="1">
      <alignment horizontal="center" wrapText="1"/>
    </xf>
    <xf numFmtId="3" fontId="9" fillId="0" borderId="61" xfId="15" applyNumberFormat="1" applyFont="1" applyBorder="1" applyAlignment="1">
      <alignment horizontal="center"/>
    </xf>
    <xf numFmtId="3" fontId="9" fillId="0" borderId="39" xfId="15" applyNumberFormat="1" applyFont="1" applyBorder="1" applyAlignment="1">
      <alignment horizontal="center"/>
    </xf>
    <xf numFmtId="3" fontId="9" fillId="0" borderId="56" xfId="15" applyNumberFormat="1" applyFont="1" applyBorder="1" applyAlignment="1">
      <alignment horizontal="center"/>
    </xf>
    <xf numFmtId="3" fontId="18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</cellXfs>
  <cellStyles count="10">
    <cellStyle name="Normal" xfId="0"/>
    <cellStyle name="Comma" xfId="15"/>
    <cellStyle name="Comma [0]" xfId="16"/>
    <cellStyle name="Hyperlink" xfId="17"/>
    <cellStyle name="Normalny_Arkusz1" xfId="18"/>
    <cellStyle name="Normalny_Zal9-rady" xfId="19"/>
    <cellStyle name="Followed Hyperlink" xfId="20"/>
    <cellStyle name="Percent" xfId="21"/>
    <cellStyle name="Currency" xfId="22"/>
    <cellStyle name="Currency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112</xdr:row>
      <xdr:rowOff>0</xdr:rowOff>
    </xdr:from>
    <xdr:to>
      <xdr:col>2</xdr:col>
      <xdr:colOff>0</xdr:colOff>
      <xdr:row>112</xdr:row>
      <xdr:rowOff>0</xdr:rowOff>
    </xdr:to>
    <xdr:sp>
      <xdr:nvSpPr>
        <xdr:cNvPr id="2" name="Line 2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3" name="Line 3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112</xdr:row>
      <xdr:rowOff>0</xdr:rowOff>
    </xdr:from>
    <xdr:to>
      <xdr:col>2</xdr:col>
      <xdr:colOff>0</xdr:colOff>
      <xdr:row>112</xdr:row>
      <xdr:rowOff>0</xdr:rowOff>
    </xdr:to>
    <xdr:sp>
      <xdr:nvSpPr>
        <xdr:cNvPr id="4" name="Line 4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308</xdr:row>
      <xdr:rowOff>0</xdr:rowOff>
    </xdr:from>
    <xdr:to>
      <xdr:col>2</xdr:col>
      <xdr:colOff>0</xdr:colOff>
      <xdr:row>308</xdr:row>
      <xdr:rowOff>0</xdr:rowOff>
    </xdr:to>
    <xdr:sp>
      <xdr:nvSpPr>
        <xdr:cNvPr id="5" name="Line 5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6" name="Line 6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414</xdr:row>
      <xdr:rowOff>0</xdr:rowOff>
    </xdr:from>
    <xdr:to>
      <xdr:col>2</xdr:col>
      <xdr:colOff>0</xdr:colOff>
      <xdr:row>414</xdr:row>
      <xdr:rowOff>0</xdr:rowOff>
    </xdr:to>
    <xdr:sp>
      <xdr:nvSpPr>
        <xdr:cNvPr id="7" name="Line 7"/>
        <xdr:cNvSpPr>
          <a:spLocks/>
        </xdr:cNvSpPr>
      </xdr:nvSpPr>
      <xdr:spPr>
        <a:xfrm>
          <a:off x="28575" y="38423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8" name="Line 8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308</xdr:row>
      <xdr:rowOff>0</xdr:rowOff>
    </xdr:from>
    <xdr:to>
      <xdr:col>2</xdr:col>
      <xdr:colOff>0</xdr:colOff>
      <xdr:row>308</xdr:row>
      <xdr:rowOff>0</xdr:rowOff>
    </xdr:to>
    <xdr:sp>
      <xdr:nvSpPr>
        <xdr:cNvPr id="9" name="Line 9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308</xdr:row>
      <xdr:rowOff>0</xdr:rowOff>
    </xdr:from>
    <xdr:to>
      <xdr:col>2</xdr:col>
      <xdr:colOff>0</xdr:colOff>
      <xdr:row>308</xdr:row>
      <xdr:rowOff>0</xdr:rowOff>
    </xdr:to>
    <xdr:sp>
      <xdr:nvSpPr>
        <xdr:cNvPr id="10" name="Line 10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414</xdr:row>
      <xdr:rowOff>0</xdr:rowOff>
    </xdr:from>
    <xdr:to>
      <xdr:col>2</xdr:col>
      <xdr:colOff>0</xdr:colOff>
      <xdr:row>414</xdr:row>
      <xdr:rowOff>0</xdr:rowOff>
    </xdr:to>
    <xdr:sp>
      <xdr:nvSpPr>
        <xdr:cNvPr id="11" name="Line 11"/>
        <xdr:cNvSpPr>
          <a:spLocks/>
        </xdr:cNvSpPr>
      </xdr:nvSpPr>
      <xdr:spPr>
        <a:xfrm>
          <a:off x="28575" y="38423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414</xdr:row>
      <xdr:rowOff>0</xdr:rowOff>
    </xdr:from>
    <xdr:to>
      <xdr:col>2</xdr:col>
      <xdr:colOff>0</xdr:colOff>
      <xdr:row>414</xdr:row>
      <xdr:rowOff>0</xdr:rowOff>
    </xdr:to>
    <xdr:sp>
      <xdr:nvSpPr>
        <xdr:cNvPr id="12" name="Line 12"/>
        <xdr:cNvSpPr>
          <a:spLocks/>
        </xdr:cNvSpPr>
      </xdr:nvSpPr>
      <xdr:spPr>
        <a:xfrm>
          <a:off x="28575" y="38423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13" name="Line 13"/>
        <xdr:cNvSpPr>
          <a:spLocks/>
        </xdr:cNvSpPr>
      </xdr:nvSpPr>
      <xdr:spPr>
        <a:xfrm>
          <a:off x="28575" y="44138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14" name="Line 14"/>
        <xdr:cNvSpPr>
          <a:spLocks/>
        </xdr:cNvSpPr>
      </xdr:nvSpPr>
      <xdr:spPr>
        <a:xfrm>
          <a:off x="28575" y="44138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15" name="Line 15"/>
        <xdr:cNvSpPr>
          <a:spLocks/>
        </xdr:cNvSpPr>
      </xdr:nvSpPr>
      <xdr:spPr>
        <a:xfrm>
          <a:off x="28575" y="44138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16" name="Line 16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17" name="Line 17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18" name="Line 18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19" name="Line 19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20" name="Line 20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21" name="Line 21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2" name="Line 22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112</xdr:row>
      <xdr:rowOff>0</xdr:rowOff>
    </xdr:from>
    <xdr:to>
      <xdr:col>2</xdr:col>
      <xdr:colOff>0</xdr:colOff>
      <xdr:row>112</xdr:row>
      <xdr:rowOff>0</xdr:rowOff>
    </xdr:to>
    <xdr:sp>
      <xdr:nvSpPr>
        <xdr:cNvPr id="23" name="Line 23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24" name="Line 24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112</xdr:row>
      <xdr:rowOff>0</xdr:rowOff>
    </xdr:from>
    <xdr:to>
      <xdr:col>2</xdr:col>
      <xdr:colOff>0</xdr:colOff>
      <xdr:row>112</xdr:row>
      <xdr:rowOff>0</xdr:rowOff>
    </xdr:to>
    <xdr:sp>
      <xdr:nvSpPr>
        <xdr:cNvPr id="25" name="Line 25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308</xdr:row>
      <xdr:rowOff>0</xdr:rowOff>
    </xdr:from>
    <xdr:to>
      <xdr:col>2</xdr:col>
      <xdr:colOff>0</xdr:colOff>
      <xdr:row>308</xdr:row>
      <xdr:rowOff>0</xdr:rowOff>
    </xdr:to>
    <xdr:sp>
      <xdr:nvSpPr>
        <xdr:cNvPr id="26" name="Line 26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27" name="Line 27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414</xdr:row>
      <xdr:rowOff>0</xdr:rowOff>
    </xdr:from>
    <xdr:to>
      <xdr:col>2</xdr:col>
      <xdr:colOff>0</xdr:colOff>
      <xdr:row>414</xdr:row>
      <xdr:rowOff>0</xdr:rowOff>
    </xdr:to>
    <xdr:sp>
      <xdr:nvSpPr>
        <xdr:cNvPr id="28" name="Line 28"/>
        <xdr:cNvSpPr>
          <a:spLocks/>
        </xdr:cNvSpPr>
      </xdr:nvSpPr>
      <xdr:spPr>
        <a:xfrm>
          <a:off x="28575" y="38423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29" name="Line 29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308</xdr:row>
      <xdr:rowOff>0</xdr:rowOff>
    </xdr:from>
    <xdr:to>
      <xdr:col>2</xdr:col>
      <xdr:colOff>0</xdr:colOff>
      <xdr:row>308</xdr:row>
      <xdr:rowOff>0</xdr:rowOff>
    </xdr:to>
    <xdr:sp>
      <xdr:nvSpPr>
        <xdr:cNvPr id="30" name="Line 30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308</xdr:row>
      <xdr:rowOff>0</xdr:rowOff>
    </xdr:from>
    <xdr:to>
      <xdr:col>2</xdr:col>
      <xdr:colOff>0</xdr:colOff>
      <xdr:row>308</xdr:row>
      <xdr:rowOff>0</xdr:rowOff>
    </xdr:to>
    <xdr:sp>
      <xdr:nvSpPr>
        <xdr:cNvPr id="31" name="Line 31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414</xdr:row>
      <xdr:rowOff>0</xdr:rowOff>
    </xdr:from>
    <xdr:to>
      <xdr:col>2</xdr:col>
      <xdr:colOff>0</xdr:colOff>
      <xdr:row>414</xdr:row>
      <xdr:rowOff>0</xdr:rowOff>
    </xdr:to>
    <xdr:sp>
      <xdr:nvSpPr>
        <xdr:cNvPr id="32" name="Line 32"/>
        <xdr:cNvSpPr>
          <a:spLocks/>
        </xdr:cNvSpPr>
      </xdr:nvSpPr>
      <xdr:spPr>
        <a:xfrm>
          <a:off x="28575" y="38423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414</xdr:row>
      <xdr:rowOff>0</xdr:rowOff>
    </xdr:from>
    <xdr:to>
      <xdr:col>2</xdr:col>
      <xdr:colOff>0</xdr:colOff>
      <xdr:row>414</xdr:row>
      <xdr:rowOff>0</xdr:rowOff>
    </xdr:to>
    <xdr:sp>
      <xdr:nvSpPr>
        <xdr:cNvPr id="33" name="Line 33"/>
        <xdr:cNvSpPr>
          <a:spLocks/>
        </xdr:cNvSpPr>
      </xdr:nvSpPr>
      <xdr:spPr>
        <a:xfrm>
          <a:off x="28575" y="38423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34" name="Line 34"/>
        <xdr:cNvSpPr>
          <a:spLocks/>
        </xdr:cNvSpPr>
      </xdr:nvSpPr>
      <xdr:spPr>
        <a:xfrm>
          <a:off x="28575" y="44138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35" name="Line 35"/>
        <xdr:cNvSpPr>
          <a:spLocks/>
        </xdr:cNvSpPr>
      </xdr:nvSpPr>
      <xdr:spPr>
        <a:xfrm>
          <a:off x="28575" y="44138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36" name="Line 36"/>
        <xdr:cNvSpPr>
          <a:spLocks/>
        </xdr:cNvSpPr>
      </xdr:nvSpPr>
      <xdr:spPr>
        <a:xfrm>
          <a:off x="28575" y="44138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37" name="Line 37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38" name="Line 38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39" name="Line 39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40" name="Line 40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41" name="Line 41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42" name="Line 42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43" name="Line 43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112</xdr:row>
      <xdr:rowOff>0</xdr:rowOff>
    </xdr:from>
    <xdr:to>
      <xdr:col>2</xdr:col>
      <xdr:colOff>0</xdr:colOff>
      <xdr:row>112</xdr:row>
      <xdr:rowOff>0</xdr:rowOff>
    </xdr:to>
    <xdr:sp>
      <xdr:nvSpPr>
        <xdr:cNvPr id="44" name="Line 44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45" name="Line 45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112</xdr:row>
      <xdr:rowOff>0</xdr:rowOff>
    </xdr:from>
    <xdr:to>
      <xdr:col>2</xdr:col>
      <xdr:colOff>0</xdr:colOff>
      <xdr:row>112</xdr:row>
      <xdr:rowOff>0</xdr:rowOff>
    </xdr:to>
    <xdr:sp>
      <xdr:nvSpPr>
        <xdr:cNvPr id="46" name="Line 46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308</xdr:row>
      <xdr:rowOff>0</xdr:rowOff>
    </xdr:from>
    <xdr:to>
      <xdr:col>2</xdr:col>
      <xdr:colOff>0</xdr:colOff>
      <xdr:row>308</xdr:row>
      <xdr:rowOff>0</xdr:rowOff>
    </xdr:to>
    <xdr:sp>
      <xdr:nvSpPr>
        <xdr:cNvPr id="47" name="Line 47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48" name="Line 48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414</xdr:row>
      <xdr:rowOff>0</xdr:rowOff>
    </xdr:from>
    <xdr:to>
      <xdr:col>2</xdr:col>
      <xdr:colOff>0</xdr:colOff>
      <xdr:row>414</xdr:row>
      <xdr:rowOff>0</xdr:rowOff>
    </xdr:to>
    <xdr:sp>
      <xdr:nvSpPr>
        <xdr:cNvPr id="49" name="Line 49"/>
        <xdr:cNvSpPr>
          <a:spLocks/>
        </xdr:cNvSpPr>
      </xdr:nvSpPr>
      <xdr:spPr>
        <a:xfrm>
          <a:off x="28575" y="38423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50" name="Line 50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308</xdr:row>
      <xdr:rowOff>0</xdr:rowOff>
    </xdr:from>
    <xdr:to>
      <xdr:col>2</xdr:col>
      <xdr:colOff>0</xdr:colOff>
      <xdr:row>308</xdr:row>
      <xdr:rowOff>0</xdr:rowOff>
    </xdr:to>
    <xdr:sp>
      <xdr:nvSpPr>
        <xdr:cNvPr id="51" name="Line 51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308</xdr:row>
      <xdr:rowOff>0</xdr:rowOff>
    </xdr:from>
    <xdr:to>
      <xdr:col>2</xdr:col>
      <xdr:colOff>0</xdr:colOff>
      <xdr:row>308</xdr:row>
      <xdr:rowOff>0</xdr:rowOff>
    </xdr:to>
    <xdr:sp>
      <xdr:nvSpPr>
        <xdr:cNvPr id="52" name="Line 52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414</xdr:row>
      <xdr:rowOff>0</xdr:rowOff>
    </xdr:from>
    <xdr:to>
      <xdr:col>2</xdr:col>
      <xdr:colOff>0</xdr:colOff>
      <xdr:row>414</xdr:row>
      <xdr:rowOff>0</xdr:rowOff>
    </xdr:to>
    <xdr:sp>
      <xdr:nvSpPr>
        <xdr:cNvPr id="53" name="Line 53"/>
        <xdr:cNvSpPr>
          <a:spLocks/>
        </xdr:cNvSpPr>
      </xdr:nvSpPr>
      <xdr:spPr>
        <a:xfrm>
          <a:off x="28575" y="38423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414</xdr:row>
      <xdr:rowOff>0</xdr:rowOff>
    </xdr:from>
    <xdr:to>
      <xdr:col>2</xdr:col>
      <xdr:colOff>0</xdr:colOff>
      <xdr:row>414</xdr:row>
      <xdr:rowOff>0</xdr:rowOff>
    </xdr:to>
    <xdr:sp>
      <xdr:nvSpPr>
        <xdr:cNvPr id="54" name="Line 54"/>
        <xdr:cNvSpPr>
          <a:spLocks/>
        </xdr:cNvSpPr>
      </xdr:nvSpPr>
      <xdr:spPr>
        <a:xfrm>
          <a:off x="28575" y="38423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55" name="Line 55"/>
        <xdr:cNvSpPr>
          <a:spLocks/>
        </xdr:cNvSpPr>
      </xdr:nvSpPr>
      <xdr:spPr>
        <a:xfrm>
          <a:off x="28575" y="44138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56" name="Line 56"/>
        <xdr:cNvSpPr>
          <a:spLocks/>
        </xdr:cNvSpPr>
      </xdr:nvSpPr>
      <xdr:spPr>
        <a:xfrm>
          <a:off x="28575" y="44138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57" name="Line 57"/>
        <xdr:cNvSpPr>
          <a:spLocks/>
        </xdr:cNvSpPr>
      </xdr:nvSpPr>
      <xdr:spPr>
        <a:xfrm>
          <a:off x="28575" y="44138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58" name="Line 58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59" name="Line 59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60" name="Line 60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61" name="Line 61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62" name="Line 62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63" name="Line 63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64" name="Line 64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112</xdr:row>
      <xdr:rowOff>0</xdr:rowOff>
    </xdr:from>
    <xdr:to>
      <xdr:col>2</xdr:col>
      <xdr:colOff>0</xdr:colOff>
      <xdr:row>112</xdr:row>
      <xdr:rowOff>0</xdr:rowOff>
    </xdr:to>
    <xdr:sp>
      <xdr:nvSpPr>
        <xdr:cNvPr id="65" name="Line 65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66" name="Line 66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112</xdr:row>
      <xdr:rowOff>0</xdr:rowOff>
    </xdr:from>
    <xdr:to>
      <xdr:col>2</xdr:col>
      <xdr:colOff>0</xdr:colOff>
      <xdr:row>112</xdr:row>
      <xdr:rowOff>0</xdr:rowOff>
    </xdr:to>
    <xdr:sp>
      <xdr:nvSpPr>
        <xdr:cNvPr id="67" name="Line 67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308</xdr:row>
      <xdr:rowOff>0</xdr:rowOff>
    </xdr:from>
    <xdr:to>
      <xdr:col>2</xdr:col>
      <xdr:colOff>0</xdr:colOff>
      <xdr:row>308</xdr:row>
      <xdr:rowOff>0</xdr:rowOff>
    </xdr:to>
    <xdr:sp>
      <xdr:nvSpPr>
        <xdr:cNvPr id="68" name="Line 68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69" name="Line 69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414</xdr:row>
      <xdr:rowOff>0</xdr:rowOff>
    </xdr:from>
    <xdr:to>
      <xdr:col>2</xdr:col>
      <xdr:colOff>0</xdr:colOff>
      <xdr:row>414</xdr:row>
      <xdr:rowOff>0</xdr:rowOff>
    </xdr:to>
    <xdr:sp>
      <xdr:nvSpPr>
        <xdr:cNvPr id="70" name="Line 70"/>
        <xdr:cNvSpPr>
          <a:spLocks/>
        </xdr:cNvSpPr>
      </xdr:nvSpPr>
      <xdr:spPr>
        <a:xfrm>
          <a:off x="28575" y="38423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71" name="Line 71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308</xdr:row>
      <xdr:rowOff>0</xdr:rowOff>
    </xdr:from>
    <xdr:to>
      <xdr:col>2</xdr:col>
      <xdr:colOff>0</xdr:colOff>
      <xdr:row>308</xdr:row>
      <xdr:rowOff>0</xdr:rowOff>
    </xdr:to>
    <xdr:sp>
      <xdr:nvSpPr>
        <xdr:cNvPr id="72" name="Line 72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308</xdr:row>
      <xdr:rowOff>0</xdr:rowOff>
    </xdr:from>
    <xdr:to>
      <xdr:col>2</xdr:col>
      <xdr:colOff>0</xdr:colOff>
      <xdr:row>308</xdr:row>
      <xdr:rowOff>0</xdr:rowOff>
    </xdr:to>
    <xdr:sp>
      <xdr:nvSpPr>
        <xdr:cNvPr id="73" name="Line 73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414</xdr:row>
      <xdr:rowOff>0</xdr:rowOff>
    </xdr:from>
    <xdr:to>
      <xdr:col>2</xdr:col>
      <xdr:colOff>0</xdr:colOff>
      <xdr:row>414</xdr:row>
      <xdr:rowOff>0</xdr:rowOff>
    </xdr:to>
    <xdr:sp>
      <xdr:nvSpPr>
        <xdr:cNvPr id="74" name="Line 74"/>
        <xdr:cNvSpPr>
          <a:spLocks/>
        </xdr:cNvSpPr>
      </xdr:nvSpPr>
      <xdr:spPr>
        <a:xfrm>
          <a:off x="28575" y="38423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414</xdr:row>
      <xdr:rowOff>0</xdr:rowOff>
    </xdr:from>
    <xdr:to>
      <xdr:col>2</xdr:col>
      <xdr:colOff>0</xdr:colOff>
      <xdr:row>414</xdr:row>
      <xdr:rowOff>0</xdr:rowOff>
    </xdr:to>
    <xdr:sp>
      <xdr:nvSpPr>
        <xdr:cNvPr id="75" name="Line 75"/>
        <xdr:cNvSpPr>
          <a:spLocks/>
        </xdr:cNvSpPr>
      </xdr:nvSpPr>
      <xdr:spPr>
        <a:xfrm>
          <a:off x="28575" y="38423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76" name="Line 76"/>
        <xdr:cNvSpPr>
          <a:spLocks/>
        </xdr:cNvSpPr>
      </xdr:nvSpPr>
      <xdr:spPr>
        <a:xfrm>
          <a:off x="28575" y="44138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77" name="Line 77"/>
        <xdr:cNvSpPr>
          <a:spLocks/>
        </xdr:cNvSpPr>
      </xdr:nvSpPr>
      <xdr:spPr>
        <a:xfrm>
          <a:off x="28575" y="44138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78" name="Line 78"/>
        <xdr:cNvSpPr>
          <a:spLocks/>
        </xdr:cNvSpPr>
      </xdr:nvSpPr>
      <xdr:spPr>
        <a:xfrm>
          <a:off x="28575" y="44138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79" name="Line 79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80" name="Line 80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81" name="Line 81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82" name="Line 82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83" name="Line 83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84" name="Line 84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85" name="Line 85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112</xdr:row>
      <xdr:rowOff>0</xdr:rowOff>
    </xdr:from>
    <xdr:to>
      <xdr:col>2</xdr:col>
      <xdr:colOff>0</xdr:colOff>
      <xdr:row>112</xdr:row>
      <xdr:rowOff>0</xdr:rowOff>
    </xdr:to>
    <xdr:sp>
      <xdr:nvSpPr>
        <xdr:cNvPr id="86" name="Line 86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87" name="Line 87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112</xdr:row>
      <xdr:rowOff>0</xdr:rowOff>
    </xdr:from>
    <xdr:to>
      <xdr:col>2</xdr:col>
      <xdr:colOff>0</xdr:colOff>
      <xdr:row>112</xdr:row>
      <xdr:rowOff>0</xdr:rowOff>
    </xdr:to>
    <xdr:sp>
      <xdr:nvSpPr>
        <xdr:cNvPr id="88" name="Line 88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308</xdr:row>
      <xdr:rowOff>0</xdr:rowOff>
    </xdr:from>
    <xdr:to>
      <xdr:col>2</xdr:col>
      <xdr:colOff>0</xdr:colOff>
      <xdr:row>308</xdr:row>
      <xdr:rowOff>0</xdr:rowOff>
    </xdr:to>
    <xdr:sp>
      <xdr:nvSpPr>
        <xdr:cNvPr id="89" name="Line 89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90" name="Line 90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414</xdr:row>
      <xdr:rowOff>0</xdr:rowOff>
    </xdr:from>
    <xdr:to>
      <xdr:col>2</xdr:col>
      <xdr:colOff>0</xdr:colOff>
      <xdr:row>414</xdr:row>
      <xdr:rowOff>0</xdr:rowOff>
    </xdr:to>
    <xdr:sp>
      <xdr:nvSpPr>
        <xdr:cNvPr id="91" name="Line 91"/>
        <xdr:cNvSpPr>
          <a:spLocks/>
        </xdr:cNvSpPr>
      </xdr:nvSpPr>
      <xdr:spPr>
        <a:xfrm>
          <a:off x="28575" y="38423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92" name="Line 92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308</xdr:row>
      <xdr:rowOff>0</xdr:rowOff>
    </xdr:from>
    <xdr:to>
      <xdr:col>2</xdr:col>
      <xdr:colOff>0</xdr:colOff>
      <xdr:row>308</xdr:row>
      <xdr:rowOff>0</xdr:rowOff>
    </xdr:to>
    <xdr:sp>
      <xdr:nvSpPr>
        <xdr:cNvPr id="93" name="Line 93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308</xdr:row>
      <xdr:rowOff>0</xdr:rowOff>
    </xdr:from>
    <xdr:to>
      <xdr:col>2</xdr:col>
      <xdr:colOff>0</xdr:colOff>
      <xdr:row>308</xdr:row>
      <xdr:rowOff>0</xdr:rowOff>
    </xdr:to>
    <xdr:sp>
      <xdr:nvSpPr>
        <xdr:cNvPr id="94" name="Line 94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414</xdr:row>
      <xdr:rowOff>0</xdr:rowOff>
    </xdr:from>
    <xdr:to>
      <xdr:col>2</xdr:col>
      <xdr:colOff>0</xdr:colOff>
      <xdr:row>414</xdr:row>
      <xdr:rowOff>0</xdr:rowOff>
    </xdr:to>
    <xdr:sp>
      <xdr:nvSpPr>
        <xdr:cNvPr id="95" name="Line 95"/>
        <xdr:cNvSpPr>
          <a:spLocks/>
        </xdr:cNvSpPr>
      </xdr:nvSpPr>
      <xdr:spPr>
        <a:xfrm>
          <a:off x="28575" y="38423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414</xdr:row>
      <xdr:rowOff>0</xdr:rowOff>
    </xdr:from>
    <xdr:to>
      <xdr:col>2</xdr:col>
      <xdr:colOff>0</xdr:colOff>
      <xdr:row>414</xdr:row>
      <xdr:rowOff>0</xdr:rowOff>
    </xdr:to>
    <xdr:sp>
      <xdr:nvSpPr>
        <xdr:cNvPr id="96" name="Line 96"/>
        <xdr:cNvSpPr>
          <a:spLocks/>
        </xdr:cNvSpPr>
      </xdr:nvSpPr>
      <xdr:spPr>
        <a:xfrm>
          <a:off x="28575" y="38423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97" name="Line 97"/>
        <xdr:cNvSpPr>
          <a:spLocks/>
        </xdr:cNvSpPr>
      </xdr:nvSpPr>
      <xdr:spPr>
        <a:xfrm>
          <a:off x="28575" y="44138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98" name="Line 98"/>
        <xdr:cNvSpPr>
          <a:spLocks/>
        </xdr:cNvSpPr>
      </xdr:nvSpPr>
      <xdr:spPr>
        <a:xfrm>
          <a:off x="28575" y="44138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439</xdr:row>
      <xdr:rowOff>0</xdr:rowOff>
    </xdr:from>
    <xdr:to>
      <xdr:col>2</xdr:col>
      <xdr:colOff>0</xdr:colOff>
      <xdr:row>439</xdr:row>
      <xdr:rowOff>0</xdr:rowOff>
    </xdr:to>
    <xdr:sp>
      <xdr:nvSpPr>
        <xdr:cNvPr id="99" name="Line 99"/>
        <xdr:cNvSpPr>
          <a:spLocks/>
        </xdr:cNvSpPr>
      </xdr:nvSpPr>
      <xdr:spPr>
        <a:xfrm>
          <a:off x="28575" y="44138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100" name="Line 100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101" name="Line 101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102" name="Line 102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103" name="Line 103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104" name="Line 104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105" name="Line 105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106" name="Line 106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107" name="Line 107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108" name="Line 108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109" name="Line 109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110" name="Line 110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111" name="Line 111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112" name="Line 112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113" name="Line 113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114" name="Line 114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115" name="Line 115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116" name="Line 116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117" name="Line 117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118" name="Line 118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119" name="Line 119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459</xdr:row>
      <xdr:rowOff>0</xdr:rowOff>
    </xdr:from>
    <xdr:to>
      <xdr:col>2</xdr:col>
      <xdr:colOff>0</xdr:colOff>
      <xdr:row>459</xdr:row>
      <xdr:rowOff>0</xdr:rowOff>
    </xdr:to>
    <xdr:sp>
      <xdr:nvSpPr>
        <xdr:cNvPr id="120" name="Line 120"/>
        <xdr:cNvSpPr>
          <a:spLocks/>
        </xdr:cNvSpPr>
      </xdr:nvSpPr>
      <xdr:spPr>
        <a:xfrm>
          <a:off x="28575" y="489394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552</xdr:row>
      <xdr:rowOff>0</xdr:rowOff>
    </xdr:from>
    <xdr:to>
      <xdr:col>2</xdr:col>
      <xdr:colOff>0</xdr:colOff>
      <xdr:row>552</xdr:row>
      <xdr:rowOff>0</xdr:rowOff>
    </xdr:to>
    <xdr:sp>
      <xdr:nvSpPr>
        <xdr:cNvPr id="121" name="Line 121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552</xdr:row>
      <xdr:rowOff>0</xdr:rowOff>
    </xdr:from>
    <xdr:to>
      <xdr:col>2</xdr:col>
      <xdr:colOff>0</xdr:colOff>
      <xdr:row>552</xdr:row>
      <xdr:rowOff>0</xdr:rowOff>
    </xdr:to>
    <xdr:sp>
      <xdr:nvSpPr>
        <xdr:cNvPr id="122" name="Line 122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552</xdr:row>
      <xdr:rowOff>0</xdr:rowOff>
    </xdr:from>
    <xdr:to>
      <xdr:col>2</xdr:col>
      <xdr:colOff>0</xdr:colOff>
      <xdr:row>552</xdr:row>
      <xdr:rowOff>0</xdr:rowOff>
    </xdr:to>
    <xdr:sp>
      <xdr:nvSpPr>
        <xdr:cNvPr id="123" name="Line 123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552</xdr:row>
      <xdr:rowOff>0</xdr:rowOff>
    </xdr:from>
    <xdr:to>
      <xdr:col>2</xdr:col>
      <xdr:colOff>0</xdr:colOff>
      <xdr:row>552</xdr:row>
      <xdr:rowOff>0</xdr:rowOff>
    </xdr:to>
    <xdr:sp>
      <xdr:nvSpPr>
        <xdr:cNvPr id="124" name="Line 124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552</xdr:row>
      <xdr:rowOff>0</xdr:rowOff>
    </xdr:from>
    <xdr:to>
      <xdr:col>2</xdr:col>
      <xdr:colOff>0</xdr:colOff>
      <xdr:row>552</xdr:row>
      <xdr:rowOff>0</xdr:rowOff>
    </xdr:to>
    <xdr:sp>
      <xdr:nvSpPr>
        <xdr:cNvPr id="125" name="Line 125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552</xdr:row>
      <xdr:rowOff>0</xdr:rowOff>
    </xdr:from>
    <xdr:to>
      <xdr:col>2</xdr:col>
      <xdr:colOff>0</xdr:colOff>
      <xdr:row>552</xdr:row>
      <xdr:rowOff>0</xdr:rowOff>
    </xdr:to>
    <xdr:sp>
      <xdr:nvSpPr>
        <xdr:cNvPr id="126" name="Line 126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552</xdr:row>
      <xdr:rowOff>0</xdr:rowOff>
    </xdr:from>
    <xdr:to>
      <xdr:col>2</xdr:col>
      <xdr:colOff>0</xdr:colOff>
      <xdr:row>552</xdr:row>
      <xdr:rowOff>0</xdr:rowOff>
    </xdr:to>
    <xdr:sp>
      <xdr:nvSpPr>
        <xdr:cNvPr id="127" name="Line 127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552</xdr:row>
      <xdr:rowOff>0</xdr:rowOff>
    </xdr:from>
    <xdr:to>
      <xdr:col>2</xdr:col>
      <xdr:colOff>0</xdr:colOff>
      <xdr:row>552</xdr:row>
      <xdr:rowOff>0</xdr:rowOff>
    </xdr:to>
    <xdr:sp>
      <xdr:nvSpPr>
        <xdr:cNvPr id="128" name="Line 128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552</xdr:row>
      <xdr:rowOff>0</xdr:rowOff>
    </xdr:from>
    <xdr:to>
      <xdr:col>2</xdr:col>
      <xdr:colOff>0</xdr:colOff>
      <xdr:row>552</xdr:row>
      <xdr:rowOff>0</xdr:rowOff>
    </xdr:to>
    <xdr:sp>
      <xdr:nvSpPr>
        <xdr:cNvPr id="129" name="Line 129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552</xdr:row>
      <xdr:rowOff>0</xdr:rowOff>
    </xdr:from>
    <xdr:to>
      <xdr:col>2</xdr:col>
      <xdr:colOff>0</xdr:colOff>
      <xdr:row>552</xdr:row>
      <xdr:rowOff>0</xdr:rowOff>
    </xdr:to>
    <xdr:sp>
      <xdr:nvSpPr>
        <xdr:cNvPr id="130" name="Line 130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552</xdr:row>
      <xdr:rowOff>0</xdr:rowOff>
    </xdr:from>
    <xdr:to>
      <xdr:col>2</xdr:col>
      <xdr:colOff>0</xdr:colOff>
      <xdr:row>552</xdr:row>
      <xdr:rowOff>0</xdr:rowOff>
    </xdr:to>
    <xdr:sp>
      <xdr:nvSpPr>
        <xdr:cNvPr id="131" name="Line 131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552</xdr:row>
      <xdr:rowOff>0</xdr:rowOff>
    </xdr:from>
    <xdr:to>
      <xdr:col>2</xdr:col>
      <xdr:colOff>0</xdr:colOff>
      <xdr:row>552</xdr:row>
      <xdr:rowOff>0</xdr:rowOff>
    </xdr:to>
    <xdr:sp>
      <xdr:nvSpPr>
        <xdr:cNvPr id="132" name="Line 132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552</xdr:row>
      <xdr:rowOff>0</xdr:rowOff>
    </xdr:from>
    <xdr:to>
      <xdr:col>2</xdr:col>
      <xdr:colOff>0</xdr:colOff>
      <xdr:row>552</xdr:row>
      <xdr:rowOff>0</xdr:rowOff>
    </xdr:to>
    <xdr:sp>
      <xdr:nvSpPr>
        <xdr:cNvPr id="133" name="Line 133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552</xdr:row>
      <xdr:rowOff>0</xdr:rowOff>
    </xdr:from>
    <xdr:to>
      <xdr:col>2</xdr:col>
      <xdr:colOff>0</xdr:colOff>
      <xdr:row>552</xdr:row>
      <xdr:rowOff>0</xdr:rowOff>
    </xdr:to>
    <xdr:sp>
      <xdr:nvSpPr>
        <xdr:cNvPr id="134" name="Line 134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552</xdr:row>
      <xdr:rowOff>0</xdr:rowOff>
    </xdr:from>
    <xdr:to>
      <xdr:col>2</xdr:col>
      <xdr:colOff>0</xdr:colOff>
      <xdr:row>552</xdr:row>
      <xdr:rowOff>0</xdr:rowOff>
    </xdr:to>
    <xdr:sp>
      <xdr:nvSpPr>
        <xdr:cNvPr id="135" name="Line 135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36" name="Line 136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113</xdr:row>
      <xdr:rowOff>0</xdr:rowOff>
    </xdr:from>
    <xdr:to>
      <xdr:col>2</xdr:col>
      <xdr:colOff>0</xdr:colOff>
      <xdr:row>113</xdr:row>
      <xdr:rowOff>0</xdr:rowOff>
    </xdr:to>
    <xdr:sp>
      <xdr:nvSpPr>
        <xdr:cNvPr id="137" name="Line 137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138" name="Line 138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113</xdr:row>
      <xdr:rowOff>0</xdr:rowOff>
    </xdr:from>
    <xdr:to>
      <xdr:col>2</xdr:col>
      <xdr:colOff>0</xdr:colOff>
      <xdr:row>113</xdr:row>
      <xdr:rowOff>0</xdr:rowOff>
    </xdr:to>
    <xdr:sp>
      <xdr:nvSpPr>
        <xdr:cNvPr id="139" name="Line 139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313</xdr:row>
      <xdr:rowOff>0</xdr:rowOff>
    </xdr:from>
    <xdr:to>
      <xdr:col>2</xdr:col>
      <xdr:colOff>0</xdr:colOff>
      <xdr:row>313</xdr:row>
      <xdr:rowOff>0</xdr:rowOff>
    </xdr:to>
    <xdr:sp>
      <xdr:nvSpPr>
        <xdr:cNvPr id="140" name="Line 140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141" name="Line 141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142" name="Line 142"/>
        <xdr:cNvSpPr>
          <a:spLocks/>
        </xdr:cNvSpPr>
      </xdr:nvSpPr>
      <xdr:spPr>
        <a:xfrm>
          <a:off x="28575" y="73590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143" name="Line 143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313</xdr:row>
      <xdr:rowOff>0</xdr:rowOff>
    </xdr:from>
    <xdr:to>
      <xdr:col>2</xdr:col>
      <xdr:colOff>0</xdr:colOff>
      <xdr:row>313</xdr:row>
      <xdr:rowOff>0</xdr:rowOff>
    </xdr:to>
    <xdr:sp>
      <xdr:nvSpPr>
        <xdr:cNvPr id="144" name="Line 144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313</xdr:row>
      <xdr:rowOff>0</xdr:rowOff>
    </xdr:from>
    <xdr:to>
      <xdr:col>2</xdr:col>
      <xdr:colOff>0</xdr:colOff>
      <xdr:row>313</xdr:row>
      <xdr:rowOff>0</xdr:rowOff>
    </xdr:to>
    <xdr:sp>
      <xdr:nvSpPr>
        <xdr:cNvPr id="145" name="Line 145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146" name="Line 146"/>
        <xdr:cNvSpPr>
          <a:spLocks/>
        </xdr:cNvSpPr>
      </xdr:nvSpPr>
      <xdr:spPr>
        <a:xfrm>
          <a:off x="28575" y="73590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147" name="Line 147"/>
        <xdr:cNvSpPr>
          <a:spLocks/>
        </xdr:cNvSpPr>
      </xdr:nvSpPr>
      <xdr:spPr>
        <a:xfrm>
          <a:off x="28575" y="73590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693</xdr:row>
      <xdr:rowOff>0</xdr:rowOff>
    </xdr:from>
    <xdr:to>
      <xdr:col>2</xdr:col>
      <xdr:colOff>0</xdr:colOff>
      <xdr:row>693</xdr:row>
      <xdr:rowOff>0</xdr:rowOff>
    </xdr:to>
    <xdr:sp>
      <xdr:nvSpPr>
        <xdr:cNvPr id="148" name="Line 148"/>
        <xdr:cNvSpPr>
          <a:spLocks/>
        </xdr:cNvSpPr>
      </xdr:nvSpPr>
      <xdr:spPr>
        <a:xfrm>
          <a:off x="28575" y="76104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693</xdr:row>
      <xdr:rowOff>0</xdr:rowOff>
    </xdr:from>
    <xdr:to>
      <xdr:col>2</xdr:col>
      <xdr:colOff>0</xdr:colOff>
      <xdr:row>693</xdr:row>
      <xdr:rowOff>0</xdr:rowOff>
    </xdr:to>
    <xdr:sp>
      <xdr:nvSpPr>
        <xdr:cNvPr id="149" name="Line 149"/>
        <xdr:cNvSpPr>
          <a:spLocks/>
        </xdr:cNvSpPr>
      </xdr:nvSpPr>
      <xdr:spPr>
        <a:xfrm>
          <a:off x="28575" y="76104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693</xdr:row>
      <xdr:rowOff>0</xdr:rowOff>
    </xdr:from>
    <xdr:to>
      <xdr:col>2</xdr:col>
      <xdr:colOff>0</xdr:colOff>
      <xdr:row>693</xdr:row>
      <xdr:rowOff>0</xdr:rowOff>
    </xdr:to>
    <xdr:sp>
      <xdr:nvSpPr>
        <xdr:cNvPr id="150" name="Line 150"/>
        <xdr:cNvSpPr>
          <a:spLocks/>
        </xdr:cNvSpPr>
      </xdr:nvSpPr>
      <xdr:spPr>
        <a:xfrm>
          <a:off x="28575" y="76104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151" name="Line 151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152" name="Line 152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153" name="Line 153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154" name="Line 154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155" name="Line 155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156" name="Line 156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57" name="Line 157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113</xdr:row>
      <xdr:rowOff>0</xdr:rowOff>
    </xdr:from>
    <xdr:to>
      <xdr:col>2</xdr:col>
      <xdr:colOff>0</xdr:colOff>
      <xdr:row>113</xdr:row>
      <xdr:rowOff>0</xdr:rowOff>
    </xdr:to>
    <xdr:sp>
      <xdr:nvSpPr>
        <xdr:cNvPr id="158" name="Line 158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159" name="Line 159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113</xdr:row>
      <xdr:rowOff>0</xdr:rowOff>
    </xdr:from>
    <xdr:to>
      <xdr:col>2</xdr:col>
      <xdr:colOff>0</xdr:colOff>
      <xdr:row>113</xdr:row>
      <xdr:rowOff>0</xdr:rowOff>
    </xdr:to>
    <xdr:sp>
      <xdr:nvSpPr>
        <xdr:cNvPr id="160" name="Line 160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313</xdr:row>
      <xdr:rowOff>0</xdr:rowOff>
    </xdr:from>
    <xdr:to>
      <xdr:col>2</xdr:col>
      <xdr:colOff>0</xdr:colOff>
      <xdr:row>313</xdr:row>
      <xdr:rowOff>0</xdr:rowOff>
    </xdr:to>
    <xdr:sp>
      <xdr:nvSpPr>
        <xdr:cNvPr id="161" name="Line 161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162" name="Line 162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163" name="Line 163"/>
        <xdr:cNvSpPr>
          <a:spLocks/>
        </xdr:cNvSpPr>
      </xdr:nvSpPr>
      <xdr:spPr>
        <a:xfrm>
          <a:off x="28575" y="73590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164" name="Line 164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313</xdr:row>
      <xdr:rowOff>0</xdr:rowOff>
    </xdr:from>
    <xdr:to>
      <xdr:col>2</xdr:col>
      <xdr:colOff>0</xdr:colOff>
      <xdr:row>313</xdr:row>
      <xdr:rowOff>0</xdr:rowOff>
    </xdr:to>
    <xdr:sp>
      <xdr:nvSpPr>
        <xdr:cNvPr id="165" name="Line 165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313</xdr:row>
      <xdr:rowOff>0</xdr:rowOff>
    </xdr:from>
    <xdr:to>
      <xdr:col>2</xdr:col>
      <xdr:colOff>0</xdr:colOff>
      <xdr:row>313</xdr:row>
      <xdr:rowOff>0</xdr:rowOff>
    </xdr:to>
    <xdr:sp>
      <xdr:nvSpPr>
        <xdr:cNvPr id="166" name="Line 166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167" name="Line 167"/>
        <xdr:cNvSpPr>
          <a:spLocks/>
        </xdr:cNvSpPr>
      </xdr:nvSpPr>
      <xdr:spPr>
        <a:xfrm>
          <a:off x="28575" y="73590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168" name="Line 168"/>
        <xdr:cNvSpPr>
          <a:spLocks/>
        </xdr:cNvSpPr>
      </xdr:nvSpPr>
      <xdr:spPr>
        <a:xfrm>
          <a:off x="28575" y="73590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693</xdr:row>
      <xdr:rowOff>0</xdr:rowOff>
    </xdr:from>
    <xdr:to>
      <xdr:col>2</xdr:col>
      <xdr:colOff>0</xdr:colOff>
      <xdr:row>693</xdr:row>
      <xdr:rowOff>0</xdr:rowOff>
    </xdr:to>
    <xdr:sp>
      <xdr:nvSpPr>
        <xdr:cNvPr id="169" name="Line 169"/>
        <xdr:cNvSpPr>
          <a:spLocks/>
        </xdr:cNvSpPr>
      </xdr:nvSpPr>
      <xdr:spPr>
        <a:xfrm>
          <a:off x="28575" y="76104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693</xdr:row>
      <xdr:rowOff>0</xdr:rowOff>
    </xdr:from>
    <xdr:to>
      <xdr:col>2</xdr:col>
      <xdr:colOff>0</xdr:colOff>
      <xdr:row>693</xdr:row>
      <xdr:rowOff>0</xdr:rowOff>
    </xdr:to>
    <xdr:sp>
      <xdr:nvSpPr>
        <xdr:cNvPr id="170" name="Line 170"/>
        <xdr:cNvSpPr>
          <a:spLocks/>
        </xdr:cNvSpPr>
      </xdr:nvSpPr>
      <xdr:spPr>
        <a:xfrm>
          <a:off x="28575" y="76104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693</xdr:row>
      <xdr:rowOff>0</xdr:rowOff>
    </xdr:from>
    <xdr:to>
      <xdr:col>2</xdr:col>
      <xdr:colOff>0</xdr:colOff>
      <xdr:row>693</xdr:row>
      <xdr:rowOff>0</xdr:rowOff>
    </xdr:to>
    <xdr:sp>
      <xdr:nvSpPr>
        <xdr:cNvPr id="171" name="Line 171"/>
        <xdr:cNvSpPr>
          <a:spLocks/>
        </xdr:cNvSpPr>
      </xdr:nvSpPr>
      <xdr:spPr>
        <a:xfrm>
          <a:off x="28575" y="76104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172" name="Line 172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173" name="Line 173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174" name="Line 174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175" name="Line 175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176" name="Line 176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177" name="Line 177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78" name="Line 178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113</xdr:row>
      <xdr:rowOff>0</xdr:rowOff>
    </xdr:from>
    <xdr:to>
      <xdr:col>2</xdr:col>
      <xdr:colOff>0</xdr:colOff>
      <xdr:row>113</xdr:row>
      <xdr:rowOff>0</xdr:rowOff>
    </xdr:to>
    <xdr:sp>
      <xdr:nvSpPr>
        <xdr:cNvPr id="179" name="Line 179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180" name="Line 180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113</xdr:row>
      <xdr:rowOff>0</xdr:rowOff>
    </xdr:from>
    <xdr:to>
      <xdr:col>2</xdr:col>
      <xdr:colOff>0</xdr:colOff>
      <xdr:row>113</xdr:row>
      <xdr:rowOff>0</xdr:rowOff>
    </xdr:to>
    <xdr:sp>
      <xdr:nvSpPr>
        <xdr:cNvPr id="181" name="Line 181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313</xdr:row>
      <xdr:rowOff>0</xdr:rowOff>
    </xdr:from>
    <xdr:to>
      <xdr:col>2</xdr:col>
      <xdr:colOff>0</xdr:colOff>
      <xdr:row>313</xdr:row>
      <xdr:rowOff>0</xdr:rowOff>
    </xdr:to>
    <xdr:sp>
      <xdr:nvSpPr>
        <xdr:cNvPr id="182" name="Line 182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183" name="Line 183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184" name="Line 184"/>
        <xdr:cNvSpPr>
          <a:spLocks/>
        </xdr:cNvSpPr>
      </xdr:nvSpPr>
      <xdr:spPr>
        <a:xfrm>
          <a:off x="28575" y="73590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185" name="Line 185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313</xdr:row>
      <xdr:rowOff>0</xdr:rowOff>
    </xdr:from>
    <xdr:to>
      <xdr:col>2</xdr:col>
      <xdr:colOff>0</xdr:colOff>
      <xdr:row>313</xdr:row>
      <xdr:rowOff>0</xdr:rowOff>
    </xdr:to>
    <xdr:sp>
      <xdr:nvSpPr>
        <xdr:cNvPr id="186" name="Line 186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313</xdr:row>
      <xdr:rowOff>0</xdr:rowOff>
    </xdr:from>
    <xdr:to>
      <xdr:col>2</xdr:col>
      <xdr:colOff>0</xdr:colOff>
      <xdr:row>313</xdr:row>
      <xdr:rowOff>0</xdr:rowOff>
    </xdr:to>
    <xdr:sp>
      <xdr:nvSpPr>
        <xdr:cNvPr id="187" name="Line 187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188" name="Line 188"/>
        <xdr:cNvSpPr>
          <a:spLocks/>
        </xdr:cNvSpPr>
      </xdr:nvSpPr>
      <xdr:spPr>
        <a:xfrm>
          <a:off x="28575" y="73590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189" name="Line 189"/>
        <xdr:cNvSpPr>
          <a:spLocks/>
        </xdr:cNvSpPr>
      </xdr:nvSpPr>
      <xdr:spPr>
        <a:xfrm>
          <a:off x="28575" y="73590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693</xdr:row>
      <xdr:rowOff>0</xdr:rowOff>
    </xdr:from>
    <xdr:to>
      <xdr:col>2</xdr:col>
      <xdr:colOff>0</xdr:colOff>
      <xdr:row>693</xdr:row>
      <xdr:rowOff>0</xdr:rowOff>
    </xdr:to>
    <xdr:sp>
      <xdr:nvSpPr>
        <xdr:cNvPr id="190" name="Line 190"/>
        <xdr:cNvSpPr>
          <a:spLocks/>
        </xdr:cNvSpPr>
      </xdr:nvSpPr>
      <xdr:spPr>
        <a:xfrm>
          <a:off x="28575" y="76104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693</xdr:row>
      <xdr:rowOff>0</xdr:rowOff>
    </xdr:from>
    <xdr:to>
      <xdr:col>2</xdr:col>
      <xdr:colOff>0</xdr:colOff>
      <xdr:row>693</xdr:row>
      <xdr:rowOff>0</xdr:rowOff>
    </xdr:to>
    <xdr:sp>
      <xdr:nvSpPr>
        <xdr:cNvPr id="191" name="Line 191"/>
        <xdr:cNvSpPr>
          <a:spLocks/>
        </xdr:cNvSpPr>
      </xdr:nvSpPr>
      <xdr:spPr>
        <a:xfrm>
          <a:off x="28575" y="76104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693</xdr:row>
      <xdr:rowOff>0</xdr:rowOff>
    </xdr:from>
    <xdr:to>
      <xdr:col>2</xdr:col>
      <xdr:colOff>0</xdr:colOff>
      <xdr:row>693</xdr:row>
      <xdr:rowOff>0</xdr:rowOff>
    </xdr:to>
    <xdr:sp>
      <xdr:nvSpPr>
        <xdr:cNvPr id="192" name="Line 192"/>
        <xdr:cNvSpPr>
          <a:spLocks/>
        </xdr:cNvSpPr>
      </xdr:nvSpPr>
      <xdr:spPr>
        <a:xfrm>
          <a:off x="28575" y="76104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193" name="Line 193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194" name="Line 194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195" name="Line 195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196" name="Line 196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197" name="Line 197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198" name="Line 198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99" name="Line 199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113</xdr:row>
      <xdr:rowOff>0</xdr:rowOff>
    </xdr:from>
    <xdr:to>
      <xdr:col>2</xdr:col>
      <xdr:colOff>0</xdr:colOff>
      <xdr:row>113</xdr:row>
      <xdr:rowOff>0</xdr:rowOff>
    </xdr:to>
    <xdr:sp>
      <xdr:nvSpPr>
        <xdr:cNvPr id="200" name="Line 200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201" name="Line 201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113</xdr:row>
      <xdr:rowOff>0</xdr:rowOff>
    </xdr:from>
    <xdr:to>
      <xdr:col>2</xdr:col>
      <xdr:colOff>0</xdr:colOff>
      <xdr:row>113</xdr:row>
      <xdr:rowOff>0</xdr:rowOff>
    </xdr:to>
    <xdr:sp>
      <xdr:nvSpPr>
        <xdr:cNvPr id="202" name="Line 202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313</xdr:row>
      <xdr:rowOff>0</xdr:rowOff>
    </xdr:from>
    <xdr:to>
      <xdr:col>2</xdr:col>
      <xdr:colOff>0</xdr:colOff>
      <xdr:row>313</xdr:row>
      <xdr:rowOff>0</xdr:rowOff>
    </xdr:to>
    <xdr:sp>
      <xdr:nvSpPr>
        <xdr:cNvPr id="203" name="Line 203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204" name="Line 204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205" name="Line 205"/>
        <xdr:cNvSpPr>
          <a:spLocks/>
        </xdr:cNvSpPr>
      </xdr:nvSpPr>
      <xdr:spPr>
        <a:xfrm>
          <a:off x="28575" y="73590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206" name="Line 206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313</xdr:row>
      <xdr:rowOff>0</xdr:rowOff>
    </xdr:from>
    <xdr:to>
      <xdr:col>2</xdr:col>
      <xdr:colOff>0</xdr:colOff>
      <xdr:row>313</xdr:row>
      <xdr:rowOff>0</xdr:rowOff>
    </xdr:to>
    <xdr:sp>
      <xdr:nvSpPr>
        <xdr:cNvPr id="207" name="Line 207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313</xdr:row>
      <xdr:rowOff>0</xdr:rowOff>
    </xdr:from>
    <xdr:to>
      <xdr:col>2</xdr:col>
      <xdr:colOff>0</xdr:colOff>
      <xdr:row>313</xdr:row>
      <xdr:rowOff>0</xdr:rowOff>
    </xdr:to>
    <xdr:sp>
      <xdr:nvSpPr>
        <xdr:cNvPr id="208" name="Line 208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209" name="Line 209"/>
        <xdr:cNvSpPr>
          <a:spLocks/>
        </xdr:cNvSpPr>
      </xdr:nvSpPr>
      <xdr:spPr>
        <a:xfrm>
          <a:off x="28575" y="73590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210" name="Line 210"/>
        <xdr:cNvSpPr>
          <a:spLocks/>
        </xdr:cNvSpPr>
      </xdr:nvSpPr>
      <xdr:spPr>
        <a:xfrm>
          <a:off x="28575" y="73590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693</xdr:row>
      <xdr:rowOff>0</xdr:rowOff>
    </xdr:from>
    <xdr:to>
      <xdr:col>2</xdr:col>
      <xdr:colOff>0</xdr:colOff>
      <xdr:row>693</xdr:row>
      <xdr:rowOff>0</xdr:rowOff>
    </xdr:to>
    <xdr:sp>
      <xdr:nvSpPr>
        <xdr:cNvPr id="211" name="Line 211"/>
        <xdr:cNvSpPr>
          <a:spLocks/>
        </xdr:cNvSpPr>
      </xdr:nvSpPr>
      <xdr:spPr>
        <a:xfrm>
          <a:off x="28575" y="76104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693</xdr:row>
      <xdr:rowOff>0</xdr:rowOff>
    </xdr:from>
    <xdr:to>
      <xdr:col>2</xdr:col>
      <xdr:colOff>0</xdr:colOff>
      <xdr:row>693</xdr:row>
      <xdr:rowOff>0</xdr:rowOff>
    </xdr:to>
    <xdr:sp>
      <xdr:nvSpPr>
        <xdr:cNvPr id="212" name="Line 212"/>
        <xdr:cNvSpPr>
          <a:spLocks/>
        </xdr:cNvSpPr>
      </xdr:nvSpPr>
      <xdr:spPr>
        <a:xfrm>
          <a:off x="28575" y="76104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693</xdr:row>
      <xdr:rowOff>0</xdr:rowOff>
    </xdr:from>
    <xdr:to>
      <xdr:col>2</xdr:col>
      <xdr:colOff>0</xdr:colOff>
      <xdr:row>693</xdr:row>
      <xdr:rowOff>0</xdr:rowOff>
    </xdr:to>
    <xdr:sp>
      <xdr:nvSpPr>
        <xdr:cNvPr id="213" name="Line 213"/>
        <xdr:cNvSpPr>
          <a:spLocks/>
        </xdr:cNvSpPr>
      </xdr:nvSpPr>
      <xdr:spPr>
        <a:xfrm>
          <a:off x="28575" y="76104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214" name="Line 214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215" name="Line 215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216" name="Line 216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217" name="Line 217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218" name="Line 218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219" name="Line 219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20" name="Line 220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113</xdr:row>
      <xdr:rowOff>0</xdr:rowOff>
    </xdr:from>
    <xdr:to>
      <xdr:col>2</xdr:col>
      <xdr:colOff>0</xdr:colOff>
      <xdr:row>113</xdr:row>
      <xdr:rowOff>0</xdr:rowOff>
    </xdr:to>
    <xdr:sp>
      <xdr:nvSpPr>
        <xdr:cNvPr id="221" name="Line 221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222" name="Line 222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113</xdr:row>
      <xdr:rowOff>0</xdr:rowOff>
    </xdr:from>
    <xdr:to>
      <xdr:col>2</xdr:col>
      <xdr:colOff>0</xdr:colOff>
      <xdr:row>113</xdr:row>
      <xdr:rowOff>0</xdr:rowOff>
    </xdr:to>
    <xdr:sp>
      <xdr:nvSpPr>
        <xdr:cNvPr id="223" name="Line 223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313</xdr:row>
      <xdr:rowOff>0</xdr:rowOff>
    </xdr:from>
    <xdr:to>
      <xdr:col>2</xdr:col>
      <xdr:colOff>0</xdr:colOff>
      <xdr:row>313</xdr:row>
      <xdr:rowOff>0</xdr:rowOff>
    </xdr:to>
    <xdr:sp>
      <xdr:nvSpPr>
        <xdr:cNvPr id="224" name="Line 224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225" name="Line 225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226" name="Line 226"/>
        <xdr:cNvSpPr>
          <a:spLocks/>
        </xdr:cNvSpPr>
      </xdr:nvSpPr>
      <xdr:spPr>
        <a:xfrm>
          <a:off x="28575" y="73590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227" name="Line 227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313</xdr:row>
      <xdr:rowOff>0</xdr:rowOff>
    </xdr:from>
    <xdr:to>
      <xdr:col>2</xdr:col>
      <xdr:colOff>0</xdr:colOff>
      <xdr:row>313</xdr:row>
      <xdr:rowOff>0</xdr:rowOff>
    </xdr:to>
    <xdr:sp>
      <xdr:nvSpPr>
        <xdr:cNvPr id="228" name="Line 228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313</xdr:row>
      <xdr:rowOff>0</xdr:rowOff>
    </xdr:from>
    <xdr:to>
      <xdr:col>2</xdr:col>
      <xdr:colOff>0</xdr:colOff>
      <xdr:row>313</xdr:row>
      <xdr:rowOff>0</xdr:rowOff>
    </xdr:to>
    <xdr:sp>
      <xdr:nvSpPr>
        <xdr:cNvPr id="229" name="Line 229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230" name="Line 230"/>
        <xdr:cNvSpPr>
          <a:spLocks/>
        </xdr:cNvSpPr>
      </xdr:nvSpPr>
      <xdr:spPr>
        <a:xfrm>
          <a:off x="28575" y="73590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672</xdr:row>
      <xdr:rowOff>0</xdr:rowOff>
    </xdr:from>
    <xdr:to>
      <xdr:col>2</xdr:col>
      <xdr:colOff>0</xdr:colOff>
      <xdr:row>672</xdr:row>
      <xdr:rowOff>0</xdr:rowOff>
    </xdr:to>
    <xdr:sp>
      <xdr:nvSpPr>
        <xdr:cNvPr id="231" name="Line 231"/>
        <xdr:cNvSpPr>
          <a:spLocks/>
        </xdr:cNvSpPr>
      </xdr:nvSpPr>
      <xdr:spPr>
        <a:xfrm>
          <a:off x="28575" y="73590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693</xdr:row>
      <xdr:rowOff>0</xdr:rowOff>
    </xdr:from>
    <xdr:to>
      <xdr:col>2</xdr:col>
      <xdr:colOff>0</xdr:colOff>
      <xdr:row>693</xdr:row>
      <xdr:rowOff>0</xdr:rowOff>
    </xdr:to>
    <xdr:sp>
      <xdr:nvSpPr>
        <xdr:cNvPr id="232" name="Line 232"/>
        <xdr:cNvSpPr>
          <a:spLocks/>
        </xdr:cNvSpPr>
      </xdr:nvSpPr>
      <xdr:spPr>
        <a:xfrm>
          <a:off x="28575" y="76104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693</xdr:row>
      <xdr:rowOff>0</xdr:rowOff>
    </xdr:from>
    <xdr:to>
      <xdr:col>2</xdr:col>
      <xdr:colOff>0</xdr:colOff>
      <xdr:row>693</xdr:row>
      <xdr:rowOff>0</xdr:rowOff>
    </xdr:to>
    <xdr:sp>
      <xdr:nvSpPr>
        <xdr:cNvPr id="233" name="Line 233"/>
        <xdr:cNvSpPr>
          <a:spLocks/>
        </xdr:cNvSpPr>
      </xdr:nvSpPr>
      <xdr:spPr>
        <a:xfrm>
          <a:off x="28575" y="76104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693</xdr:row>
      <xdr:rowOff>0</xdr:rowOff>
    </xdr:from>
    <xdr:to>
      <xdr:col>2</xdr:col>
      <xdr:colOff>0</xdr:colOff>
      <xdr:row>693</xdr:row>
      <xdr:rowOff>0</xdr:rowOff>
    </xdr:to>
    <xdr:sp>
      <xdr:nvSpPr>
        <xdr:cNvPr id="234" name="Line 234"/>
        <xdr:cNvSpPr>
          <a:spLocks/>
        </xdr:cNvSpPr>
      </xdr:nvSpPr>
      <xdr:spPr>
        <a:xfrm>
          <a:off x="28575" y="76104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235" name="Line 235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236" name="Line 236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237" name="Line 237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238" name="Line 238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239" name="Line 239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240" name="Line 240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241" name="Line 241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242" name="Line 242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243" name="Line 243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244" name="Line 244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245" name="Line 245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246" name="Line 246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247" name="Line 247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248" name="Line 248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249" name="Line 249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250" name="Line 250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251" name="Line 251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252" name="Line 252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253" name="Line 253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254" name="Line 254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713</xdr:row>
      <xdr:rowOff>0</xdr:rowOff>
    </xdr:from>
    <xdr:to>
      <xdr:col>2</xdr:col>
      <xdr:colOff>0</xdr:colOff>
      <xdr:row>713</xdr:row>
      <xdr:rowOff>0</xdr:rowOff>
    </xdr:to>
    <xdr:sp>
      <xdr:nvSpPr>
        <xdr:cNvPr id="255" name="Line 255"/>
        <xdr:cNvSpPr>
          <a:spLocks/>
        </xdr:cNvSpPr>
      </xdr:nvSpPr>
      <xdr:spPr>
        <a:xfrm>
          <a:off x="28575" y="78162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876</xdr:row>
      <xdr:rowOff>0</xdr:rowOff>
    </xdr:from>
    <xdr:to>
      <xdr:col>2</xdr:col>
      <xdr:colOff>0</xdr:colOff>
      <xdr:row>876</xdr:row>
      <xdr:rowOff>0</xdr:rowOff>
    </xdr:to>
    <xdr:sp>
      <xdr:nvSpPr>
        <xdr:cNvPr id="256" name="Line 256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876</xdr:row>
      <xdr:rowOff>0</xdr:rowOff>
    </xdr:from>
    <xdr:to>
      <xdr:col>2</xdr:col>
      <xdr:colOff>0</xdr:colOff>
      <xdr:row>876</xdr:row>
      <xdr:rowOff>0</xdr:rowOff>
    </xdr:to>
    <xdr:sp>
      <xdr:nvSpPr>
        <xdr:cNvPr id="257" name="Line 257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876</xdr:row>
      <xdr:rowOff>0</xdr:rowOff>
    </xdr:from>
    <xdr:to>
      <xdr:col>2</xdr:col>
      <xdr:colOff>0</xdr:colOff>
      <xdr:row>876</xdr:row>
      <xdr:rowOff>0</xdr:rowOff>
    </xdr:to>
    <xdr:sp>
      <xdr:nvSpPr>
        <xdr:cNvPr id="258" name="Line 258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876</xdr:row>
      <xdr:rowOff>0</xdr:rowOff>
    </xdr:from>
    <xdr:to>
      <xdr:col>2</xdr:col>
      <xdr:colOff>0</xdr:colOff>
      <xdr:row>876</xdr:row>
      <xdr:rowOff>0</xdr:rowOff>
    </xdr:to>
    <xdr:sp>
      <xdr:nvSpPr>
        <xdr:cNvPr id="259" name="Line 259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876</xdr:row>
      <xdr:rowOff>0</xdr:rowOff>
    </xdr:from>
    <xdr:to>
      <xdr:col>2</xdr:col>
      <xdr:colOff>0</xdr:colOff>
      <xdr:row>876</xdr:row>
      <xdr:rowOff>0</xdr:rowOff>
    </xdr:to>
    <xdr:sp>
      <xdr:nvSpPr>
        <xdr:cNvPr id="260" name="Line 260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876</xdr:row>
      <xdr:rowOff>0</xdr:rowOff>
    </xdr:from>
    <xdr:to>
      <xdr:col>2</xdr:col>
      <xdr:colOff>0</xdr:colOff>
      <xdr:row>876</xdr:row>
      <xdr:rowOff>0</xdr:rowOff>
    </xdr:to>
    <xdr:sp>
      <xdr:nvSpPr>
        <xdr:cNvPr id="261" name="Line 261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876</xdr:row>
      <xdr:rowOff>0</xdr:rowOff>
    </xdr:from>
    <xdr:to>
      <xdr:col>2</xdr:col>
      <xdr:colOff>0</xdr:colOff>
      <xdr:row>876</xdr:row>
      <xdr:rowOff>0</xdr:rowOff>
    </xdr:to>
    <xdr:sp>
      <xdr:nvSpPr>
        <xdr:cNvPr id="262" name="Line 262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876</xdr:row>
      <xdr:rowOff>0</xdr:rowOff>
    </xdr:from>
    <xdr:to>
      <xdr:col>2</xdr:col>
      <xdr:colOff>0</xdr:colOff>
      <xdr:row>876</xdr:row>
      <xdr:rowOff>0</xdr:rowOff>
    </xdr:to>
    <xdr:sp>
      <xdr:nvSpPr>
        <xdr:cNvPr id="263" name="Line 263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876</xdr:row>
      <xdr:rowOff>0</xdr:rowOff>
    </xdr:from>
    <xdr:to>
      <xdr:col>2</xdr:col>
      <xdr:colOff>0</xdr:colOff>
      <xdr:row>876</xdr:row>
      <xdr:rowOff>0</xdr:rowOff>
    </xdr:to>
    <xdr:sp>
      <xdr:nvSpPr>
        <xdr:cNvPr id="264" name="Line 264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876</xdr:row>
      <xdr:rowOff>0</xdr:rowOff>
    </xdr:from>
    <xdr:to>
      <xdr:col>2</xdr:col>
      <xdr:colOff>0</xdr:colOff>
      <xdr:row>876</xdr:row>
      <xdr:rowOff>0</xdr:rowOff>
    </xdr:to>
    <xdr:sp>
      <xdr:nvSpPr>
        <xdr:cNvPr id="265" name="Line 265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876</xdr:row>
      <xdr:rowOff>0</xdr:rowOff>
    </xdr:from>
    <xdr:to>
      <xdr:col>2</xdr:col>
      <xdr:colOff>0</xdr:colOff>
      <xdr:row>876</xdr:row>
      <xdr:rowOff>0</xdr:rowOff>
    </xdr:to>
    <xdr:sp>
      <xdr:nvSpPr>
        <xdr:cNvPr id="266" name="Line 266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876</xdr:row>
      <xdr:rowOff>0</xdr:rowOff>
    </xdr:from>
    <xdr:to>
      <xdr:col>2</xdr:col>
      <xdr:colOff>0</xdr:colOff>
      <xdr:row>876</xdr:row>
      <xdr:rowOff>0</xdr:rowOff>
    </xdr:to>
    <xdr:sp>
      <xdr:nvSpPr>
        <xdr:cNvPr id="267" name="Line 267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876</xdr:row>
      <xdr:rowOff>0</xdr:rowOff>
    </xdr:from>
    <xdr:to>
      <xdr:col>2</xdr:col>
      <xdr:colOff>0</xdr:colOff>
      <xdr:row>876</xdr:row>
      <xdr:rowOff>0</xdr:rowOff>
    </xdr:to>
    <xdr:sp>
      <xdr:nvSpPr>
        <xdr:cNvPr id="268" name="Line 268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876</xdr:row>
      <xdr:rowOff>0</xdr:rowOff>
    </xdr:from>
    <xdr:to>
      <xdr:col>2</xdr:col>
      <xdr:colOff>0</xdr:colOff>
      <xdr:row>876</xdr:row>
      <xdr:rowOff>0</xdr:rowOff>
    </xdr:to>
    <xdr:sp>
      <xdr:nvSpPr>
        <xdr:cNvPr id="269" name="Line 269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876</xdr:row>
      <xdr:rowOff>0</xdr:rowOff>
    </xdr:from>
    <xdr:to>
      <xdr:col>2</xdr:col>
      <xdr:colOff>0</xdr:colOff>
      <xdr:row>876</xdr:row>
      <xdr:rowOff>0</xdr:rowOff>
    </xdr:to>
    <xdr:sp>
      <xdr:nvSpPr>
        <xdr:cNvPr id="270" name="Line 270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71" name="Line 271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112</xdr:row>
      <xdr:rowOff>0</xdr:rowOff>
    </xdr:from>
    <xdr:to>
      <xdr:col>2</xdr:col>
      <xdr:colOff>0</xdr:colOff>
      <xdr:row>112</xdr:row>
      <xdr:rowOff>0</xdr:rowOff>
    </xdr:to>
    <xdr:sp>
      <xdr:nvSpPr>
        <xdr:cNvPr id="272" name="Line 272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273" name="Line 273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112</xdr:row>
      <xdr:rowOff>0</xdr:rowOff>
    </xdr:from>
    <xdr:to>
      <xdr:col>2</xdr:col>
      <xdr:colOff>0</xdr:colOff>
      <xdr:row>112</xdr:row>
      <xdr:rowOff>0</xdr:rowOff>
    </xdr:to>
    <xdr:sp>
      <xdr:nvSpPr>
        <xdr:cNvPr id="274" name="Line 274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309</xdr:row>
      <xdr:rowOff>0</xdr:rowOff>
    </xdr:from>
    <xdr:to>
      <xdr:col>2</xdr:col>
      <xdr:colOff>0</xdr:colOff>
      <xdr:row>309</xdr:row>
      <xdr:rowOff>0</xdr:rowOff>
    </xdr:to>
    <xdr:sp>
      <xdr:nvSpPr>
        <xdr:cNvPr id="275" name="Line 275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276" name="Line 276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555</xdr:row>
      <xdr:rowOff>0</xdr:rowOff>
    </xdr:from>
    <xdr:to>
      <xdr:col>2</xdr:col>
      <xdr:colOff>0</xdr:colOff>
      <xdr:row>555</xdr:row>
      <xdr:rowOff>0</xdr:rowOff>
    </xdr:to>
    <xdr:sp>
      <xdr:nvSpPr>
        <xdr:cNvPr id="277" name="Line 277"/>
        <xdr:cNvSpPr>
          <a:spLocks/>
        </xdr:cNvSpPr>
      </xdr:nvSpPr>
      <xdr:spPr>
        <a:xfrm>
          <a:off x="28575" y="64227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278" name="Line 278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309</xdr:row>
      <xdr:rowOff>0</xdr:rowOff>
    </xdr:from>
    <xdr:to>
      <xdr:col>2</xdr:col>
      <xdr:colOff>0</xdr:colOff>
      <xdr:row>309</xdr:row>
      <xdr:rowOff>0</xdr:rowOff>
    </xdr:to>
    <xdr:sp>
      <xdr:nvSpPr>
        <xdr:cNvPr id="279" name="Line 279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309</xdr:row>
      <xdr:rowOff>0</xdr:rowOff>
    </xdr:from>
    <xdr:to>
      <xdr:col>2</xdr:col>
      <xdr:colOff>0</xdr:colOff>
      <xdr:row>309</xdr:row>
      <xdr:rowOff>0</xdr:rowOff>
    </xdr:to>
    <xdr:sp>
      <xdr:nvSpPr>
        <xdr:cNvPr id="280" name="Line 280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555</xdr:row>
      <xdr:rowOff>0</xdr:rowOff>
    </xdr:from>
    <xdr:to>
      <xdr:col>2</xdr:col>
      <xdr:colOff>0</xdr:colOff>
      <xdr:row>555</xdr:row>
      <xdr:rowOff>0</xdr:rowOff>
    </xdr:to>
    <xdr:sp>
      <xdr:nvSpPr>
        <xdr:cNvPr id="281" name="Line 281"/>
        <xdr:cNvSpPr>
          <a:spLocks/>
        </xdr:cNvSpPr>
      </xdr:nvSpPr>
      <xdr:spPr>
        <a:xfrm>
          <a:off x="28575" y="64227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555</xdr:row>
      <xdr:rowOff>0</xdr:rowOff>
    </xdr:from>
    <xdr:to>
      <xdr:col>2</xdr:col>
      <xdr:colOff>0</xdr:colOff>
      <xdr:row>555</xdr:row>
      <xdr:rowOff>0</xdr:rowOff>
    </xdr:to>
    <xdr:sp>
      <xdr:nvSpPr>
        <xdr:cNvPr id="282" name="Line 282"/>
        <xdr:cNvSpPr>
          <a:spLocks/>
        </xdr:cNvSpPr>
      </xdr:nvSpPr>
      <xdr:spPr>
        <a:xfrm>
          <a:off x="28575" y="64227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576</xdr:row>
      <xdr:rowOff>0</xdr:rowOff>
    </xdr:from>
    <xdr:to>
      <xdr:col>2</xdr:col>
      <xdr:colOff>0</xdr:colOff>
      <xdr:row>576</xdr:row>
      <xdr:rowOff>0</xdr:rowOff>
    </xdr:to>
    <xdr:sp>
      <xdr:nvSpPr>
        <xdr:cNvPr id="283" name="Line 283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576</xdr:row>
      <xdr:rowOff>0</xdr:rowOff>
    </xdr:from>
    <xdr:to>
      <xdr:col>2</xdr:col>
      <xdr:colOff>0</xdr:colOff>
      <xdr:row>576</xdr:row>
      <xdr:rowOff>0</xdr:rowOff>
    </xdr:to>
    <xdr:sp>
      <xdr:nvSpPr>
        <xdr:cNvPr id="284" name="Line 284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576</xdr:row>
      <xdr:rowOff>0</xdr:rowOff>
    </xdr:from>
    <xdr:to>
      <xdr:col>2</xdr:col>
      <xdr:colOff>0</xdr:colOff>
      <xdr:row>576</xdr:row>
      <xdr:rowOff>0</xdr:rowOff>
    </xdr:to>
    <xdr:sp>
      <xdr:nvSpPr>
        <xdr:cNvPr id="285" name="Line 285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286" name="Line 286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287" name="Line 287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288" name="Line 288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289" name="Line 289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290" name="Line 290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291" name="Line 291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92" name="Line 292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112</xdr:row>
      <xdr:rowOff>0</xdr:rowOff>
    </xdr:from>
    <xdr:to>
      <xdr:col>2</xdr:col>
      <xdr:colOff>0</xdr:colOff>
      <xdr:row>112</xdr:row>
      <xdr:rowOff>0</xdr:rowOff>
    </xdr:to>
    <xdr:sp>
      <xdr:nvSpPr>
        <xdr:cNvPr id="293" name="Line 293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294" name="Line 294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112</xdr:row>
      <xdr:rowOff>0</xdr:rowOff>
    </xdr:from>
    <xdr:to>
      <xdr:col>2</xdr:col>
      <xdr:colOff>0</xdr:colOff>
      <xdr:row>112</xdr:row>
      <xdr:rowOff>0</xdr:rowOff>
    </xdr:to>
    <xdr:sp>
      <xdr:nvSpPr>
        <xdr:cNvPr id="295" name="Line 295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309</xdr:row>
      <xdr:rowOff>0</xdr:rowOff>
    </xdr:from>
    <xdr:to>
      <xdr:col>2</xdr:col>
      <xdr:colOff>0</xdr:colOff>
      <xdr:row>309</xdr:row>
      <xdr:rowOff>0</xdr:rowOff>
    </xdr:to>
    <xdr:sp>
      <xdr:nvSpPr>
        <xdr:cNvPr id="296" name="Line 296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297" name="Line 297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555</xdr:row>
      <xdr:rowOff>0</xdr:rowOff>
    </xdr:from>
    <xdr:to>
      <xdr:col>2</xdr:col>
      <xdr:colOff>0</xdr:colOff>
      <xdr:row>555</xdr:row>
      <xdr:rowOff>0</xdr:rowOff>
    </xdr:to>
    <xdr:sp>
      <xdr:nvSpPr>
        <xdr:cNvPr id="298" name="Line 298"/>
        <xdr:cNvSpPr>
          <a:spLocks/>
        </xdr:cNvSpPr>
      </xdr:nvSpPr>
      <xdr:spPr>
        <a:xfrm>
          <a:off x="28575" y="64227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299" name="Line 299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309</xdr:row>
      <xdr:rowOff>0</xdr:rowOff>
    </xdr:from>
    <xdr:to>
      <xdr:col>2</xdr:col>
      <xdr:colOff>0</xdr:colOff>
      <xdr:row>309</xdr:row>
      <xdr:rowOff>0</xdr:rowOff>
    </xdr:to>
    <xdr:sp>
      <xdr:nvSpPr>
        <xdr:cNvPr id="300" name="Line 300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309</xdr:row>
      <xdr:rowOff>0</xdr:rowOff>
    </xdr:from>
    <xdr:to>
      <xdr:col>2</xdr:col>
      <xdr:colOff>0</xdr:colOff>
      <xdr:row>309</xdr:row>
      <xdr:rowOff>0</xdr:rowOff>
    </xdr:to>
    <xdr:sp>
      <xdr:nvSpPr>
        <xdr:cNvPr id="301" name="Line 301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555</xdr:row>
      <xdr:rowOff>0</xdr:rowOff>
    </xdr:from>
    <xdr:to>
      <xdr:col>2</xdr:col>
      <xdr:colOff>0</xdr:colOff>
      <xdr:row>555</xdr:row>
      <xdr:rowOff>0</xdr:rowOff>
    </xdr:to>
    <xdr:sp>
      <xdr:nvSpPr>
        <xdr:cNvPr id="302" name="Line 302"/>
        <xdr:cNvSpPr>
          <a:spLocks/>
        </xdr:cNvSpPr>
      </xdr:nvSpPr>
      <xdr:spPr>
        <a:xfrm>
          <a:off x="28575" y="64227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555</xdr:row>
      <xdr:rowOff>0</xdr:rowOff>
    </xdr:from>
    <xdr:to>
      <xdr:col>2</xdr:col>
      <xdr:colOff>0</xdr:colOff>
      <xdr:row>555</xdr:row>
      <xdr:rowOff>0</xdr:rowOff>
    </xdr:to>
    <xdr:sp>
      <xdr:nvSpPr>
        <xdr:cNvPr id="303" name="Line 303"/>
        <xdr:cNvSpPr>
          <a:spLocks/>
        </xdr:cNvSpPr>
      </xdr:nvSpPr>
      <xdr:spPr>
        <a:xfrm>
          <a:off x="28575" y="64227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576</xdr:row>
      <xdr:rowOff>0</xdr:rowOff>
    </xdr:from>
    <xdr:to>
      <xdr:col>2</xdr:col>
      <xdr:colOff>0</xdr:colOff>
      <xdr:row>576</xdr:row>
      <xdr:rowOff>0</xdr:rowOff>
    </xdr:to>
    <xdr:sp>
      <xdr:nvSpPr>
        <xdr:cNvPr id="304" name="Line 304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576</xdr:row>
      <xdr:rowOff>0</xdr:rowOff>
    </xdr:from>
    <xdr:to>
      <xdr:col>2</xdr:col>
      <xdr:colOff>0</xdr:colOff>
      <xdr:row>576</xdr:row>
      <xdr:rowOff>0</xdr:rowOff>
    </xdr:to>
    <xdr:sp>
      <xdr:nvSpPr>
        <xdr:cNvPr id="305" name="Line 305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576</xdr:row>
      <xdr:rowOff>0</xdr:rowOff>
    </xdr:from>
    <xdr:to>
      <xdr:col>2</xdr:col>
      <xdr:colOff>0</xdr:colOff>
      <xdr:row>576</xdr:row>
      <xdr:rowOff>0</xdr:rowOff>
    </xdr:to>
    <xdr:sp>
      <xdr:nvSpPr>
        <xdr:cNvPr id="306" name="Line 306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307" name="Line 307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308" name="Line 308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309" name="Line 309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310" name="Line 310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311" name="Line 311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312" name="Line 312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313" name="Line 313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112</xdr:row>
      <xdr:rowOff>0</xdr:rowOff>
    </xdr:from>
    <xdr:to>
      <xdr:col>2</xdr:col>
      <xdr:colOff>0</xdr:colOff>
      <xdr:row>112</xdr:row>
      <xdr:rowOff>0</xdr:rowOff>
    </xdr:to>
    <xdr:sp>
      <xdr:nvSpPr>
        <xdr:cNvPr id="314" name="Line 314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315" name="Line 315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112</xdr:row>
      <xdr:rowOff>0</xdr:rowOff>
    </xdr:from>
    <xdr:to>
      <xdr:col>2</xdr:col>
      <xdr:colOff>0</xdr:colOff>
      <xdr:row>112</xdr:row>
      <xdr:rowOff>0</xdr:rowOff>
    </xdr:to>
    <xdr:sp>
      <xdr:nvSpPr>
        <xdr:cNvPr id="316" name="Line 316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309</xdr:row>
      <xdr:rowOff>0</xdr:rowOff>
    </xdr:from>
    <xdr:to>
      <xdr:col>2</xdr:col>
      <xdr:colOff>0</xdr:colOff>
      <xdr:row>309</xdr:row>
      <xdr:rowOff>0</xdr:rowOff>
    </xdr:to>
    <xdr:sp>
      <xdr:nvSpPr>
        <xdr:cNvPr id="317" name="Line 317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318" name="Line 318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555</xdr:row>
      <xdr:rowOff>0</xdr:rowOff>
    </xdr:from>
    <xdr:to>
      <xdr:col>2</xdr:col>
      <xdr:colOff>0</xdr:colOff>
      <xdr:row>555</xdr:row>
      <xdr:rowOff>0</xdr:rowOff>
    </xdr:to>
    <xdr:sp>
      <xdr:nvSpPr>
        <xdr:cNvPr id="319" name="Line 319"/>
        <xdr:cNvSpPr>
          <a:spLocks/>
        </xdr:cNvSpPr>
      </xdr:nvSpPr>
      <xdr:spPr>
        <a:xfrm>
          <a:off x="28575" y="64227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320" name="Line 320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309</xdr:row>
      <xdr:rowOff>0</xdr:rowOff>
    </xdr:from>
    <xdr:to>
      <xdr:col>2</xdr:col>
      <xdr:colOff>0</xdr:colOff>
      <xdr:row>309</xdr:row>
      <xdr:rowOff>0</xdr:rowOff>
    </xdr:to>
    <xdr:sp>
      <xdr:nvSpPr>
        <xdr:cNvPr id="321" name="Line 321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309</xdr:row>
      <xdr:rowOff>0</xdr:rowOff>
    </xdr:from>
    <xdr:to>
      <xdr:col>2</xdr:col>
      <xdr:colOff>0</xdr:colOff>
      <xdr:row>309</xdr:row>
      <xdr:rowOff>0</xdr:rowOff>
    </xdr:to>
    <xdr:sp>
      <xdr:nvSpPr>
        <xdr:cNvPr id="322" name="Line 322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555</xdr:row>
      <xdr:rowOff>0</xdr:rowOff>
    </xdr:from>
    <xdr:to>
      <xdr:col>2</xdr:col>
      <xdr:colOff>0</xdr:colOff>
      <xdr:row>555</xdr:row>
      <xdr:rowOff>0</xdr:rowOff>
    </xdr:to>
    <xdr:sp>
      <xdr:nvSpPr>
        <xdr:cNvPr id="323" name="Line 323"/>
        <xdr:cNvSpPr>
          <a:spLocks/>
        </xdr:cNvSpPr>
      </xdr:nvSpPr>
      <xdr:spPr>
        <a:xfrm>
          <a:off x="28575" y="64227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555</xdr:row>
      <xdr:rowOff>0</xdr:rowOff>
    </xdr:from>
    <xdr:to>
      <xdr:col>2</xdr:col>
      <xdr:colOff>0</xdr:colOff>
      <xdr:row>555</xdr:row>
      <xdr:rowOff>0</xdr:rowOff>
    </xdr:to>
    <xdr:sp>
      <xdr:nvSpPr>
        <xdr:cNvPr id="324" name="Line 324"/>
        <xdr:cNvSpPr>
          <a:spLocks/>
        </xdr:cNvSpPr>
      </xdr:nvSpPr>
      <xdr:spPr>
        <a:xfrm>
          <a:off x="28575" y="64227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576</xdr:row>
      <xdr:rowOff>0</xdr:rowOff>
    </xdr:from>
    <xdr:to>
      <xdr:col>2</xdr:col>
      <xdr:colOff>0</xdr:colOff>
      <xdr:row>576</xdr:row>
      <xdr:rowOff>0</xdr:rowOff>
    </xdr:to>
    <xdr:sp>
      <xdr:nvSpPr>
        <xdr:cNvPr id="325" name="Line 325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576</xdr:row>
      <xdr:rowOff>0</xdr:rowOff>
    </xdr:from>
    <xdr:to>
      <xdr:col>2</xdr:col>
      <xdr:colOff>0</xdr:colOff>
      <xdr:row>576</xdr:row>
      <xdr:rowOff>0</xdr:rowOff>
    </xdr:to>
    <xdr:sp>
      <xdr:nvSpPr>
        <xdr:cNvPr id="326" name="Line 326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576</xdr:row>
      <xdr:rowOff>0</xdr:rowOff>
    </xdr:from>
    <xdr:to>
      <xdr:col>2</xdr:col>
      <xdr:colOff>0</xdr:colOff>
      <xdr:row>576</xdr:row>
      <xdr:rowOff>0</xdr:rowOff>
    </xdr:to>
    <xdr:sp>
      <xdr:nvSpPr>
        <xdr:cNvPr id="327" name="Line 327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328" name="Line 328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329" name="Line 329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330" name="Line 330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331" name="Line 331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332" name="Line 332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333" name="Line 333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334" name="Line 334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112</xdr:row>
      <xdr:rowOff>0</xdr:rowOff>
    </xdr:from>
    <xdr:to>
      <xdr:col>2</xdr:col>
      <xdr:colOff>0</xdr:colOff>
      <xdr:row>112</xdr:row>
      <xdr:rowOff>0</xdr:rowOff>
    </xdr:to>
    <xdr:sp>
      <xdr:nvSpPr>
        <xdr:cNvPr id="335" name="Line 335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336" name="Line 336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112</xdr:row>
      <xdr:rowOff>0</xdr:rowOff>
    </xdr:from>
    <xdr:to>
      <xdr:col>2</xdr:col>
      <xdr:colOff>0</xdr:colOff>
      <xdr:row>112</xdr:row>
      <xdr:rowOff>0</xdr:rowOff>
    </xdr:to>
    <xdr:sp>
      <xdr:nvSpPr>
        <xdr:cNvPr id="337" name="Line 337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309</xdr:row>
      <xdr:rowOff>0</xdr:rowOff>
    </xdr:from>
    <xdr:to>
      <xdr:col>2</xdr:col>
      <xdr:colOff>0</xdr:colOff>
      <xdr:row>309</xdr:row>
      <xdr:rowOff>0</xdr:rowOff>
    </xdr:to>
    <xdr:sp>
      <xdr:nvSpPr>
        <xdr:cNvPr id="338" name="Line 338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339" name="Line 339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555</xdr:row>
      <xdr:rowOff>0</xdr:rowOff>
    </xdr:from>
    <xdr:to>
      <xdr:col>2</xdr:col>
      <xdr:colOff>0</xdr:colOff>
      <xdr:row>555</xdr:row>
      <xdr:rowOff>0</xdr:rowOff>
    </xdr:to>
    <xdr:sp>
      <xdr:nvSpPr>
        <xdr:cNvPr id="340" name="Line 340"/>
        <xdr:cNvSpPr>
          <a:spLocks/>
        </xdr:cNvSpPr>
      </xdr:nvSpPr>
      <xdr:spPr>
        <a:xfrm>
          <a:off x="28575" y="64227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341" name="Line 341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309</xdr:row>
      <xdr:rowOff>0</xdr:rowOff>
    </xdr:from>
    <xdr:to>
      <xdr:col>2</xdr:col>
      <xdr:colOff>0</xdr:colOff>
      <xdr:row>309</xdr:row>
      <xdr:rowOff>0</xdr:rowOff>
    </xdr:to>
    <xdr:sp>
      <xdr:nvSpPr>
        <xdr:cNvPr id="342" name="Line 342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309</xdr:row>
      <xdr:rowOff>0</xdr:rowOff>
    </xdr:from>
    <xdr:to>
      <xdr:col>2</xdr:col>
      <xdr:colOff>0</xdr:colOff>
      <xdr:row>309</xdr:row>
      <xdr:rowOff>0</xdr:rowOff>
    </xdr:to>
    <xdr:sp>
      <xdr:nvSpPr>
        <xdr:cNvPr id="343" name="Line 343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555</xdr:row>
      <xdr:rowOff>0</xdr:rowOff>
    </xdr:from>
    <xdr:to>
      <xdr:col>2</xdr:col>
      <xdr:colOff>0</xdr:colOff>
      <xdr:row>555</xdr:row>
      <xdr:rowOff>0</xdr:rowOff>
    </xdr:to>
    <xdr:sp>
      <xdr:nvSpPr>
        <xdr:cNvPr id="344" name="Line 344"/>
        <xdr:cNvSpPr>
          <a:spLocks/>
        </xdr:cNvSpPr>
      </xdr:nvSpPr>
      <xdr:spPr>
        <a:xfrm>
          <a:off x="28575" y="64227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555</xdr:row>
      <xdr:rowOff>0</xdr:rowOff>
    </xdr:from>
    <xdr:to>
      <xdr:col>2</xdr:col>
      <xdr:colOff>0</xdr:colOff>
      <xdr:row>555</xdr:row>
      <xdr:rowOff>0</xdr:rowOff>
    </xdr:to>
    <xdr:sp>
      <xdr:nvSpPr>
        <xdr:cNvPr id="345" name="Line 345"/>
        <xdr:cNvSpPr>
          <a:spLocks/>
        </xdr:cNvSpPr>
      </xdr:nvSpPr>
      <xdr:spPr>
        <a:xfrm>
          <a:off x="28575" y="64227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576</xdr:row>
      <xdr:rowOff>0</xdr:rowOff>
    </xdr:from>
    <xdr:to>
      <xdr:col>2</xdr:col>
      <xdr:colOff>0</xdr:colOff>
      <xdr:row>576</xdr:row>
      <xdr:rowOff>0</xdr:rowOff>
    </xdr:to>
    <xdr:sp>
      <xdr:nvSpPr>
        <xdr:cNvPr id="346" name="Line 346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576</xdr:row>
      <xdr:rowOff>0</xdr:rowOff>
    </xdr:from>
    <xdr:to>
      <xdr:col>2</xdr:col>
      <xdr:colOff>0</xdr:colOff>
      <xdr:row>576</xdr:row>
      <xdr:rowOff>0</xdr:rowOff>
    </xdr:to>
    <xdr:sp>
      <xdr:nvSpPr>
        <xdr:cNvPr id="347" name="Line 347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576</xdr:row>
      <xdr:rowOff>0</xdr:rowOff>
    </xdr:from>
    <xdr:to>
      <xdr:col>2</xdr:col>
      <xdr:colOff>0</xdr:colOff>
      <xdr:row>576</xdr:row>
      <xdr:rowOff>0</xdr:rowOff>
    </xdr:to>
    <xdr:sp>
      <xdr:nvSpPr>
        <xdr:cNvPr id="348" name="Line 348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349" name="Line 349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350" name="Line 350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351" name="Line 351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352" name="Line 352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353" name="Line 353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354" name="Line 354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355" name="Line 355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112</xdr:row>
      <xdr:rowOff>0</xdr:rowOff>
    </xdr:from>
    <xdr:to>
      <xdr:col>2</xdr:col>
      <xdr:colOff>0</xdr:colOff>
      <xdr:row>112</xdr:row>
      <xdr:rowOff>0</xdr:rowOff>
    </xdr:to>
    <xdr:sp>
      <xdr:nvSpPr>
        <xdr:cNvPr id="356" name="Line 356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357" name="Line 357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112</xdr:row>
      <xdr:rowOff>0</xdr:rowOff>
    </xdr:from>
    <xdr:to>
      <xdr:col>2</xdr:col>
      <xdr:colOff>0</xdr:colOff>
      <xdr:row>112</xdr:row>
      <xdr:rowOff>0</xdr:rowOff>
    </xdr:to>
    <xdr:sp>
      <xdr:nvSpPr>
        <xdr:cNvPr id="358" name="Line 358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309</xdr:row>
      <xdr:rowOff>0</xdr:rowOff>
    </xdr:from>
    <xdr:to>
      <xdr:col>2</xdr:col>
      <xdr:colOff>0</xdr:colOff>
      <xdr:row>309</xdr:row>
      <xdr:rowOff>0</xdr:rowOff>
    </xdr:to>
    <xdr:sp>
      <xdr:nvSpPr>
        <xdr:cNvPr id="359" name="Line 359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360" name="Line 360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555</xdr:row>
      <xdr:rowOff>0</xdr:rowOff>
    </xdr:from>
    <xdr:to>
      <xdr:col>2</xdr:col>
      <xdr:colOff>0</xdr:colOff>
      <xdr:row>555</xdr:row>
      <xdr:rowOff>0</xdr:rowOff>
    </xdr:to>
    <xdr:sp>
      <xdr:nvSpPr>
        <xdr:cNvPr id="361" name="Line 361"/>
        <xdr:cNvSpPr>
          <a:spLocks/>
        </xdr:cNvSpPr>
      </xdr:nvSpPr>
      <xdr:spPr>
        <a:xfrm>
          <a:off x="28575" y="64227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362" name="Line 362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309</xdr:row>
      <xdr:rowOff>0</xdr:rowOff>
    </xdr:from>
    <xdr:to>
      <xdr:col>2</xdr:col>
      <xdr:colOff>0</xdr:colOff>
      <xdr:row>309</xdr:row>
      <xdr:rowOff>0</xdr:rowOff>
    </xdr:to>
    <xdr:sp>
      <xdr:nvSpPr>
        <xdr:cNvPr id="363" name="Line 363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309</xdr:row>
      <xdr:rowOff>0</xdr:rowOff>
    </xdr:from>
    <xdr:to>
      <xdr:col>2</xdr:col>
      <xdr:colOff>0</xdr:colOff>
      <xdr:row>309</xdr:row>
      <xdr:rowOff>0</xdr:rowOff>
    </xdr:to>
    <xdr:sp>
      <xdr:nvSpPr>
        <xdr:cNvPr id="364" name="Line 364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555</xdr:row>
      <xdr:rowOff>0</xdr:rowOff>
    </xdr:from>
    <xdr:to>
      <xdr:col>2</xdr:col>
      <xdr:colOff>0</xdr:colOff>
      <xdr:row>555</xdr:row>
      <xdr:rowOff>0</xdr:rowOff>
    </xdr:to>
    <xdr:sp>
      <xdr:nvSpPr>
        <xdr:cNvPr id="365" name="Line 365"/>
        <xdr:cNvSpPr>
          <a:spLocks/>
        </xdr:cNvSpPr>
      </xdr:nvSpPr>
      <xdr:spPr>
        <a:xfrm>
          <a:off x="28575" y="64227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555</xdr:row>
      <xdr:rowOff>0</xdr:rowOff>
    </xdr:from>
    <xdr:to>
      <xdr:col>2</xdr:col>
      <xdr:colOff>0</xdr:colOff>
      <xdr:row>555</xdr:row>
      <xdr:rowOff>0</xdr:rowOff>
    </xdr:to>
    <xdr:sp>
      <xdr:nvSpPr>
        <xdr:cNvPr id="366" name="Line 366"/>
        <xdr:cNvSpPr>
          <a:spLocks/>
        </xdr:cNvSpPr>
      </xdr:nvSpPr>
      <xdr:spPr>
        <a:xfrm>
          <a:off x="28575" y="64227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576</xdr:row>
      <xdr:rowOff>0</xdr:rowOff>
    </xdr:from>
    <xdr:to>
      <xdr:col>2</xdr:col>
      <xdr:colOff>0</xdr:colOff>
      <xdr:row>576</xdr:row>
      <xdr:rowOff>0</xdr:rowOff>
    </xdr:to>
    <xdr:sp>
      <xdr:nvSpPr>
        <xdr:cNvPr id="367" name="Line 367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576</xdr:row>
      <xdr:rowOff>0</xdr:rowOff>
    </xdr:from>
    <xdr:to>
      <xdr:col>2</xdr:col>
      <xdr:colOff>0</xdr:colOff>
      <xdr:row>576</xdr:row>
      <xdr:rowOff>0</xdr:rowOff>
    </xdr:to>
    <xdr:sp>
      <xdr:nvSpPr>
        <xdr:cNvPr id="368" name="Line 368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576</xdr:row>
      <xdr:rowOff>0</xdr:rowOff>
    </xdr:from>
    <xdr:to>
      <xdr:col>2</xdr:col>
      <xdr:colOff>0</xdr:colOff>
      <xdr:row>576</xdr:row>
      <xdr:rowOff>0</xdr:rowOff>
    </xdr:to>
    <xdr:sp>
      <xdr:nvSpPr>
        <xdr:cNvPr id="369" name="Line 369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370" name="Line 370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371" name="Line 371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372" name="Line 372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373" name="Line 373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374" name="Line 374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375" name="Line 375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376" name="Line 376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377" name="Line 377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378" name="Line 378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379" name="Line 379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380" name="Line 380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381" name="Line 381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382" name="Line 382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383" name="Line 383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384" name="Line 384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385" name="Line 385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386" name="Line 386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387" name="Line 387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388" name="Line 388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389" name="Line 389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390" name="Line 390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391" name="Line 391"/>
        <xdr:cNvSpPr>
          <a:spLocks/>
        </xdr:cNvSpPr>
      </xdr:nvSpPr>
      <xdr:spPr>
        <a:xfrm>
          <a:off x="28575" y="83191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392" name="Line 392"/>
        <xdr:cNvSpPr>
          <a:spLocks/>
        </xdr:cNvSpPr>
      </xdr:nvSpPr>
      <xdr:spPr>
        <a:xfrm>
          <a:off x="28575" y="83191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393" name="Line 393"/>
        <xdr:cNvSpPr>
          <a:spLocks/>
        </xdr:cNvSpPr>
      </xdr:nvSpPr>
      <xdr:spPr>
        <a:xfrm>
          <a:off x="28575" y="83191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394" name="Line 394"/>
        <xdr:cNvSpPr>
          <a:spLocks/>
        </xdr:cNvSpPr>
      </xdr:nvSpPr>
      <xdr:spPr>
        <a:xfrm>
          <a:off x="28575" y="83191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395" name="Line 395"/>
        <xdr:cNvSpPr>
          <a:spLocks/>
        </xdr:cNvSpPr>
      </xdr:nvSpPr>
      <xdr:spPr>
        <a:xfrm>
          <a:off x="28575" y="83191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396" name="Line 396"/>
        <xdr:cNvSpPr>
          <a:spLocks/>
        </xdr:cNvSpPr>
      </xdr:nvSpPr>
      <xdr:spPr>
        <a:xfrm>
          <a:off x="28575" y="83191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397" name="Line 397"/>
        <xdr:cNvSpPr>
          <a:spLocks/>
        </xdr:cNvSpPr>
      </xdr:nvSpPr>
      <xdr:spPr>
        <a:xfrm>
          <a:off x="28575" y="83191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398" name="Line 398"/>
        <xdr:cNvSpPr>
          <a:spLocks/>
        </xdr:cNvSpPr>
      </xdr:nvSpPr>
      <xdr:spPr>
        <a:xfrm>
          <a:off x="28575" y="83191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399" name="Line 399"/>
        <xdr:cNvSpPr>
          <a:spLocks/>
        </xdr:cNvSpPr>
      </xdr:nvSpPr>
      <xdr:spPr>
        <a:xfrm>
          <a:off x="28575" y="83191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400" name="Line 400"/>
        <xdr:cNvSpPr>
          <a:spLocks/>
        </xdr:cNvSpPr>
      </xdr:nvSpPr>
      <xdr:spPr>
        <a:xfrm>
          <a:off x="28575" y="83191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401" name="Line 401"/>
        <xdr:cNvSpPr>
          <a:spLocks/>
        </xdr:cNvSpPr>
      </xdr:nvSpPr>
      <xdr:spPr>
        <a:xfrm>
          <a:off x="28575" y="83191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402" name="Line 402"/>
        <xdr:cNvSpPr>
          <a:spLocks/>
        </xdr:cNvSpPr>
      </xdr:nvSpPr>
      <xdr:spPr>
        <a:xfrm>
          <a:off x="28575" y="83191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403" name="Line 403"/>
        <xdr:cNvSpPr>
          <a:spLocks/>
        </xdr:cNvSpPr>
      </xdr:nvSpPr>
      <xdr:spPr>
        <a:xfrm>
          <a:off x="28575" y="83191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404" name="Line 404"/>
        <xdr:cNvSpPr>
          <a:spLocks/>
        </xdr:cNvSpPr>
      </xdr:nvSpPr>
      <xdr:spPr>
        <a:xfrm>
          <a:off x="28575" y="83191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405" name="Line 405"/>
        <xdr:cNvSpPr>
          <a:spLocks/>
        </xdr:cNvSpPr>
      </xdr:nvSpPr>
      <xdr:spPr>
        <a:xfrm>
          <a:off x="28575" y="83191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406" name="Line 406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112</xdr:row>
      <xdr:rowOff>0</xdr:rowOff>
    </xdr:from>
    <xdr:to>
      <xdr:col>2</xdr:col>
      <xdr:colOff>0</xdr:colOff>
      <xdr:row>112</xdr:row>
      <xdr:rowOff>0</xdr:rowOff>
    </xdr:to>
    <xdr:sp>
      <xdr:nvSpPr>
        <xdr:cNvPr id="407" name="Line 407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408" name="Line 408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112</xdr:row>
      <xdr:rowOff>0</xdr:rowOff>
    </xdr:from>
    <xdr:to>
      <xdr:col>2</xdr:col>
      <xdr:colOff>0</xdr:colOff>
      <xdr:row>112</xdr:row>
      <xdr:rowOff>0</xdr:rowOff>
    </xdr:to>
    <xdr:sp>
      <xdr:nvSpPr>
        <xdr:cNvPr id="409" name="Line 409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309</xdr:row>
      <xdr:rowOff>0</xdr:rowOff>
    </xdr:from>
    <xdr:to>
      <xdr:col>2</xdr:col>
      <xdr:colOff>0</xdr:colOff>
      <xdr:row>309</xdr:row>
      <xdr:rowOff>0</xdr:rowOff>
    </xdr:to>
    <xdr:sp>
      <xdr:nvSpPr>
        <xdr:cNvPr id="410" name="Line 410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411" name="Line 411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555</xdr:row>
      <xdr:rowOff>0</xdr:rowOff>
    </xdr:from>
    <xdr:to>
      <xdr:col>2</xdr:col>
      <xdr:colOff>0</xdr:colOff>
      <xdr:row>555</xdr:row>
      <xdr:rowOff>0</xdr:rowOff>
    </xdr:to>
    <xdr:sp>
      <xdr:nvSpPr>
        <xdr:cNvPr id="412" name="Line 412"/>
        <xdr:cNvSpPr>
          <a:spLocks/>
        </xdr:cNvSpPr>
      </xdr:nvSpPr>
      <xdr:spPr>
        <a:xfrm>
          <a:off x="28575" y="64227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413" name="Line 413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309</xdr:row>
      <xdr:rowOff>0</xdr:rowOff>
    </xdr:from>
    <xdr:to>
      <xdr:col>2</xdr:col>
      <xdr:colOff>0</xdr:colOff>
      <xdr:row>309</xdr:row>
      <xdr:rowOff>0</xdr:rowOff>
    </xdr:to>
    <xdr:sp>
      <xdr:nvSpPr>
        <xdr:cNvPr id="414" name="Line 414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309</xdr:row>
      <xdr:rowOff>0</xdr:rowOff>
    </xdr:from>
    <xdr:to>
      <xdr:col>2</xdr:col>
      <xdr:colOff>0</xdr:colOff>
      <xdr:row>309</xdr:row>
      <xdr:rowOff>0</xdr:rowOff>
    </xdr:to>
    <xdr:sp>
      <xdr:nvSpPr>
        <xdr:cNvPr id="415" name="Line 415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555</xdr:row>
      <xdr:rowOff>0</xdr:rowOff>
    </xdr:from>
    <xdr:to>
      <xdr:col>2</xdr:col>
      <xdr:colOff>0</xdr:colOff>
      <xdr:row>555</xdr:row>
      <xdr:rowOff>0</xdr:rowOff>
    </xdr:to>
    <xdr:sp>
      <xdr:nvSpPr>
        <xdr:cNvPr id="416" name="Line 416"/>
        <xdr:cNvSpPr>
          <a:spLocks/>
        </xdr:cNvSpPr>
      </xdr:nvSpPr>
      <xdr:spPr>
        <a:xfrm>
          <a:off x="28575" y="64227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555</xdr:row>
      <xdr:rowOff>0</xdr:rowOff>
    </xdr:from>
    <xdr:to>
      <xdr:col>2</xdr:col>
      <xdr:colOff>0</xdr:colOff>
      <xdr:row>555</xdr:row>
      <xdr:rowOff>0</xdr:rowOff>
    </xdr:to>
    <xdr:sp>
      <xdr:nvSpPr>
        <xdr:cNvPr id="417" name="Line 417"/>
        <xdr:cNvSpPr>
          <a:spLocks/>
        </xdr:cNvSpPr>
      </xdr:nvSpPr>
      <xdr:spPr>
        <a:xfrm>
          <a:off x="28575" y="64227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576</xdr:row>
      <xdr:rowOff>0</xdr:rowOff>
    </xdr:from>
    <xdr:to>
      <xdr:col>2</xdr:col>
      <xdr:colOff>0</xdr:colOff>
      <xdr:row>576</xdr:row>
      <xdr:rowOff>0</xdr:rowOff>
    </xdr:to>
    <xdr:sp>
      <xdr:nvSpPr>
        <xdr:cNvPr id="418" name="Line 418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576</xdr:row>
      <xdr:rowOff>0</xdr:rowOff>
    </xdr:from>
    <xdr:to>
      <xdr:col>2</xdr:col>
      <xdr:colOff>0</xdr:colOff>
      <xdr:row>576</xdr:row>
      <xdr:rowOff>0</xdr:rowOff>
    </xdr:to>
    <xdr:sp>
      <xdr:nvSpPr>
        <xdr:cNvPr id="419" name="Line 419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576</xdr:row>
      <xdr:rowOff>0</xdr:rowOff>
    </xdr:from>
    <xdr:to>
      <xdr:col>2</xdr:col>
      <xdr:colOff>0</xdr:colOff>
      <xdr:row>576</xdr:row>
      <xdr:rowOff>0</xdr:rowOff>
    </xdr:to>
    <xdr:sp>
      <xdr:nvSpPr>
        <xdr:cNvPr id="420" name="Line 420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421" name="Line 421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422" name="Line 422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423" name="Line 423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424" name="Line 424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425" name="Line 425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426" name="Line 426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427" name="Line 427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112</xdr:row>
      <xdr:rowOff>0</xdr:rowOff>
    </xdr:from>
    <xdr:to>
      <xdr:col>2</xdr:col>
      <xdr:colOff>0</xdr:colOff>
      <xdr:row>112</xdr:row>
      <xdr:rowOff>0</xdr:rowOff>
    </xdr:to>
    <xdr:sp>
      <xdr:nvSpPr>
        <xdr:cNvPr id="428" name="Line 428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429" name="Line 429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112</xdr:row>
      <xdr:rowOff>0</xdr:rowOff>
    </xdr:from>
    <xdr:to>
      <xdr:col>2</xdr:col>
      <xdr:colOff>0</xdr:colOff>
      <xdr:row>112</xdr:row>
      <xdr:rowOff>0</xdr:rowOff>
    </xdr:to>
    <xdr:sp>
      <xdr:nvSpPr>
        <xdr:cNvPr id="430" name="Line 430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309</xdr:row>
      <xdr:rowOff>0</xdr:rowOff>
    </xdr:from>
    <xdr:to>
      <xdr:col>2</xdr:col>
      <xdr:colOff>0</xdr:colOff>
      <xdr:row>309</xdr:row>
      <xdr:rowOff>0</xdr:rowOff>
    </xdr:to>
    <xdr:sp>
      <xdr:nvSpPr>
        <xdr:cNvPr id="431" name="Line 431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432" name="Line 432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555</xdr:row>
      <xdr:rowOff>0</xdr:rowOff>
    </xdr:from>
    <xdr:to>
      <xdr:col>2</xdr:col>
      <xdr:colOff>0</xdr:colOff>
      <xdr:row>555</xdr:row>
      <xdr:rowOff>0</xdr:rowOff>
    </xdr:to>
    <xdr:sp>
      <xdr:nvSpPr>
        <xdr:cNvPr id="433" name="Line 433"/>
        <xdr:cNvSpPr>
          <a:spLocks/>
        </xdr:cNvSpPr>
      </xdr:nvSpPr>
      <xdr:spPr>
        <a:xfrm>
          <a:off x="28575" y="64227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434" name="Line 434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309</xdr:row>
      <xdr:rowOff>0</xdr:rowOff>
    </xdr:from>
    <xdr:to>
      <xdr:col>2</xdr:col>
      <xdr:colOff>0</xdr:colOff>
      <xdr:row>309</xdr:row>
      <xdr:rowOff>0</xdr:rowOff>
    </xdr:to>
    <xdr:sp>
      <xdr:nvSpPr>
        <xdr:cNvPr id="435" name="Line 435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309</xdr:row>
      <xdr:rowOff>0</xdr:rowOff>
    </xdr:from>
    <xdr:to>
      <xdr:col>2</xdr:col>
      <xdr:colOff>0</xdr:colOff>
      <xdr:row>309</xdr:row>
      <xdr:rowOff>0</xdr:rowOff>
    </xdr:to>
    <xdr:sp>
      <xdr:nvSpPr>
        <xdr:cNvPr id="436" name="Line 436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555</xdr:row>
      <xdr:rowOff>0</xdr:rowOff>
    </xdr:from>
    <xdr:to>
      <xdr:col>2</xdr:col>
      <xdr:colOff>0</xdr:colOff>
      <xdr:row>555</xdr:row>
      <xdr:rowOff>0</xdr:rowOff>
    </xdr:to>
    <xdr:sp>
      <xdr:nvSpPr>
        <xdr:cNvPr id="437" name="Line 437"/>
        <xdr:cNvSpPr>
          <a:spLocks/>
        </xdr:cNvSpPr>
      </xdr:nvSpPr>
      <xdr:spPr>
        <a:xfrm>
          <a:off x="28575" y="64227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555</xdr:row>
      <xdr:rowOff>0</xdr:rowOff>
    </xdr:from>
    <xdr:to>
      <xdr:col>2</xdr:col>
      <xdr:colOff>0</xdr:colOff>
      <xdr:row>555</xdr:row>
      <xdr:rowOff>0</xdr:rowOff>
    </xdr:to>
    <xdr:sp>
      <xdr:nvSpPr>
        <xdr:cNvPr id="438" name="Line 438"/>
        <xdr:cNvSpPr>
          <a:spLocks/>
        </xdr:cNvSpPr>
      </xdr:nvSpPr>
      <xdr:spPr>
        <a:xfrm>
          <a:off x="28575" y="64227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576</xdr:row>
      <xdr:rowOff>0</xdr:rowOff>
    </xdr:from>
    <xdr:to>
      <xdr:col>2</xdr:col>
      <xdr:colOff>0</xdr:colOff>
      <xdr:row>576</xdr:row>
      <xdr:rowOff>0</xdr:rowOff>
    </xdr:to>
    <xdr:sp>
      <xdr:nvSpPr>
        <xdr:cNvPr id="439" name="Line 439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576</xdr:row>
      <xdr:rowOff>0</xdr:rowOff>
    </xdr:from>
    <xdr:to>
      <xdr:col>2</xdr:col>
      <xdr:colOff>0</xdr:colOff>
      <xdr:row>576</xdr:row>
      <xdr:rowOff>0</xdr:rowOff>
    </xdr:to>
    <xdr:sp>
      <xdr:nvSpPr>
        <xdr:cNvPr id="440" name="Line 440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576</xdr:row>
      <xdr:rowOff>0</xdr:rowOff>
    </xdr:from>
    <xdr:to>
      <xdr:col>2</xdr:col>
      <xdr:colOff>0</xdr:colOff>
      <xdr:row>576</xdr:row>
      <xdr:rowOff>0</xdr:rowOff>
    </xdr:to>
    <xdr:sp>
      <xdr:nvSpPr>
        <xdr:cNvPr id="441" name="Line 441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442" name="Line 442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443" name="Line 443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444" name="Line 444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445" name="Line 445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446" name="Line 446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447" name="Line 447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448" name="Line 448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112</xdr:row>
      <xdr:rowOff>0</xdr:rowOff>
    </xdr:from>
    <xdr:to>
      <xdr:col>2</xdr:col>
      <xdr:colOff>0</xdr:colOff>
      <xdr:row>112</xdr:row>
      <xdr:rowOff>0</xdr:rowOff>
    </xdr:to>
    <xdr:sp>
      <xdr:nvSpPr>
        <xdr:cNvPr id="449" name="Line 449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450" name="Line 450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112</xdr:row>
      <xdr:rowOff>0</xdr:rowOff>
    </xdr:from>
    <xdr:to>
      <xdr:col>2</xdr:col>
      <xdr:colOff>0</xdr:colOff>
      <xdr:row>112</xdr:row>
      <xdr:rowOff>0</xdr:rowOff>
    </xdr:to>
    <xdr:sp>
      <xdr:nvSpPr>
        <xdr:cNvPr id="451" name="Line 451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309</xdr:row>
      <xdr:rowOff>0</xdr:rowOff>
    </xdr:from>
    <xdr:to>
      <xdr:col>2</xdr:col>
      <xdr:colOff>0</xdr:colOff>
      <xdr:row>309</xdr:row>
      <xdr:rowOff>0</xdr:rowOff>
    </xdr:to>
    <xdr:sp>
      <xdr:nvSpPr>
        <xdr:cNvPr id="452" name="Line 452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453" name="Line 453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555</xdr:row>
      <xdr:rowOff>0</xdr:rowOff>
    </xdr:from>
    <xdr:to>
      <xdr:col>2</xdr:col>
      <xdr:colOff>0</xdr:colOff>
      <xdr:row>555</xdr:row>
      <xdr:rowOff>0</xdr:rowOff>
    </xdr:to>
    <xdr:sp>
      <xdr:nvSpPr>
        <xdr:cNvPr id="454" name="Line 454"/>
        <xdr:cNvSpPr>
          <a:spLocks/>
        </xdr:cNvSpPr>
      </xdr:nvSpPr>
      <xdr:spPr>
        <a:xfrm>
          <a:off x="28575" y="64227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455" name="Line 455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309</xdr:row>
      <xdr:rowOff>0</xdr:rowOff>
    </xdr:from>
    <xdr:to>
      <xdr:col>2</xdr:col>
      <xdr:colOff>0</xdr:colOff>
      <xdr:row>309</xdr:row>
      <xdr:rowOff>0</xdr:rowOff>
    </xdr:to>
    <xdr:sp>
      <xdr:nvSpPr>
        <xdr:cNvPr id="456" name="Line 456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309</xdr:row>
      <xdr:rowOff>0</xdr:rowOff>
    </xdr:from>
    <xdr:to>
      <xdr:col>2</xdr:col>
      <xdr:colOff>0</xdr:colOff>
      <xdr:row>309</xdr:row>
      <xdr:rowOff>0</xdr:rowOff>
    </xdr:to>
    <xdr:sp>
      <xdr:nvSpPr>
        <xdr:cNvPr id="457" name="Line 457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555</xdr:row>
      <xdr:rowOff>0</xdr:rowOff>
    </xdr:from>
    <xdr:to>
      <xdr:col>2</xdr:col>
      <xdr:colOff>0</xdr:colOff>
      <xdr:row>555</xdr:row>
      <xdr:rowOff>0</xdr:rowOff>
    </xdr:to>
    <xdr:sp>
      <xdr:nvSpPr>
        <xdr:cNvPr id="458" name="Line 458"/>
        <xdr:cNvSpPr>
          <a:spLocks/>
        </xdr:cNvSpPr>
      </xdr:nvSpPr>
      <xdr:spPr>
        <a:xfrm>
          <a:off x="28575" y="64227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555</xdr:row>
      <xdr:rowOff>0</xdr:rowOff>
    </xdr:from>
    <xdr:to>
      <xdr:col>2</xdr:col>
      <xdr:colOff>0</xdr:colOff>
      <xdr:row>555</xdr:row>
      <xdr:rowOff>0</xdr:rowOff>
    </xdr:to>
    <xdr:sp>
      <xdr:nvSpPr>
        <xdr:cNvPr id="459" name="Line 459"/>
        <xdr:cNvSpPr>
          <a:spLocks/>
        </xdr:cNvSpPr>
      </xdr:nvSpPr>
      <xdr:spPr>
        <a:xfrm>
          <a:off x="28575" y="64227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576</xdr:row>
      <xdr:rowOff>0</xdr:rowOff>
    </xdr:from>
    <xdr:to>
      <xdr:col>2</xdr:col>
      <xdr:colOff>0</xdr:colOff>
      <xdr:row>576</xdr:row>
      <xdr:rowOff>0</xdr:rowOff>
    </xdr:to>
    <xdr:sp>
      <xdr:nvSpPr>
        <xdr:cNvPr id="460" name="Line 460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576</xdr:row>
      <xdr:rowOff>0</xdr:rowOff>
    </xdr:from>
    <xdr:to>
      <xdr:col>2</xdr:col>
      <xdr:colOff>0</xdr:colOff>
      <xdr:row>576</xdr:row>
      <xdr:rowOff>0</xdr:rowOff>
    </xdr:to>
    <xdr:sp>
      <xdr:nvSpPr>
        <xdr:cNvPr id="461" name="Line 461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576</xdr:row>
      <xdr:rowOff>0</xdr:rowOff>
    </xdr:from>
    <xdr:to>
      <xdr:col>2</xdr:col>
      <xdr:colOff>0</xdr:colOff>
      <xdr:row>576</xdr:row>
      <xdr:rowOff>0</xdr:rowOff>
    </xdr:to>
    <xdr:sp>
      <xdr:nvSpPr>
        <xdr:cNvPr id="462" name="Line 462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463" name="Line 463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464" name="Line 464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465" name="Line 465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466" name="Line 466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467" name="Line 467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468" name="Line 468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469" name="Line 469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112</xdr:row>
      <xdr:rowOff>0</xdr:rowOff>
    </xdr:from>
    <xdr:to>
      <xdr:col>2</xdr:col>
      <xdr:colOff>0</xdr:colOff>
      <xdr:row>112</xdr:row>
      <xdr:rowOff>0</xdr:rowOff>
    </xdr:to>
    <xdr:sp>
      <xdr:nvSpPr>
        <xdr:cNvPr id="470" name="Line 470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471" name="Line 471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112</xdr:row>
      <xdr:rowOff>0</xdr:rowOff>
    </xdr:from>
    <xdr:to>
      <xdr:col>2</xdr:col>
      <xdr:colOff>0</xdr:colOff>
      <xdr:row>112</xdr:row>
      <xdr:rowOff>0</xdr:rowOff>
    </xdr:to>
    <xdr:sp>
      <xdr:nvSpPr>
        <xdr:cNvPr id="472" name="Line 472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309</xdr:row>
      <xdr:rowOff>0</xdr:rowOff>
    </xdr:from>
    <xdr:to>
      <xdr:col>2</xdr:col>
      <xdr:colOff>0</xdr:colOff>
      <xdr:row>309</xdr:row>
      <xdr:rowOff>0</xdr:rowOff>
    </xdr:to>
    <xdr:sp>
      <xdr:nvSpPr>
        <xdr:cNvPr id="473" name="Line 473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474" name="Line 474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555</xdr:row>
      <xdr:rowOff>0</xdr:rowOff>
    </xdr:from>
    <xdr:to>
      <xdr:col>2</xdr:col>
      <xdr:colOff>0</xdr:colOff>
      <xdr:row>555</xdr:row>
      <xdr:rowOff>0</xdr:rowOff>
    </xdr:to>
    <xdr:sp>
      <xdr:nvSpPr>
        <xdr:cNvPr id="475" name="Line 475"/>
        <xdr:cNvSpPr>
          <a:spLocks/>
        </xdr:cNvSpPr>
      </xdr:nvSpPr>
      <xdr:spPr>
        <a:xfrm>
          <a:off x="28575" y="64227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476" name="Line 476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309</xdr:row>
      <xdr:rowOff>0</xdr:rowOff>
    </xdr:from>
    <xdr:to>
      <xdr:col>2</xdr:col>
      <xdr:colOff>0</xdr:colOff>
      <xdr:row>309</xdr:row>
      <xdr:rowOff>0</xdr:rowOff>
    </xdr:to>
    <xdr:sp>
      <xdr:nvSpPr>
        <xdr:cNvPr id="477" name="Line 477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309</xdr:row>
      <xdr:rowOff>0</xdr:rowOff>
    </xdr:from>
    <xdr:to>
      <xdr:col>2</xdr:col>
      <xdr:colOff>0</xdr:colOff>
      <xdr:row>309</xdr:row>
      <xdr:rowOff>0</xdr:rowOff>
    </xdr:to>
    <xdr:sp>
      <xdr:nvSpPr>
        <xdr:cNvPr id="478" name="Line 478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555</xdr:row>
      <xdr:rowOff>0</xdr:rowOff>
    </xdr:from>
    <xdr:to>
      <xdr:col>2</xdr:col>
      <xdr:colOff>0</xdr:colOff>
      <xdr:row>555</xdr:row>
      <xdr:rowOff>0</xdr:rowOff>
    </xdr:to>
    <xdr:sp>
      <xdr:nvSpPr>
        <xdr:cNvPr id="479" name="Line 479"/>
        <xdr:cNvSpPr>
          <a:spLocks/>
        </xdr:cNvSpPr>
      </xdr:nvSpPr>
      <xdr:spPr>
        <a:xfrm>
          <a:off x="28575" y="64227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555</xdr:row>
      <xdr:rowOff>0</xdr:rowOff>
    </xdr:from>
    <xdr:to>
      <xdr:col>2</xdr:col>
      <xdr:colOff>0</xdr:colOff>
      <xdr:row>555</xdr:row>
      <xdr:rowOff>0</xdr:rowOff>
    </xdr:to>
    <xdr:sp>
      <xdr:nvSpPr>
        <xdr:cNvPr id="480" name="Line 480"/>
        <xdr:cNvSpPr>
          <a:spLocks/>
        </xdr:cNvSpPr>
      </xdr:nvSpPr>
      <xdr:spPr>
        <a:xfrm>
          <a:off x="28575" y="64227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576</xdr:row>
      <xdr:rowOff>0</xdr:rowOff>
    </xdr:from>
    <xdr:to>
      <xdr:col>2</xdr:col>
      <xdr:colOff>0</xdr:colOff>
      <xdr:row>576</xdr:row>
      <xdr:rowOff>0</xdr:rowOff>
    </xdr:to>
    <xdr:sp>
      <xdr:nvSpPr>
        <xdr:cNvPr id="481" name="Line 481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576</xdr:row>
      <xdr:rowOff>0</xdr:rowOff>
    </xdr:from>
    <xdr:to>
      <xdr:col>2</xdr:col>
      <xdr:colOff>0</xdr:colOff>
      <xdr:row>576</xdr:row>
      <xdr:rowOff>0</xdr:rowOff>
    </xdr:to>
    <xdr:sp>
      <xdr:nvSpPr>
        <xdr:cNvPr id="482" name="Line 482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576</xdr:row>
      <xdr:rowOff>0</xdr:rowOff>
    </xdr:from>
    <xdr:to>
      <xdr:col>2</xdr:col>
      <xdr:colOff>0</xdr:colOff>
      <xdr:row>576</xdr:row>
      <xdr:rowOff>0</xdr:rowOff>
    </xdr:to>
    <xdr:sp>
      <xdr:nvSpPr>
        <xdr:cNvPr id="483" name="Line 483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484" name="Line 484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485" name="Line 485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486" name="Line 486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487" name="Line 487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488" name="Line 488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489" name="Line 489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490" name="Line 490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112</xdr:row>
      <xdr:rowOff>0</xdr:rowOff>
    </xdr:from>
    <xdr:to>
      <xdr:col>2</xdr:col>
      <xdr:colOff>0</xdr:colOff>
      <xdr:row>112</xdr:row>
      <xdr:rowOff>0</xdr:rowOff>
    </xdr:to>
    <xdr:sp>
      <xdr:nvSpPr>
        <xdr:cNvPr id="491" name="Line 491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492" name="Line 492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112</xdr:row>
      <xdr:rowOff>0</xdr:rowOff>
    </xdr:from>
    <xdr:to>
      <xdr:col>2</xdr:col>
      <xdr:colOff>0</xdr:colOff>
      <xdr:row>112</xdr:row>
      <xdr:rowOff>0</xdr:rowOff>
    </xdr:to>
    <xdr:sp>
      <xdr:nvSpPr>
        <xdr:cNvPr id="493" name="Line 493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309</xdr:row>
      <xdr:rowOff>0</xdr:rowOff>
    </xdr:from>
    <xdr:to>
      <xdr:col>2</xdr:col>
      <xdr:colOff>0</xdr:colOff>
      <xdr:row>309</xdr:row>
      <xdr:rowOff>0</xdr:rowOff>
    </xdr:to>
    <xdr:sp>
      <xdr:nvSpPr>
        <xdr:cNvPr id="494" name="Line 494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495" name="Line 495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555</xdr:row>
      <xdr:rowOff>0</xdr:rowOff>
    </xdr:from>
    <xdr:to>
      <xdr:col>2</xdr:col>
      <xdr:colOff>0</xdr:colOff>
      <xdr:row>555</xdr:row>
      <xdr:rowOff>0</xdr:rowOff>
    </xdr:to>
    <xdr:sp>
      <xdr:nvSpPr>
        <xdr:cNvPr id="496" name="Line 496"/>
        <xdr:cNvSpPr>
          <a:spLocks/>
        </xdr:cNvSpPr>
      </xdr:nvSpPr>
      <xdr:spPr>
        <a:xfrm>
          <a:off x="28575" y="64227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497" name="Line 497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309</xdr:row>
      <xdr:rowOff>0</xdr:rowOff>
    </xdr:from>
    <xdr:to>
      <xdr:col>2</xdr:col>
      <xdr:colOff>0</xdr:colOff>
      <xdr:row>309</xdr:row>
      <xdr:rowOff>0</xdr:rowOff>
    </xdr:to>
    <xdr:sp>
      <xdr:nvSpPr>
        <xdr:cNvPr id="498" name="Line 498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309</xdr:row>
      <xdr:rowOff>0</xdr:rowOff>
    </xdr:from>
    <xdr:to>
      <xdr:col>2</xdr:col>
      <xdr:colOff>0</xdr:colOff>
      <xdr:row>309</xdr:row>
      <xdr:rowOff>0</xdr:rowOff>
    </xdr:to>
    <xdr:sp>
      <xdr:nvSpPr>
        <xdr:cNvPr id="499" name="Line 499"/>
        <xdr:cNvSpPr>
          <a:spLocks/>
        </xdr:cNvSpPr>
      </xdr:nvSpPr>
      <xdr:spPr>
        <a:xfrm>
          <a:off x="28575" y="24441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555</xdr:row>
      <xdr:rowOff>0</xdr:rowOff>
    </xdr:from>
    <xdr:to>
      <xdr:col>2</xdr:col>
      <xdr:colOff>0</xdr:colOff>
      <xdr:row>555</xdr:row>
      <xdr:rowOff>0</xdr:rowOff>
    </xdr:to>
    <xdr:sp>
      <xdr:nvSpPr>
        <xdr:cNvPr id="500" name="Line 500"/>
        <xdr:cNvSpPr>
          <a:spLocks/>
        </xdr:cNvSpPr>
      </xdr:nvSpPr>
      <xdr:spPr>
        <a:xfrm>
          <a:off x="28575" y="64227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555</xdr:row>
      <xdr:rowOff>0</xdr:rowOff>
    </xdr:from>
    <xdr:to>
      <xdr:col>2</xdr:col>
      <xdr:colOff>0</xdr:colOff>
      <xdr:row>555</xdr:row>
      <xdr:rowOff>0</xdr:rowOff>
    </xdr:to>
    <xdr:sp>
      <xdr:nvSpPr>
        <xdr:cNvPr id="501" name="Line 501"/>
        <xdr:cNvSpPr>
          <a:spLocks/>
        </xdr:cNvSpPr>
      </xdr:nvSpPr>
      <xdr:spPr>
        <a:xfrm>
          <a:off x="28575" y="64227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576</xdr:row>
      <xdr:rowOff>0</xdr:rowOff>
    </xdr:from>
    <xdr:to>
      <xdr:col>2</xdr:col>
      <xdr:colOff>0</xdr:colOff>
      <xdr:row>576</xdr:row>
      <xdr:rowOff>0</xdr:rowOff>
    </xdr:to>
    <xdr:sp>
      <xdr:nvSpPr>
        <xdr:cNvPr id="502" name="Line 502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576</xdr:row>
      <xdr:rowOff>0</xdr:rowOff>
    </xdr:from>
    <xdr:to>
      <xdr:col>2</xdr:col>
      <xdr:colOff>0</xdr:colOff>
      <xdr:row>576</xdr:row>
      <xdr:rowOff>0</xdr:rowOff>
    </xdr:to>
    <xdr:sp>
      <xdr:nvSpPr>
        <xdr:cNvPr id="503" name="Line 503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576</xdr:row>
      <xdr:rowOff>0</xdr:rowOff>
    </xdr:from>
    <xdr:to>
      <xdr:col>2</xdr:col>
      <xdr:colOff>0</xdr:colOff>
      <xdr:row>576</xdr:row>
      <xdr:rowOff>0</xdr:rowOff>
    </xdr:to>
    <xdr:sp>
      <xdr:nvSpPr>
        <xdr:cNvPr id="504" name="Line 504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505" name="Line 505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506" name="Line 506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507" name="Line 507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508" name="Line 508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509" name="Line 509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510" name="Line 510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511" name="Line 511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512" name="Line 512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513" name="Line 513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514" name="Line 514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515" name="Line 515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516" name="Line 516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517" name="Line 517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518" name="Line 518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519" name="Line 519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520" name="Line 520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521" name="Line 521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522" name="Line 522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523" name="Line 523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524" name="Line 524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596</xdr:row>
      <xdr:rowOff>0</xdr:rowOff>
    </xdr:from>
    <xdr:to>
      <xdr:col>2</xdr:col>
      <xdr:colOff>0</xdr:colOff>
      <xdr:row>596</xdr:row>
      <xdr:rowOff>0</xdr:rowOff>
    </xdr:to>
    <xdr:sp>
      <xdr:nvSpPr>
        <xdr:cNvPr id="525" name="Line 525"/>
        <xdr:cNvSpPr>
          <a:spLocks/>
        </xdr:cNvSpPr>
      </xdr:nvSpPr>
      <xdr:spPr>
        <a:xfrm>
          <a:off x="28575" y="67065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526" name="Line 526"/>
        <xdr:cNvSpPr>
          <a:spLocks/>
        </xdr:cNvSpPr>
      </xdr:nvSpPr>
      <xdr:spPr>
        <a:xfrm>
          <a:off x="28575" y="83191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527" name="Line 527"/>
        <xdr:cNvSpPr>
          <a:spLocks/>
        </xdr:cNvSpPr>
      </xdr:nvSpPr>
      <xdr:spPr>
        <a:xfrm>
          <a:off x="28575" y="83191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528" name="Line 528"/>
        <xdr:cNvSpPr>
          <a:spLocks/>
        </xdr:cNvSpPr>
      </xdr:nvSpPr>
      <xdr:spPr>
        <a:xfrm>
          <a:off x="28575" y="83191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529" name="Line 529"/>
        <xdr:cNvSpPr>
          <a:spLocks/>
        </xdr:cNvSpPr>
      </xdr:nvSpPr>
      <xdr:spPr>
        <a:xfrm>
          <a:off x="28575" y="83191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530" name="Line 530"/>
        <xdr:cNvSpPr>
          <a:spLocks/>
        </xdr:cNvSpPr>
      </xdr:nvSpPr>
      <xdr:spPr>
        <a:xfrm>
          <a:off x="28575" y="83191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531" name="Line 531"/>
        <xdr:cNvSpPr>
          <a:spLocks/>
        </xdr:cNvSpPr>
      </xdr:nvSpPr>
      <xdr:spPr>
        <a:xfrm>
          <a:off x="28575" y="83191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532" name="Line 532"/>
        <xdr:cNvSpPr>
          <a:spLocks/>
        </xdr:cNvSpPr>
      </xdr:nvSpPr>
      <xdr:spPr>
        <a:xfrm>
          <a:off x="28575" y="83191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533" name="Line 533"/>
        <xdr:cNvSpPr>
          <a:spLocks/>
        </xdr:cNvSpPr>
      </xdr:nvSpPr>
      <xdr:spPr>
        <a:xfrm>
          <a:off x="28575" y="83191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534" name="Line 534"/>
        <xdr:cNvSpPr>
          <a:spLocks/>
        </xdr:cNvSpPr>
      </xdr:nvSpPr>
      <xdr:spPr>
        <a:xfrm>
          <a:off x="28575" y="83191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535" name="Line 535"/>
        <xdr:cNvSpPr>
          <a:spLocks/>
        </xdr:cNvSpPr>
      </xdr:nvSpPr>
      <xdr:spPr>
        <a:xfrm>
          <a:off x="28575" y="83191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536" name="Line 536"/>
        <xdr:cNvSpPr>
          <a:spLocks/>
        </xdr:cNvSpPr>
      </xdr:nvSpPr>
      <xdr:spPr>
        <a:xfrm>
          <a:off x="28575" y="83191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537" name="Line 537"/>
        <xdr:cNvSpPr>
          <a:spLocks/>
        </xdr:cNvSpPr>
      </xdr:nvSpPr>
      <xdr:spPr>
        <a:xfrm>
          <a:off x="28575" y="83191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538" name="Line 538"/>
        <xdr:cNvSpPr>
          <a:spLocks/>
        </xdr:cNvSpPr>
      </xdr:nvSpPr>
      <xdr:spPr>
        <a:xfrm>
          <a:off x="28575" y="83191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539" name="Line 539"/>
        <xdr:cNvSpPr>
          <a:spLocks/>
        </xdr:cNvSpPr>
      </xdr:nvSpPr>
      <xdr:spPr>
        <a:xfrm>
          <a:off x="28575" y="83191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747</xdr:row>
      <xdr:rowOff>0</xdr:rowOff>
    </xdr:from>
    <xdr:to>
      <xdr:col>2</xdr:col>
      <xdr:colOff>0</xdr:colOff>
      <xdr:row>747</xdr:row>
      <xdr:rowOff>0</xdr:rowOff>
    </xdr:to>
    <xdr:sp>
      <xdr:nvSpPr>
        <xdr:cNvPr id="540" name="Line 540"/>
        <xdr:cNvSpPr>
          <a:spLocks/>
        </xdr:cNvSpPr>
      </xdr:nvSpPr>
      <xdr:spPr>
        <a:xfrm>
          <a:off x="28575" y="83191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541" name="Line 541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113</xdr:row>
      <xdr:rowOff>0</xdr:rowOff>
    </xdr:from>
    <xdr:to>
      <xdr:col>2</xdr:col>
      <xdr:colOff>0</xdr:colOff>
      <xdr:row>113</xdr:row>
      <xdr:rowOff>0</xdr:rowOff>
    </xdr:to>
    <xdr:sp>
      <xdr:nvSpPr>
        <xdr:cNvPr id="542" name="Line 542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543" name="Line 543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113</xdr:row>
      <xdr:rowOff>0</xdr:rowOff>
    </xdr:from>
    <xdr:to>
      <xdr:col>2</xdr:col>
      <xdr:colOff>0</xdr:colOff>
      <xdr:row>113</xdr:row>
      <xdr:rowOff>0</xdr:rowOff>
    </xdr:to>
    <xdr:sp>
      <xdr:nvSpPr>
        <xdr:cNvPr id="544" name="Line 544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545" name="Line 545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546" name="Line 546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674</xdr:row>
      <xdr:rowOff>0</xdr:rowOff>
    </xdr:from>
    <xdr:to>
      <xdr:col>2</xdr:col>
      <xdr:colOff>0</xdr:colOff>
      <xdr:row>674</xdr:row>
      <xdr:rowOff>0</xdr:rowOff>
    </xdr:to>
    <xdr:sp>
      <xdr:nvSpPr>
        <xdr:cNvPr id="547" name="Line 547"/>
        <xdr:cNvSpPr>
          <a:spLocks/>
        </xdr:cNvSpPr>
      </xdr:nvSpPr>
      <xdr:spPr>
        <a:xfrm>
          <a:off x="28575" y="73590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548" name="Line 548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549" name="Line 549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550" name="Line 550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674</xdr:row>
      <xdr:rowOff>0</xdr:rowOff>
    </xdr:from>
    <xdr:to>
      <xdr:col>2</xdr:col>
      <xdr:colOff>0</xdr:colOff>
      <xdr:row>674</xdr:row>
      <xdr:rowOff>0</xdr:rowOff>
    </xdr:to>
    <xdr:sp>
      <xdr:nvSpPr>
        <xdr:cNvPr id="551" name="Line 551"/>
        <xdr:cNvSpPr>
          <a:spLocks/>
        </xdr:cNvSpPr>
      </xdr:nvSpPr>
      <xdr:spPr>
        <a:xfrm>
          <a:off x="28575" y="73590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674</xdr:row>
      <xdr:rowOff>0</xdr:rowOff>
    </xdr:from>
    <xdr:to>
      <xdr:col>2</xdr:col>
      <xdr:colOff>0</xdr:colOff>
      <xdr:row>674</xdr:row>
      <xdr:rowOff>0</xdr:rowOff>
    </xdr:to>
    <xdr:sp>
      <xdr:nvSpPr>
        <xdr:cNvPr id="552" name="Line 552"/>
        <xdr:cNvSpPr>
          <a:spLocks/>
        </xdr:cNvSpPr>
      </xdr:nvSpPr>
      <xdr:spPr>
        <a:xfrm>
          <a:off x="28575" y="73590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695</xdr:row>
      <xdr:rowOff>0</xdr:rowOff>
    </xdr:from>
    <xdr:to>
      <xdr:col>2</xdr:col>
      <xdr:colOff>0</xdr:colOff>
      <xdr:row>695</xdr:row>
      <xdr:rowOff>0</xdr:rowOff>
    </xdr:to>
    <xdr:sp>
      <xdr:nvSpPr>
        <xdr:cNvPr id="553" name="Line 553"/>
        <xdr:cNvSpPr>
          <a:spLocks/>
        </xdr:cNvSpPr>
      </xdr:nvSpPr>
      <xdr:spPr>
        <a:xfrm>
          <a:off x="28575" y="76104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695</xdr:row>
      <xdr:rowOff>0</xdr:rowOff>
    </xdr:from>
    <xdr:to>
      <xdr:col>2</xdr:col>
      <xdr:colOff>0</xdr:colOff>
      <xdr:row>695</xdr:row>
      <xdr:rowOff>0</xdr:rowOff>
    </xdr:to>
    <xdr:sp>
      <xdr:nvSpPr>
        <xdr:cNvPr id="554" name="Line 554"/>
        <xdr:cNvSpPr>
          <a:spLocks/>
        </xdr:cNvSpPr>
      </xdr:nvSpPr>
      <xdr:spPr>
        <a:xfrm>
          <a:off x="28575" y="76104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695</xdr:row>
      <xdr:rowOff>0</xdr:rowOff>
    </xdr:from>
    <xdr:to>
      <xdr:col>2</xdr:col>
      <xdr:colOff>0</xdr:colOff>
      <xdr:row>695</xdr:row>
      <xdr:rowOff>0</xdr:rowOff>
    </xdr:to>
    <xdr:sp>
      <xdr:nvSpPr>
        <xdr:cNvPr id="555" name="Line 555"/>
        <xdr:cNvSpPr>
          <a:spLocks/>
        </xdr:cNvSpPr>
      </xdr:nvSpPr>
      <xdr:spPr>
        <a:xfrm>
          <a:off x="28575" y="76104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556" name="Line 556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557" name="Line 557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558" name="Line 558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559" name="Line 559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560" name="Line 560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561" name="Line 561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562" name="Line 562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113</xdr:row>
      <xdr:rowOff>0</xdr:rowOff>
    </xdr:from>
    <xdr:to>
      <xdr:col>2</xdr:col>
      <xdr:colOff>0</xdr:colOff>
      <xdr:row>113</xdr:row>
      <xdr:rowOff>0</xdr:rowOff>
    </xdr:to>
    <xdr:sp>
      <xdr:nvSpPr>
        <xdr:cNvPr id="563" name="Line 563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564" name="Line 564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113</xdr:row>
      <xdr:rowOff>0</xdr:rowOff>
    </xdr:from>
    <xdr:to>
      <xdr:col>2</xdr:col>
      <xdr:colOff>0</xdr:colOff>
      <xdr:row>113</xdr:row>
      <xdr:rowOff>0</xdr:rowOff>
    </xdr:to>
    <xdr:sp>
      <xdr:nvSpPr>
        <xdr:cNvPr id="565" name="Line 565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566" name="Line 566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567" name="Line 567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674</xdr:row>
      <xdr:rowOff>0</xdr:rowOff>
    </xdr:from>
    <xdr:to>
      <xdr:col>2</xdr:col>
      <xdr:colOff>0</xdr:colOff>
      <xdr:row>674</xdr:row>
      <xdr:rowOff>0</xdr:rowOff>
    </xdr:to>
    <xdr:sp>
      <xdr:nvSpPr>
        <xdr:cNvPr id="568" name="Line 568"/>
        <xdr:cNvSpPr>
          <a:spLocks/>
        </xdr:cNvSpPr>
      </xdr:nvSpPr>
      <xdr:spPr>
        <a:xfrm>
          <a:off x="28575" y="73590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569" name="Line 569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570" name="Line 570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571" name="Line 571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674</xdr:row>
      <xdr:rowOff>0</xdr:rowOff>
    </xdr:from>
    <xdr:to>
      <xdr:col>2</xdr:col>
      <xdr:colOff>0</xdr:colOff>
      <xdr:row>674</xdr:row>
      <xdr:rowOff>0</xdr:rowOff>
    </xdr:to>
    <xdr:sp>
      <xdr:nvSpPr>
        <xdr:cNvPr id="572" name="Line 572"/>
        <xdr:cNvSpPr>
          <a:spLocks/>
        </xdr:cNvSpPr>
      </xdr:nvSpPr>
      <xdr:spPr>
        <a:xfrm>
          <a:off x="28575" y="73590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674</xdr:row>
      <xdr:rowOff>0</xdr:rowOff>
    </xdr:from>
    <xdr:to>
      <xdr:col>2</xdr:col>
      <xdr:colOff>0</xdr:colOff>
      <xdr:row>674</xdr:row>
      <xdr:rowOff>0</xdr:rowOff>
    </xdr:to>
    <xdr:sp>
      <xdr:nvSpPr>
        <xdr:cNvPr id="573" name="Line 573"/>
        <xdr:cNvSpPr>
          <a:spLocks/>
        </xdr:cNvSpPr>
      </xdr:nvSpPr>
      <xdr:spPr>
        <a:xfrm>
          <a:off x="28575" y="73590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695</xdr:row>
      <xdr:rowOff>0</xdr:rowOff>
    </xdr:from>
    <xdr:to>
      <xdr:col>2</xdr:col>
      <xdr:colOff>0</xdr:colOff>
      <xdr:row>695</xdr:row>
      <xdr:rowOff>0</xdr:rowOff>
    </xdr:to>
    <xdr:sp>
      <xdr:nvSpPr>
        <xdr:cNvPr id="574" name="Line 574"/>
        <xdr:cNvSpPr>
          <a:spLocks/>
        </xdr:cNvSpPr>
      </xdr:nvSpPr>
      <xdr:spPr>
        <a:xfrm>
          <a:off x="28575" y="76104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695</xdr:row>
      <xdr:rowOff>0</xdr:rowOff>
    </xdr:from>
    <xdr:to>
      <xdr:col>2</xdr:col>
      <xdr:colOff>0</xdr:colOff>
      <xdr:row>695</xdr:row>
      <xdr:rowOff>0</xdr:rowOff>
    </xdr:to>
    <xdr:sp>
      <xdr:nvSpPr>
        <xdr:cNvPr id="575" name="Line 575"/>
        <xdr:cNvSpPr>
          <a:spLocks/>
        </xdr:cNvSpPr>
      </xdr:nvSpPr>
      <xdr:spPr>
        <a:xfrm>
          <a:off x="28575" y="76104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695</xdr:row>
      <xdr:rowOff>0</xdr:rowOff>
    </xdr:from>
    <xdr:to>
      <xdr:col>2</xdr:col>
      <xdr:colOff>0</xdr:colOff>
      <xdr:row>695</xdr:row>
      <xdr:rowOff>0</xdr:rowOff>
    </xdr:to>
    <xdr:sp>
      <xdr:nvSpPr>
        <xdr:cNvPr id="576" name="Line 576"/>
        <xdr:cNvSpPr>
          <a:spLocks/>
        </xdr:cNvSpPr>
      </xdr:nvSpPr>
      <xdr:spPr>
        <a:xfrm>
          <a:off x="28575" y="76104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577" name="Line 577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578" name="Line 578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579" name="Line 579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580" name="Line 580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581" name="Line 581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582" name="Line 582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583" name="Line 583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113</xdr:row>
      <xdr:rowOff>0</xdr:rowOff>
    </xdr:from>
    <xdr:to>
      <xdr:col>2</xdr:col>
      <xdr:colOff>0</xdr:colOff>
      <xdr:row>113</xdr:row>
      <xdr:rowOff>0</xdr:rowOff>
    </xdr:to>
    <xdr:sp>
      <xdr:nvSpPr>
        <xdr:cNvPr id="584" name="Line 584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585" name="Line 585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113</xdr:row>
      <xdr:rowOff>0</xdr:rowOff>
    </xdr:from>
    <xdr:to>
      <xdr:col>2</xdr:col>
      <xdr:colOff>0</xdr:colOff>
      <xdr:row>113</xdr:row>
      <xdr:rowOff>0</xdr:rowOff>
    </xdr:to>
    <xdr:sp>
      <xdr:nvSpPr>
        <xdr:cNvPr id="586" name="Line 586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587" name="Line 587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588" name="Line 588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674</xdr:row>
      <xdr:rowOff>0</xdr:rowOff>
    </xdr:from>
    <xdr:to>
      <xdr:col>2</xdr:col>
      <xdr:colOff>0</xdr:colOff>
      <xdr:row>674</xdr:row>
      <xdr:rowOff>0</xdr:rowOff>
    </xdr:to>
    <xdr:sp>
      <xdr:nvSpPr>
        <xdr:cNvPr id="589" name="Line 589"/>
        <xdr:cNvSpPr>
          <a:spLocks/>
        </xdr:cNvSpPr>
      </xdr:nvSpPr>
      <xdr:spPr>
        <a:xfrm>
          <a:off x="28575" y="73590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590" name="Line 590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591" name="Line 591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592" name="Line 592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674</xdr:row>
      <xdr:rowOff>0</xdr:rowOff>
    </xdr:from>
    <xdr:to>
      <xdr:col>2</xdr:col>
      <xdr:colOff>0</xdr:colOff>
      <xdr:row>674</xdr:row>
      <xdr:rowOff>0</xdr:rowOff>
    </xdr:to>
    <xdr:sp>
      <xdr:nvSpPr>
        <xdr:cNvPr id="593" name="Line 593"/>
        <xdr:cNvSpPr>
          <a:spLocks/>
        </xdr:cNvSpPr>
      </xdr:nvSpPr>
      <xdr:spPr>
        <a:xfrm>
          <a:off x="28575" y="73590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674</xdr:row>
      <xdr:rowOff>0</xdr:rowOff>
    </xdr:from>
    <xdr:to>
      <xdr:col>2</xdr:col>
      <xdr:colOff>0</xdr:colOff>
      <xdr:row>674</xdr:row>
      <xdr:rowOff>0</xdr:rowOff>
    </xdr:to>
    <xdr:sp>
      <xdr:nvSpPr>
        <xdr:cNvPr id="594" name="Line 594"/>
        <xdr:cNvSpPr>
          <a:spLocks/>
        </xdr:cNvSpPr>
      </xdr:nvSpPr>
      <xdr:spPr>
        <a:xfrm>
          <a:off x="28575" y="73590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695</xdr:row>
      <xdr:rowOff>0</xdr:rowOff>
    </xdr:from>
    <xdr:to>
      <xdr:col>2</xdr:col>
      <xdr:colOff>0</xdr:colOff>
      <xdr:row>695</xdr:row>
      <xdr:rowOff>0</xdr:rowOff>
    </xdr:to>
    <xdr:sp>
      <xdr:nvSpPr>
        <xdr:cNvPr id="595" name="Line 595"/>
        <xdr:cNvSpPr>
          <a:spLocks/>
        </xdr:cNvSpPr>
      </xdr:nvSpPr>
      <xdr:spPr>
        <a:xfrm>
          <a:off x="28575" y="76104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695</xdr:row>
      <xdr:rowOff>0</xdr:rowOff>
    </xdr:from>
    <xdr:to>
      <xdr:col>2</xdr:col>
      <xdr:colOff>0</xdr:colOff>
      <xdr:row>695</xdr:row>
      <xdr:rowOff>0</xdr:rowOff>
    </xdr:to>
    <xdr:sp>
      <xdr:nvSpPr>
        <xdr:cNvPr id="596" name="Line 596"/>
        <xdr:cNvSpPr>
          <a:spLocks/>
        </xdr:cNvSpPr>
      </xdr:nvSpPr>
      <xdr:spPr>
        <a:xfrm>
          <a:off x="28575" y="76104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695</xdr:row>
      <xdr:rowOff>0</xdr:rowOff>
    </xdr:from>
    <xdr:to>
      <xdr:col>2</xdr:col>
      <xdr:colOff>0</xdr:colOff>
      <xdr:row>695</xdr:row>
      <xdr:rowOff>0</xdr:rowOff>
    </xdr:to>
    <xdr:sp>
      <xdr:nvSpPr>
        <xdr:cNvPr id="597" name="Line 597"/>
        <xdr:cNvSpPr>
          <a:spLocks/>
        </xdr:cNvSpPr>
      </xdr:nvSpPr>
      <xdr:spPr>
        <a:xfrm>
          <a:off x="28575" y="76104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598" name="Line 598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599" name="Line 599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600" name="Line 600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601" name="Line 601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602" name="Line 602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603" name="Line 603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604" name="Line 604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113</xdr:row>
      <xdr:rowOff>0</xdr:rowOff>
    </xdr:from>
    <xdr:to>
      <xdr:col>2</xdr:col>
      <xdr:colOff>0</xdr:colOff>
      <xdr:row>113</xdr:row>
      <xdr:rowOff>0</xdr:rowOff>
    </xdr:to>
    <xdr:sp>
      <xdr:nvSpPr>
        <xdr:cNvPr id="605" name="Line 605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606" name="Line 606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113</xdr:row>
      <xdr:rowOff>0</xdr:rowOff>
    </xdr:from>
    <xdr:to>
      <xdr:col>2</xdr:col>
      <xdr:colOff>0</xdr:colOff>
      <xdr:row>113</xdr:row>
      <xdr:rowOff>0</xdr:rowOff>
    </xdr:to>
    <xdr:sp>
      <xdr:nvSpPr>
        <xdr:cNvPr id="607" name="Line 607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608" name="Line 608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609" name="Line 609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674</xdr:row>
      <xdr:rowOff>0</xdr:rowOff>
    </xdr:from>
    <xdr:to>
      <xdr:col>2</xdr:col>
      <xdr:colOff>0</xdr:colOff>
      <xdr:row>674</xdr:row>
      <xdr:rowOff>0</xdr:rowOff>
    </xdr:to>
    <xdr:sp>
      <xdr:nvSpPr>
        <xdr:cNvPr id="610" name="Line 610"/>
        <xdr:cNvSpPr>
          <a:spLocks/>
        </xdr:cNvSpPr>
      </xdr:nvSpPr>
      <xdr:spPr>
        <a:xfrm>
          <a:off x="28575" y="73590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611" name="Line 611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612" name="Line 612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613" name="Line 613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674</xdr:row>
      <xdr:rowOff>0</xdr:rowOff>
    </xdr:from>
    <xdr:to>
      <xdr:col>2</xdr:col>
      <xdr:colOff>0</xdr:colOff>
      <xdr:row>674</xdr:row>
      <xdr:rowOff>0</xdr:rowOff>
    </xdr:to>
    <xdr:sp>
      <xdr:nvSpPr>
        <xdr:cNvPr id="614" name="Line 614"/>
        <xdr:cNvSpPr>
          <a:spLocks/>
        </xdr:cNvSpPr>
      </xdr:nvSpPr>
      <xdr:spPr>
        <a:xfrm>
          <a:off x="28575" y="73590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674</xdr:row>
      <xdr:rowOff>0</xdr:rowOff>
    </xdr:from>
    <xdr:to>
      <xdr:col>2</xdr:col>
      <xdr:colOff>0</xdr:colOff>
      <xdr:row>674</xdr:row>
      <xdr:rowOff>0</xdr:rowOff>
    </xdr:to>
    <xdr:sp>
      <xdr:nvSpPr>
        <xdr:cNvPr id="615" name="Line 615"/>
        <xdr:cNvSpPr>
          <a:spLocks/>
        </xdr:cNvSpPr>
      </xdr:nvSpPr>
      <xdr:spPr>
        <a:xfrm>
          <a:off x="28575" y="73590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695</xdr:row>
      <xdr:rowOff>0</xdr:rowOff>
    </xdr:from>
    <xdr:to>
      <xdr:col>2</xdr:col>
      <xdr:colOff>0</xdr:colOff>
      <xdr:row>695</xdr:row>
      <xdr:rowOff>0</xdr:rowOff>
    </xdr:to>
    <xdr:sp>
      <xdr:nvSpPr>
        <xdr:cNvPr id="616" name="Line 616"/>
        <xdr:cNvSpPr>
          <a:spLocks/>
        </xdr:cNvSpPr>
      </xdr:nvSpPr>
      <xdr:spPr>
        <a:xfrm>
          <a:off x="28575" y="76104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695</xdr:row>
      <xdr:rowOff>0</xdr:rowOff>
    </xdr:from>
    <xdr:to>
      <xdr:col>2</xdr:col>
      <xdr:colOff>0</xdr:colOff>
      <xdr:row>695</xdr:row>
      <xdr:rowOff>0</xdr:rowOff>
    </xdr:to>
    <xdr:sp>
      <xdr:nvSpPr>
        <xdr:cNvPr id="617" name="Line 617"/>
        <xdr:cNvSpPr>
          <a:spLocks/>
        </xdr:cNvSpPr>
      </xdr:nvSpPr>
      <xdr:spPr>
        <a:xfrm>
          <a:off x="28575" y="76104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695</xdr:row>
      <xdr:rowOff>0</xdr:rowOff>
    </xdr:from>
    <xdr:to>
      <xdr:col>2</xdr:col>
      <xdr:colOff>0</xdr:colOff>
      <xdr:row>695</xdr:row>
      <xdr:rowOff>0</xdr:rowOff>
    </xdr:to>
    <xdr:sp>
      <xdr:nvSpPr>
        <xdr:cNvPr id="618" name="Line 618"/>
        <xdr:cNvSpPr>
          <a:spLocks/>
        </xdr:cNvSpPr>
      </xdr:nvSpPr>
      <xdr:spPr>
        <a:xfrm>
          <a:off x="28575" y="76104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619" name="Line 619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620" name="Line 620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621" name="Line 621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622" name="Line 622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623" name="Line 623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624" name="Line 624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625" name="Line 625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113</xdr:row>
      <xdr:rowOff>0</xdr:rowOff>
    </xdr:from>
    <xdr:to>
      <xdr:col>2</xdr:col>
      <xdr:colOff>0</xdr:colOff>
      <xdr:row>113</xdr:row>
      <xdr:rowOff>0</xdr:rowOff>
    </xdr:to>
    <xdr:sp>
      <xdr:nvSpPr>
        <xdr:cNvPr id="626" name="Line 626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627" name="Line 627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113</xdr:row>
      <xdr:rowOff>0</xdr:rowOff>
    </xdr:from>
    <xdr:to>
      <xdr:col>2</xdr:col>
      <xdr:colOff>0</xdr:colOff>
      <xdr:row>113</xdr:row>
      <xdr:rowOff>0</xdr:rowOff>
    </xdr:to>
    <xdr:sp>
      <xdr:nvSpPr>
        <xdr:cNvPr id="628" name="Line 628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629" name="Line 629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630" name="Line 630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674</xdr:row>
      <xdr:rowOff>0</xdr:rowOff>
    </xdr:from>
    <xdr:to>
      <xdr:col>2</xdr:col>
      <xdr:colOff>0</xdr:colOff>
      <xdr:row>674</xdr:row>
      <xdr:rowOff>0</xdr:rowOff>
    </xdr:to>
    <xdr:sp>
      <xdr:nvSpPr>
        <xdr:cNvPr id="631" name="Line 631"/>
        <xdr:cNvSpPr>
          <a:spLocks/>
        </xdr:cNvSpPr>
      </xdr:nvSpPr>
      <xdr:spPr>
        <a:xfrm>
          <a:off x="28575" y="73590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</xdr:row>
      <xdr:rowOff>0</xdr:rowOff>
    </xdr:from>
    <xdr:to>
      <xdr:col>2</xdr:col>
      <xdr:colOff>0</xdr:colOff>
      <xdr:row>55</xdr:row>
      <xdr:rowOff>0</xdr:rowOff>
    </xdr:to>
    <xdr:sp>
      <xdr:nvSpPr>
        <xdr:cNvPr id="632" name="Line 632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633" name="Line 633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314</xdr:row>
      <xdr:rowOff>0</xdr:rowOff>
    </xdr:from>
    <xdr:to>
      <xdr:col>2</xdr:col>
      <xdr:colOff>0</xdr:colOff>
      <xdr:row>314</xdr:row>
      <xdr:rowOff>0</xdr:rowOff>
    </xdr:to>
    <xdr:sp>
      <xdr:nvSpPr>
        <xdr:cNvPr id="634" name="Line 634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674</xdr:row>
      <xdr:rowOff>0</xdr:rowOff>
    </xdr:from>
    <xdr:to>
      <xdr:col>2</xdr:col>
      <xdr:colOff>0</xdr:colOff>
      <xdr:row>674</xdr:row>
      <xdr:rowOff>0</xdr:rowOff>
    </xdr:to>
    <xdr:sp>
      <xdr:nvSpPr>
        <xdr:cNvPr id="635" name="Line 635"/>
        <xdr:cNvSpPr>
          <a:spLocks/>
        </xdr:cNvSpPr>
      </xdr:nvSpPr>
      <xdr:spPr>
        <a:xfrm>
          <a:off x="28575" y="73590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674</xdr:row>
      <xdr:rowOff>0</xdr:rowOff>
    </xdr:from>
    <xdr:to>
      <xdr:col>2</xdr:col>
      <xdr:colOff>0</xdr:colOff>
      <xdr:row>674</xdr:row>
      <xdr:rowOff>0</xdr:rowOff>
    </xdr:to>
    <xdr:sp>
      <xdr:nvSpPr>
        <xdr:cNvPr id="636" name="Line 636"/>
        <xdr:cNvSpPr>
          <a:spLocks/>
        </xdr:cNvSpPr>
      </xdr:nvSpPr>
      <xdr:spPr>
        <a:xfrm>
          <a:off x="28575" y="73590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695</xdr:row>
      <xdr:rowOff>0</xdr:rowOff>
    </xdr:from>
    <xdr:to>
      <xdr:col>2</xdr:col>
      <xdr:colOff>0</xdr:colOff>
      <xdr:row>695</xdr:row>
      <xdr:rowOff>0</xdr:rowOff>
    </xdr:to>
    <xdr:sp>
      <xdr:nvSpPr>
        <xdr:cNvPr id="637" name="Line 637"/>
        <xdr:cNvSpPr>
          <a:spLocks/>
        </xdr:cNvSpPr>
      </xdr:nvSpPr>
      <xdr:spPr>
        <a:xfrm>
          <a:off x="28575" y="76104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695</xdr:row>
      <xdr:rowOff>0</xdr:rowOff>
    </xdr:from>
    <xdr:to>
      <xdr:col>2</xdr:col>
      <xdr:colOff>0</xdr:colOff>
      <xdr:row>695</xdr:row>
      <xdr:rowOff>0</xdr:rowOff>
    </xdr:to>
    <xdr:sp>
      <xdr:nvSpPr>
        <xdr:cNvPr id="638" name="Line 638"/>
        <xdr:cNvSpPr>
          <a:spLocks/>
        </xdr:cNvSpPr>
      </xdr:nvSpPr>
      <xdr:spPr>
        <a:xfrm>
          <a:off x="28575" y="76104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695</xdr:row>
      <xdr:rowOff>0</xdr:rowOff>
    </xdr:from>
    <xdr:to>
      <xdr:col>2</xdr:col>
      <xdr:colOff>0</xdr:colOff>
      <xdr:row>695</xdr:row>
      <xdr:rowOff>0</xdr:rowOff>
    </xdr:to>
    <xdr:sp>
      <xdr:nvSpPr>
        <xdr:cNvPr id="639" name="Line 639"/>
        <xdr:cNvSpPr>
          <a:spLocks/>
        </xdr:cNvSpPr>
      </xdr:nvSpPr>
      <xdr:spPr>
        <a:xfrm>
          <a:off x="28575" y="76104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640" name="Line 640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641" name="Line 641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642" name="Line 642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643" name="Line 643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644" name="Line 644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645" name="Line 645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646" name="Line 646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647" name="Line 647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648" name="Line 648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649" name="Line 649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650" name="Line 650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651" name="Line 651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652" name="Line 652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653" name="Line 653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654" name="Line 654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655" name="Line 655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656" name="Line 656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657" name="Line 657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658" name="Line 658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659" name="Line 659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715</xdr:row>
      <xdr:rowOff>0</xdr:rowOff>
    </xdr:from>
    <xdr:to>
      <xdr:col>2</xdr:col>
      <xdr:colOff>0</xdr:colOff>
      <xdr:row>715</xdr:row>
      <xdr:rowOff>0</xdr:rowOff>
    </xdr:to>
    <xdr:sp>
      <xdr:nvSpPr>
        <xdr:cNvPr id="660" name="Line 660"/>
        <xdr:cNvSpPr>
          <a:spLocks/>
        </xdr:cNvSpPr>
      </xdr:nvSpPr>
      <xdr:spPr>
        <a:xfrm>
          <a:off x="28575" y="786193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880</xdr:row>
      <xdr:rowOff>0</xdr:rowOff>
    </xdr:from>
    <xdr:to>
      <xdr:col>2</xdr:col>
      <xdr:colOff>0</xdr:colOff>
      <xdr:row>880</xdr:row>
      <xdr:rowOff>0</xdr:rowOff>
    </xdr:to>
    <xdr:sp>
      <xdr:nvSpPr>
        <xdr:cNvPr id="661" name="Line 661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880</xdr:row>
      <xdr:rowOff>0</xdr:rowOff>
    </xdr:from>
    <xdr:to>
      <xdr:col>2</xdr:col>
      <xdr:colOff>0</xdr:colOff>
      <xdr:row>880</xdr:row>
      <xdr:rowOff>0</xdr:rowOff>
    </xdr:to>
    <xdr:sp>
      <xdr:nvSpPr>
        <xdr:cNvPr id="662" name="Line 662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880</xdr:row>
      <xdr:rowOff>0</xdr:rowOff>
    </xdr:from>
    <xdr:to>
      <xdr:col>2</xdr:col>
      <xdr:colOff>0</xdr:colOff>
      <xdr:row>880</xdr:row>
      <xdr:rowOff>0</xdr:rowOff>
    </xdr:to>
    <xdr:sp>
      <xdr:nvSpPr>
        <xdr:cNvPr id="663" name="Line 663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880</xdr:row>
      <xdr:rowOff>0</xdr:rowOff>
    </xdr:from>
    <xdr:to>
      <xdr:col>2</xdr:col>
      <xdr:colOff>0</xdr:colOff>
      <xdr:row>880</xdr:row>
      <xdr:rowOff>0</xdr:rowOff>
    </xdr:to>
    <xdr:sp>
      <xdr:nvSpPr>
        <xdr:cNvPr id="664" name="Line 664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880</xdr:row>
      <xdr:rowOff>0</xdr:rowOff>
    </xdr:from>
    <xdr:to>
      <xdr:col>2</xdr:col>
      <xdr:colOff>0</xdr:colOff>
      <xdr:row>880</xdr:row>
      <xdr:rowOff>0</xdr:rowOff>
    </xdr:to>
    <xdr:sp>
      <xdr:nvSpPr>
        <xdr:cNvPr id="665" name="Line 665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880</xdr:row>
      <xdr:rowOff>0</xdr:rowOff>
    </xdr:from>
    <xdr:to>
      <xdr:col>2</xdr:col>
      <xdr:colOff>0</xdr:colOff>
      <xdr:row>880</xdr:row>
      <xdr:rowOff>0</xdr:rowOff>
    </xdr:to>
    <xdr:sp>
      <xdr:nvSpPr>
        <xdr:cNvPr id="666" name="Line 666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880</xdr:row>
      <xdr:rowOff>0</xdr:rowOff>
    </xdr:from>
    <xdr:to>
      <xdr:col>2</xdr:col>
      <xdr:colOff>0</xdr:colOff>
      <xdr:row>880</xdr:row>
      <xdr:rowOff>0</xdr:rowOff>
    </xdr:to>
    <xdr:sp>
      <xdr:nvSpPr>
        <xdr:cNvPr id="667" name="Line 667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880</xdr:row>
      <xdr:rowOff>0</xdr:rowOff>
    </xdr:from>
    <xdr:to>
      <xdr:col>2</xdr:col>
      <xdr:colOff>0</xdr:colOff>
      <xdr:row>880</xdr:row>
      <xdr:rowOff>0</xdr:rowOff>
    </xdr:to>
    <xdr:sp>
      <xdr:nvSpPr>
        <xdr:cNvPr id="668" name="Line 668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880</xdr:row>
      <xdr:rowOff>0</xdr:rowOff>
    </xdr:from>
    <xdr:to>
      <xdr:col>2</xdr:col>
      <xdr:colOff>0</xdr:colOff>
      <xdr:row>880</xdr:row>
      <xdr:rowOff>0</xdr:rowOff>
    </xdr:to>
    <xdr:sp>
      <xdr:nvSpPr>
        <xdr:cNvPr id="669" name="Line 669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880</xdr:row>
      <xdr:rowOff>0</xdr:rowOff>
    </xdr:from>
    <xdr:to>
      <xdr:col>2</xdr:col>
      <xdr:colOff>0</xdr:colOff>
      <xdr:row>880</xdr:row>
      <xdr:rowOff>0</xdr:rowOff>
    </xdr:to>
    <xdr:sp>
      <xdr:nvSpPr>
        <xdr:cNvPr id="670" name="Line 670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880</xdr:row>
      <xdr:rowOff>0</xdr:rowOff>
    </xdr:from>
    <xdr:to>
      <xdr:col>2</xdr:col>
      <xdr:colOff>0</xdr:colOff>
      <xdr:row>880</xdr:row>
      <xdr:rowOff>0</xdr:rowOff>
    </xdr:to>
    <xdr:sp>
      <xdr:nvSpPr>
        <xdr:cNvPr id="671" name="Line 671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880</xdr:row>
      <xdr:rowOff>0</xdr:rowOff>
    </xdr:from>
    <xdr:to>
      <xdr:col>2</xdr:col>
      <xdr:colOff>0</xdr:colOff>
      <xdr:row>880</xdr:row>
      <xdr:rowOff>0</xdr:rowOff>
    </xdr:to>
    <xdr:sp>
      <xdr:nvSpPr>
        <xdr:cNvPr id="672" name="Line 672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880</xdr:row>
      <xdr:rowOff>0</xdr:rowOff>
    </xdr:from>
    <xdr:to>
      <xdr:col>2</xdr:col>
      <xdr:colOff>0</xdr:colOff>
      <xdr:row>880</xdr:row>
      <xdr:rowOff>0</xdr:rowOff>
    </xdr:to>
    <xdr:sp>
      <xdr:nvSpPr>
        <xdr:cNvPr id="673" name="Line 673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880</xdr:row>
      <xdr:rowOff>0</xdr:rowOff>
    </xdr:from>
    <xdr:to>
      <xdr:col>2</xdr:col>
      <xdr:colOff>0</xdr:colOff>
      <xdr:row>880</xdr:row>
      <xdr:rowOff>0</xdr:rowOff>
    </xdr:to>
    <xdr:sp>
      <xdr:nvSpPr>
        <xdr:cNvPr id="674" name="Line 674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880</xdr:row>
      <xdr:rowOff>0</xdr:rowOff>
    </xdr:from>
    <xdr:to>
      <xdr:col>2</xdr:col>
      <xdr:colOff>0</xdr:colOff>
      <xdr:row>880</xdr:row>
      <xdr:rowOff>0</xdr:rowOff>
    </xdr:to>
    <xdr:sp>
      <xdr:nvSpPr>
        <xdr:cNvPr id="675" name="Line 675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116</xdr:row>
      <xdr:rowOff>0</xdr:rowOff>
    </xdr:from>
    <xdr:to>
      <xdr:col>2</xdr:col>
      <xdr:colOff>0</xdr:colOff>
      <xdr:row>116</xdr:row>
      <xdr:rowOff>0</xdr:rowOff>
    </xdr:to>
    <xdr:sp>
      <xdr:nvSpPr>
        <xdr:cNvPr id="676" name="Line 676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677" name="Line 677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116</xdr:row>
      <xdr:rowOff>0</xdr:rowOff>
    </xdr:from>
    <xdr:to>
      <xdr:col>2</xdr:col>
      <xdr:colOff>0</xdr:colOff>
      <xdr:row>116</xdr:row>
      <xdr:rowOff>0</xdr:rowOff>
    </xdr:to>
    <xdr:sp>
      <xdr:nvSpPr>
        <xdr:cNvPr id="678" name="Line 678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230</xdr:row>
      <xdr:rowOff>0</xdr:rowOff>
    </xdr:from>
    <xdr:to>
      <xdr:col>2</xdr:col>
      <xdr:colOff>0</xdr:colOff>
      <xdr:row>230</xdr:row>
      <xdr:rowOff>0</xdr:rowOff>
    </xdr:to>
    <xdr:sp>
      <xdr:nvSpPr>
        <xdr:cNvPr id="679" name="Line 679"/>
        <xdr:cNvSpPr>
          <a:spLocks/>
        </xdr:cNvSpPr>
      </xdr:nvSpPr>
      <xdr:spPr>
        <a:xfrm>
          <a:off x="28575" y="220218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680" name="Line 680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297</xdr:row>
      <xdr:rowOff>0</xdr:rowOff>
    </xdr:from>
    <xdr:to>
      <xdr:col>2</xdr:col>
      <xdr:colOff>0</xdr:colOff>
      <xdr:row>297</xdr:row>
      <xdr:rowOff>0</xdr:rowOff>
    </xdr:to>
    <xdr:sp>
      <xdr:nvSpPr>
        <xdr:cNvPr id="681" name="Line 681"/>
        <xdr:cNvSpPr>
          <a:spLocks/>
        </xdr:cNvSpPr>
      </xdr:nvSpPr>
      <xdr:spPr>
        <a:xfrm>
          <a:off x="28575" y="239839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682" name="Line 682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230</xdr:row>
      <xdr:rowOff>0</xdr:rowOff>
    </xdr:from>
    <xdr:to>
      <xdr:col>2</xdr:col>
      <xdr:colOff>0</xdr:colOff>
      <xdr:row>230</xdr:row>
      <xdr:rowOff>0</xdr:rowOff>
    </xdr:to>
    <xdr:sp>
      <xdr:nvSpPr>
        <xdr:cNvPr id="683" name="Line 683"/>
        <xdr:cNvSpPr>
          <a:spLocks/>
        </xdr:cNvSpPr>
      </xdr:nvSpPr>
      <xdr:spPr>
        <a:xfrm>
          <a:off x="28575" y="220218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230</xdr:row>
      <xdr:rowOff>0</xdr:rowOff>
    </xdr:from>
    <xdr:to>
      <xdr:col>2</xdr:col>
      <xdr:colOff>0</xdr:colOff>
      <xdr:row>230</xdr:row>
      <xdr:rowOff>0</xdr:rowOff>
    </xdr:to>
    <xdr:sp>
      <xdr:nvSpPr>
        <xdr:cNvPr id="684" name="Line 684"/>
        <xdr:cNvSpPr>
          <a:spLocks/>
        </xdr:cNvSpPr>
      </xdr:nvSpPr>
      <xdr:spPr>
        <a:xfrm>
          <a:off x="28575" y="220218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297</xdr:row>
      <xdr:rowOff>0</xdr:rowOff>
    </xdr:from>
    <xdr:to>
      <xdr:col>2</xdr:col>
      <xdr:colOff>0</xdr:colOff>
      <xdr:row>297</xdr:row>
      <xdr:rowOff>0</xdr:rowOff>
    </xdr:to>
    <xdr:sp>
      <xdr:nvSpPr>
        <xdr:cNvPr id="685" name="Line 685"/>
        <xdr:cNvSpPr>
          <a:spLocks/>
        </xdr:cNvSpPr>
      </xdr:nvSpPr>
      <xdr:spPr>
        <a:xfrm>
          <a:off x="28575" y="239839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297</xdr:row>
      <xdr:rowOff>0</xdr:rowOff>
    </xdr:from>
    <xdr:to>
      <xdr:col>2</xdr:col>
      <xdr:colOff>0</xdr:colOff>
      <xdr:row>297</xdr:row>
      <xdr:rowOff>0</xdr:rowOff>
    </xdr:to>
    <xdr:sp>
      <xdr:nvSpPr>
        <xdr:cNvPr id="686" name="Line 686"/>
        <xdr:cNvSpPr>
          <a:spLocks/>
        </xdr:cNvSpPr>
      </xdr:nvSpPr>
      <xdr:spPr>
        <a:xfrm>
          <a:off x="28575" y="239839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339</xdr:row>
      <xdr:rowOff>0</xdr:rowOff>
    </xdr:from>
    <xdr:to>
      <xdr:col>2</xdr:col>
      <xdr:colOff>0</xdr:colOff>
      <xdr:row>339</xdr:row>
      <xdr:rowOff>0</xdr:rowOff>
    </xdr:to>
    <xdr:sp>
      <xdr:nvSpPr>
        <xdr:cNvPr id="687" name="Line 687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339</xdr:row>
      <xdr:rowOff>0</xdr:rowOff>
    </xdr:from>
    <xdr:to>
      <xdr:col>2</xdr:col>
      <xdr:colOff>0</xdr:colOff>
      <xdr:row>339</xdr:row>
      <xdr:rowOff>0</xdr:rowOff>
    </xdr:to>
    <xdr:sp>
      <xdr:nvSpPr>
        <xdr:cNvPr id="688" name="Line 688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339</xdr:row>
      <xdr:rowOff>0</xdr:rowOff>
    </xdr:from>
    <xdr:to>
      <xdr:col>2</xdr:col>
      <xdr:colOff>0</xdr:colOff>
      <xdr:row>339</xdr:row>
      <xdr:rowOff>0</xdr:rowOff>
    </xdr:to>
    <xdr:sp>
      <xdr:nvSpPr>
        <xdr:cNvPr id="689" name="Line 689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690" name="Line 69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691" name="Line 69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692" name="Line 69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116</xdr:row>
      <xdr:rowOff>0</xdr:rowOff>
    </xdr:from>
    <xdr:to>
      <xdr:col>2</xdr:col>
      <xdr:colOff>0</xdr:colOff>
      <xdr:row>116</xdr:row>
      <xdr:rowOff>0</xdr:rowOff>
    </xdr:to>
    <xdr:sp>
      <xdr:nvSpPr>
        <xdr:cNvPr id="693" name="Line 693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694" name="Line 694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116</xdr:row>
      <xdr:rowOff>0</xdr:rowOff>
    </xdr:from>
    <xdr:to>
      <xdr:col>2</xdr:col>
      <xdr:colOff>0</xdr:colOff>
      <xdr:row>116</xdr:row>
      <xdr:rowOff>0</xdr:rowOff>
    </xdr:to>
    <xdr:sp>
      <xdr:nvSpPr>
        <xdr:cNvPr id="695" name="Line 695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230</xdr:row>
      <xdr:rowOff>0</xdr:rowOff>
    </xdr:from>
    <xdr:to>
      <xdr:col>2</xdr:col>
      <xdr:colOff>0</xdr:colOff>
      <xdr:row>230</xdr:row>
      <xdr:rowOff>0</xdr:rowOff>
    </xdr:to>
    <xdr:sp>
      <xdr:nvSpPr>
        <xdr:cNvPr id="696" name="Line 696"/>
        <xdr:cNvSpPr>
          <a:spLocks/>
        </xdr:cNvSpPr>
      </xdr:nvSpPr>
      <xdr:spPr>
        <a:xfrm>
          <a:off x="28575" y="220218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697" name="Line 697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297</xdr:row>
      <xdr:rowOff>0</xdr:rowOff>
    </xdr:from>
    <xdr:to>
      <xdr:col>2</xdr:col>
      <xdr:colOff>0</xdr:colOff>
      <xdr:row>297</xdr:row>
      <xdr:rowOff>0</xdr:rowOff>
    </xdr:to>
    <xdr:sp>
      <xdr:nvSpPr>
        <xdr:cNvPr id="698" name="Line 698"/>
        <xdr:cNvSpPr>
          <a:spLocks/>
        </xdr:cNvSpPr>
      </xdr:nvSpPr>
      <xdr:spPr>
        <a:xfrm>
          <a:off x="28575" y="239839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699" name="Line 699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230</xdr:row>
      <xdr:rowOff>0</xdr:rowOff>
    </xdr:from>
    <xdr:to>
      <xdr:col>2</xdr:col>
      <xdr:colOff>0</xdr:colOff>
      <xdr:row>230</xdr:row>
      <xdr:rowOff>0</xdr:rowOff>
    </xdr:to>
    <xdr:sp>
      <xdr:nvSpPr>
        <xdr:cNvPr id="700" name="Line 700"/>
        <xdr:cNvSpPr>
          <a:spLocks/>
        </xdr:cNvSpPr>
      </xdr:nvSpPr>
      <xdr:spPr>
        <a:xfrm>
          <a:off x="28575" y="220218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230</xdr:row>
      <xdr:rowOff>0</xdr:rowOff>
    </xdr:from>
    <xdr:to>
      <xdr:col>2</xdr:col>
      <xdr:colOff>0</xdr:colOff>
      <xdr:row>230</xdr:row>
      <xdr:rowOff>0</xdr:rowOff>
    </xdr:to>
    <xdr:sp>
      <xdr:nvSpPr>
        <xdr:cNvPr id="701" name="Line 701"/>
        <xdr:cNvSpPr>
          <a:spLocks/>
        </xdr:cNvSpPr>
      </xdr:nvSpPr>
      <xdr:spPr>
        <a:xfrm>
          <a:off x="28575" y="220218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297</xdr:row>
      <xdr:rowOff>0</xdr:rowOff>
    </xdr:from>
    <xdr:to>
      <xdr:col>2</xdr:col>
      <xdr:colOff>0</xdr:colOff>
      <xdr:row>297</xdr:row>
      <xdr:rowOff>0</xdr:rowOff>
    </xdr:to>
    <xdr:sp>
      <xdr:nvSpPr>
        <xdr:cNvPr id="702" name="Line 702"/>
        <xdr:cNvSpPr>
          <a:spLocks/>
        </xdr:cNvSpPr>
      </xdr:nvSpPr>
      <xdr:spPr>
        <a:xfrm>
          <a:off x="28575" y="239839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297</xdr:row>
      <xdr:rowOff>0</xdr:rowOff>
    </xdr:from>
    <xdr:to>
      <xdr:col>2</xdr:col>
      <xdr:colOff>0</xdr:colOff>
      <xdr:row>297</xdr:row>
      <xdr:rowOff>0</xdr:rowOff>
    </xdr:to>
    <xdr:sp>
      <xdr:nvSpPr>
        <xdr:cNvPr id="703" name="Line 703"/>
        <xdr:cNvSpPr>
          <a:spLocks/>
        </xdr:cNvSpPr>
      </xdr:nvSpPr>
      <xdr:spPr>
        <a:xfrm>
          <a:off x="28575" y="239839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339</xdr:row>
      <xdr:rowOff>0</xdr:rowOff>
    </xdr:from>
    <xdr:to>
      <xdr:col>2</xdr:col>
      <xdr:colOff>0</xdr:colOff>
      <xdr:row>339</xdr:row>
      <xdr:rowOff>0</xdr:rowOff>
    </xdr:to>
    <xdr:sp>
      <xdr:nvSpPr>
        <xdr:cNvPr id="704" name="Line 704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339</xdr:row>
      <xdr:rowOff>0</xdr:rowOff>
    </xdr:from>
    <xdr:to>
      <xdr:col>2</xdr:col>
      <xdr:colOff>0</xdr:colOff>
      <xdr:row>339</xdr:row>
      <xdr:rowOff>0</xdr:rowOff>
    </xdr:to>
    <xdr:sp>
      <xdr:nvSpPr>
        <xdr:cNvPr id="705" name="Line 705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339</xdr:row>
      <xdr:rowOff>0</xdr:rowOff>
    </xdr:from>
    <xdr:to>
      <xdr:col>2</xdr:col>
      <xdr:colOff>0</xdr:colOff>
      <xdr:row>339</xdr:row>
      <xdr:rowOff>0</xdr:rowOff>
    </xdr:to>
    <xdr:sp>
      <xdr:nvSpPr>
        <xdr:cNvPr id="706" name="Line 706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707" name="Line 70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708" name="Line 70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709" name="Line 70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710" name="Line 71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711" name="Line 71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712" name="Line 71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713" name="Line 71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714" name="Line 71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715" name="Line 71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716" name="Line 71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717" name="Line 71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718" name="Line 71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719" name="Line 71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720" name="Line 72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721" name="Line 72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722" name="Line 72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723" name="Line 72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724" name="Line 72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725" name="Line 72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726" name="Line 72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727" name="Line 72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728" name="Line 728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729" name="Line 729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730" name="Line 730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731" name="Line 731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95</xdr:row>
      <xdr:rowOff>0</xdr:rowOff>
    </xdr:from>
    <xdr:to>
      <xdr:col>2</xdr:col>
      <xdr:colOff>0</xdr:colOff>
      <xdr:row>95</xdr:row>
      <xdr:rowOff>0</xdr:rowOff>
    </xdr:to>
    <xdr:sp>
      <xdr:nvSpPr>
        <xdr:cNvPr id="732" name="Line 732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733" name="Line 733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295</xdr:row>
      <xdr:rowOff>0</xdr:rowOff>
    </xdr:from>
    <xdr:to>
      <xdr:col>2</xdr:col>
      <xdr:colOff>0</xdr:colOff>
      <xdr:row>295</xdr:row>
      <xdr:rowOff>0</xdr:rowOff>
    </xdr:to>
    <xdr:sp>
      <xdr:nvSpPr>
        <xdr:cNvPr id="734" name="Line 734"/>
        <xdr:cNvSpPr>
          <a:spLocks/>
        </xdr:cNvSpPr>
      </xdr:nvSpPr>
      <xdr:spPr>
        <a:xfrm>
          <a:off x="28575" y="239839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735" name="Line 735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95</xdr:row>
      <xdr:rowOff>0</xdr:rowOff>
    </xdr:from>
    <xdr:to>
      <xdr:col>2</xdr:col>
      <xdr:colOff>0</xdr:colOff>
      <xdr:row>95</xdr:row>
      <xdr:rowOff>0</xdr:rowOff>
    </xdr:to>
    <xdr:sp>
      <xdr:nvSpPr>
        <xdr:cNvPr id="736" name="Line 736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95</xdr:row>
      <xdr:rowOff>0</xdr:rowOff>
    </xdr:from>
    <xdr:to>
      <xdr:col>2</xdr:col>
      <xdr:colOff>0</xdr:colOff>
      <xdr:row>95</xdr:row>
      <xdr:rowOff>0</xdr:rowOff>
    </xdr:to>
    <xdr:sp>
      <xdr:nvSpPr>
        <xdr:cNvPr id="737" name="Line 737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295</xdr:row>
      <xdr:rowOff>0</xdr:rowOff>
    </xdr:from>
    <xdr:to>
      <xdr:col>2</xdr:col>
      <xdr:colOff>0</xdr:colOff>
      <xdr:row>295</xdr:row>
      <xdr:rowOff>0</xdr:rowOff>
    </xdr:to>
    <xdr:sp>
      <xdr:nvSpPr>
        <xdr:cNvPr id="738" name="Line 738"/>
        <xdr:cNvSpPr>
          <a:spLocks/>
        </xdr:cNvSpPr>
      </xdr:nvSpPr>
      <xdr:spPr>
        <a:xfrm>
          <a:off x="28575" y="239839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295</xdr:row>
      <xdr:rowOff>0</xdr:rowOff>
    </xdr:from>
    <xdr:to>
      <xdr:col>2</xdr:col>
      <xdr:colOff>0</xdr:colOff>
      <xdr:row>295</xdr:row>
      <xdr:rowOff>0</xdr:rowOff>
    </xdr:to>
    <xdr:sp>
      <xdr:nvSpPr>
        <xdr:cNvPr id="739" name="Line 739"/>
        <xdr:cNvSpPr>
          <a:spLocks/>
        </xdr:cNvSpPr>
      </xdr:nvSpPr>
      <xdr:spPr>
        <a:xfrm>
          <a:off x="28575" y="239839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316</xdr:row>
      <xdr:rowOff>0</xdr:rowOff>
    </xdr:from>
    <xdr:to>
      <xdr:col>2</xdr:col>
      <xdr:colOff>0</xdr:colOff>
      <xdr:row>316</xdr:row>
      <xdr:rowOff>0</xdr:rowOff>
    </xdr:to>
    <xdr:sp>
      <xdr:nvSpPr>
        <xdr:cNvPr id="740" name="Line 740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316</xdr:row>
      <xdr:rowOff>0</xdr:rowOff>
    </xdr:from>
    <xdr:to>
      <xdr:col>2</xdr:col>
      <xdr:colOff>0</xdr:colOff>
      <xdr:row>316</xdr:row>
      <xdr:rowOff>0</xdr:rowOff>
    </xdr:to>
    <xdr:sp>
      <xdr:nvSpPr>
        <xdr:cNvPr id="741" name="Line 741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316</xdr:row>
      <xdr:rowOff>0</xdr:rowOff>
    </xdr:from>
    <xdr:to>
      <xdr:col>2</xdr:col>
      <xdr:colOff>0</xdr:colOff>
      <xdr:row>316</xdr:row>
      <xdr:rowOff>0</xdr:rowOff>
    </xdr:to>
    <xdr:sp>
      <xdr:nvSpPr>
        <xdr:cNvPr id="742" name="Line 742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342</xdr:row>
      <xdr:rowOff>0</xdr:rowOff>
    </xdr:from>
    <xdr:to>
      <xdr:col>2</xdr:col>
      <xdr:colOff>0</xdr:colOff>
      <xdr:row>342</xdr:row>
      <xdr:rowOff>0</xdr:rowOff>
    </xdr:to>
    <xdr:sp>
      <xdr:nvSpPr>
        <xdr:cNvPr id="743" name="Line 743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342</xdr:row>
      <xdr:rowOff>0</xdr:rowOff>
    </xdr:from>
    <xdr:to>
      <xdr:col>2</xdr:col>
      <xdr:colOff>0</xdr:colOff>
      <xdr:row>342</xdr:row>
      <xdr:rowOff>0</xdr:rowOff>
    </xdr:to>
    <xdr:sp>
      <xdr:nvSpPr>
        <xdr:cNvPr id="744" name="Line 744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342</xdr:row>
      <xdr:rowOff>0</xdr:rowOff>
    </xdr:from>
    <xdr:to>
      <xdr:col>2</xdr:col>
      <xdr:colOff>0</xdr:colOff>
      <xdr:row>342</xdr:row>
      <xdr:rowOff>0</xdr:rowOff>
    </xdr:to>
    <xdr:sp>
      <xdr:nvSpPr>
        <xdr:cNvPr id="745" name="Line 745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342</xdr:row>
      <xdr:rowOff>0</xdr:rowOff>
    </xdr:from>
    <xdr:to>
      <xdr:col>2</xdr:col>
      <xdr:colOff>0</xdr:colOff>
      <xdr:row>342</xdr:row>
      <xdr:rowOff>0</xdr:rowOff>
    </xdr:to>
    <xdr:sp>
      <xdr:nvSpPr>
        <xdr:cNvPr id="746" name="Line 746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342</xdr:row>
      <xdr:rowOff>0</xdr:rowOff>
    </xdr:from>
    <xdr:to>
      <xdr:col>2</xdr:col>
      <xdr:colOff>0</xdr:colOff>
      <xdr:row>342</xdr:row>
      <xdr:rowOff>0</xdr:rowOff>
    </xdr:to>
    <xdr:sp>
      <xdr:nvSpPr>
        <xdr:cNvPr id="747" name="Line 747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342</xdr:row>
      <xdr:rowOff>0</xdr:rowOff>
    </xdr:from>
    <xdr:to>
      <xdr:col>2</xdr:col>
      <xdr:colOff>0</xdr:colOff>
      <xdr:row>342</xdr:row>
      <xdr:rowOff>0</xdr:rowOff>
    </xdr:to>
    <xdr:sp>
      <xdr:nvSpPr>
        <xdr:cNvPr id="748" name="Line 748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749" name="Line 749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750" name="Line 750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751" name="Line 751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752" name="Line 752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95</xdr:row>
      <xdr:rowOff>0</xdr:rowOff>
    </xdr:from>
    <xdr:to>
      <xdr:col>2</xdr:col>
      <xdr:colOff>0</xdr:colOff>
      <xdr:row>95</xdr:row>
      <xdr:rowOff>0</xdr:rowOff>
    </xdr:to>
    <xdr:sp>
      <xdr:nvSpPr>
        <xdr:cNvPr id="753" name="Line 753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754" name="Line 754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295</xdr:row>
      <xdr:rowOff>0</xdr:rowOff>
    </xdr:from>
    <xdr:to>
      <xdr:col>2</xdr:col>
      <xdr:colOff>0</xdr:colOff>
      <xdr:row>295</xdr:row>
      <xdr:rowOff>0</xdr:rowOff>
    </xdr:to>
    <xdr:sp>
      <xdr:nvSpPr>
        <xdr:cNvPr id="755" name="Line 755"/>
        <xdr:cNvSpPr>
          <a:spLocks/>
        </xdr:cNvSpPr>
      </xdr:nvSpPr>
      <xdr:spPr>
        <a:xfrm>
          <a:off x="28575" y="239839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756" name="Line 756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95</xdr:row>
      <xdr:rowOff>0</xdr:rowOff>
    </xdr:from>
    <xdr:to>
      <xdr:col>2</xdr:col>
      <xdr:colOff>0</xdr:colOff>
      <xdr:row>95</xdr:row>
      <xdr:rowOff>0</xdr:rowOff>
    </xdr:to>
    <xdr:sp>
      <xdr:nvSpPr>
        <xdr:cNvPr id="757" name="Line 757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95</xdr:row>
      <xdr:rowOff>0</xdr:rowOff>
    </xdr:from>
    <xdr:to>
      <xdr:col>2</xdr:col>
      <xdr:colOff>0</xdr:colOff>
      <xdr:row>95</xdr:row>
      <xdr:rowOff>0</xdr:rowOff>
    </xdr:to>
    <xdr:sp>
      <xdr:nvSpPr>
        <xdr:cNvPr id="758" name="Line 758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295</xdr:row>
      <xdr:rowOff>0</xdr:rowOff>
    </xdr:from>
    <xdr:to>
      <xdr:col>2</xdr:col>
      <xdr:colOff>0</xdr:colOff>
      <xdr:row>295</xdr:row>
      <xdr:rowOff>0</xdr:rowOff>
    </xdr:to>
    <xdr:sp>
      <xdr:nvSpPr>
        <xdr:cNvPr id="759" name="Line 759"/>
        <xdr:cNvSpPr>
          <a:spLocks/>
        </xdr:cNvSpPr>
      </xdr:nvSpPr>
      <xdr:spPr>
        <a:xfrm>
          <a:off x="28575" y="239839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295</xdr:row>
      <xdr:rowOff>0</xdr:rowOff>
    </xdr:from>
    <xdr:to>
      <xdr:col>2</xdr:col>
      <xdr:colOff>0</xdr:colOff>
      <xdr:row>295</xdr:row>
      <xdr:rowOff>0</xdr:rowOff>
    </xdr:to>
    <xdr:sp>
      <xdr:nvSpPr>
        <xdr:cNvPr id="760" name="Line 760"/>
        <xdr:cNvSpPr>
          <a:spLocks/>
        </xdr:cNvSpPr>
      </xdr:nvSpPr>
      <xdr:spPr>
        <a:xfrm>
          <a:off x="28575" y="239839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316</xdr:row>
      <xdr:rowOff>0</xdr:rowOff>
    </xdr:from>
    <xdr:to>
      <xdr:col>2</xdr:col>
      <xdr:colOff>0</xdr:colOff>
      <xdr:row>316</xdr:row>
      <xdr:rowOff>0</xdr:rowOff>
    </xdr:to>
    <xdr:sp>
      <xdr:nvSpPr>
        <xdr:cNvPr id="761" name="Line 761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316</xdr:row>
      <xdr:rowOff>0</xdr:rowOff>
    </xdr:from>
    <xdr:to>
      <xdr:col>2</xdr:col>
      <xdr:colOff>0</xdr:colOff>
      <xdr:row>316</xdr:row>
      <xdr:rowOff>0</xdr:rowOff>
    </xdr:to>
    <xdr:sp>
      <xdr:nvSpPr>
        <xdr:cNvPr id="762" name="Line 762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316</xdr:row>
      <xdr:rowOff>0</xdr:rowOff>
    </xdr:from>
    <xdr:to>
      <xdr:col>2</xdr:col>
      <xdr:colOff>0</xdr:colOff>
      <xdr:row>316</xdr:row>
      <xdr:rowOff>0</xdr:rowOff>
    </xdr:to>
    <xdr:sp>
      <xdr:nvSpPr>
        <xdr:cNvPr id="763" name="Line 763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342</xdr:row>
      <xdr:rowOff>0</xdr:rowOff>
    </xdr:from>
    <xdr:to>
      <xdr:col>2</xdr:col>
      <xdr:colOff>0</xdr:colOff>
      <xdr:row>342</xdr:row>
      <xdr:rowOff>0</xdr:rowOff>
    </xdr:to>
    <xdr:sp>
      <xdr:nvSpPr>
        <xdr:cNvPr id="764" name="Line 764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342</xdr:row>
      <xdr:rowOff>0</xdr:rowOff>
    </xdr:from>
    <xdr:to>
      <xdr:col>2</xdr:col>
      <xdr:colOff>0</xdr:colOff>
      <xdr:row>342</xdr:row>
      <xdr:rowOff>0</xdr:rowOff>
    </xdr:to>
    <xdr:sp>
      <xdr:nvSpPr>
        <xdr:cNvPr id="765" name="Line 765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342</xdr:row>
      <xdr:rowOff>0</xdr:rowOff>
    </xdr:from>
    <xdr:to>
      <xdr:col>2</xdr:col>
      <xdr:colOff>0</xdr:colOff>
      <xdr:row>342</xdr:row>
      <xdr:rowOff>0</xdr:rowOff>
    </xdr:to>
    <xdr:sp>
      <xdr:nvSpPr>
        <xdr:cNvPr id="766" name="Line 766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342</xdr:row>
      <xdr:rowOff>0</xdr:rowOff>
    </xdr:from>
    <xdr:to>
      <xdr:col>2</xdr:col>
      <xdr:colOff>0</xdr:colOff>
      <xdr:row>342</xdr:row>
      <xdr:rowOff>0</xdr:rowOff>
    </xdr:to>
    <xdr:sp>
      <xdr:nvSpPr>
        <xdr:cNvPr id="767" name="Line 767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342</xdr:row>
      <xdr:rowOff>0</xdr:rowOff>
    </xdr:from>
    <xdr:to>
      <xdr:col>2</xdr:col>
      <xdr:colOff>0</xdr:colOff>
      <xdr:row>342</xdr:row>
      <xdr:rowOff>0</xdr:rowOff>
    </xdr:to>
    <xdr:sp>
      <xdr:nvSpPr>
        <xdr:cNvPr id="768" name="Line 768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342</xdr:row>
      <xdr:rowOff>0</xdr:rowOff>
    </xdr:from>
    <xdr:to>
      <xdr:col>2</xdr:col>
      <xdr:colOff>0</xdr:colOff>
      <xdr:row>342</xdr:row>
      <xdr:rowOff>0</xdr:rowOff>
    </xdr:to>
    <xdr:sp>
      <xdr:nvSpPr>
        <xdr:cNvPr id="769" name="Line 769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770" name="Line 770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771" name="Line 771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772" name="Line 772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773" name="Line 773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95</xdr:row>
      <xdr:rowOff>0</xdr:rowOff>
    </xdr:from>
    <xdr:to>
      <xdr:col>2</xdr:col>
      <xdr:colOff>0</xdr:colOff>
      <xdr:row>95</xdr:row>
      <xdr:rowOff>0</xdr:rowOff>
    </xdr:to>
    <xdr:sp>
      <xdr:nvSpPr>
        <xdr:cNvPr id="774" name="Line 774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775" name="Line 775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295</xdr:row>
      <xdr:rowOff>0</xdr:rowOff>
    </xdr:from>
    <xdr:to>
      <xdr:col>2</xdr:col>
      <xdr:colOff>0</xdr:colOff>
      <xdr:row>295</xdr:row>
      <xdr:rowOff>0</xdr:rowOff>
    </xdr:to>
    <xdr:sp>
      <xdr:nvSpPr>
        <xdr:cNvPr id="776" name="Line 776"/>
        <xdr:cNvSpPr>
          <a:spLocks/>
        </xdr:cNvSpPr>
      </xdr:nvSpPr>
      <xdr:spPr>
        <a:xfrm>
          <a:off x="28575" y="239839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777" name="Line 777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95</xdr:row>
      <xdr:rowOff>0</xdr:rowOff>
    </xdr:from>
    <xdr:to>
      <xdr:col>2</xdr:col>
      <xdr:colOff>0</xdr:colOff>
      <xdr:row>95</xdr:row>
      <xdr:rowOff>0</xdr:rowOff>
    </xdr:to>
    <xdr:sp>
      <xdr:nvSpPr>
        <xdr:cNvPr id="778" name="Line 778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95</xdr:row>
      <xdr:rowOff>0</xdr:rowOff>
    </xdr:from>
    <xdr:to>
      <xdr:col>2</xdr:col>
      <xdr:colOff>0</xdr:colOff>
      <xdr:row>95</xdr:row>
      <xdr:rowOff>0</xdr:rowOff>
    </xdr:to>
    <xdr:sp>
      <xdr:nvSpPr>
        <xdr:cNvPr id="779" name="Line 779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295</xdr:row>
      <xdr:rowOff>0</xdr:rowOff>
    </xdr:from>
    <xdr:to>
      <xdr:col>2</xdr:col>
      <xdr:colOff>0</xdr:colOff>
      <xdr:row>295</xdr:row>
      <xdr:rowOff>0</xdr:rowOff>
    </xdr:to>
    <xdr:sp>
      <xdr:nvSpPr>
        <xdr:cNvPr id="780" name="Line 780"/>
        <xdr:cNvSpPr>
          <a:spLocks/>
        </xdr:cNvSpPr>
      </xdr:nvSpPr>
      <xdr:spPr>
        <a:xfrm>
          <a:off x="28575" y="239839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295</xdr:row>
      <xdr:rowOff>0</xdr:rowOff>
    </xdr:from>
    <xdr:to>
      <xdr:col>2</xdr:col>
      <xdr:colOff>0</xdr:colOff>
      <xdr:row>295</xdr:row>
      <xdr:rowOff>0</xdr:rowOff>
    </xdr:to>
    <xdr:sp>
      <xdr:nvSpPr>
        <xdr:cNvPr id="781" name="Line 781"/>
        <xdr:cNvSpPr>
          <a:spLocks/>
        </xdr:cNvSpPr>
      </xdr:nvSpPr>
      <xdr:spPr>
        <a:xfrm>
          <a:off x="28575" y="239839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316</xdr:row>
      <xdr:rowOff>0</xdr:rowOff>
    </xdr:from>
    <xdr:to>
      <xdr:col>2</xdr:col>
      <xdr:colOff>0</xdr:colOff>
      <xdr:row>316</xdr:row>
      <xdr:rowOff>0</xdr:rowOff>
    </xdr:to>
    <xdr:sp>
      <xdr:nvSpPr>
        <xdr:cNvPr id="782" name="Line 782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316</xdr:row>
      <xdr:rowOff>0</xdr:rowOff>
    </xdr:from>
    <xdr:to>
      <xdr:col>2</xdr:col>
      <xdr:colOff>0</xdr:colOff>
      <xdr:row>316</xdr:row>
      <xdr:rowOff>0</xdr:rowOff>
    </xdr:to>
    <xdr:sp>
      <xdr:nvSpPr>
        <xdr:cNvPr id="783" name="Line 783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316</xdr:row>
      <xdr:rowOff>0</xdr:rowOff>
    </xdr:from>
    <xdr:to>
      <xdr:col>2</xdr:col>
      <xdr:colOff>0</xdr:colOff>
      <xdr:row>316</xdr:row>
      <xdr:rowOff>0</xdr:rowOff>
    </xdr:to>
    <xdr:sp>
      <xdr:nvSpPr>
        <xdr:cNvPr id="784" name="Line 784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342</xdr:row>
      <xdr:rowOff>0</xdr:rowOff>
    </xdr:from>
    <xdr:to>
      <xdr:col>2</xdr:col>
      <xdr:colOff>0</xdr:colOff>
      <xdr:row>342</xdr:row>
      <xdr:rowOff>0</xdr:rowOff>
    </xdr:to>
    <xdr:sp>
      <xdr:nvSpPr>
        <xdr:cNvPr id="785" name="Line 785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342</xdr:row>
      <xdr:rowOff>0</xdr:rowOff>
    </xdr:from>
    <xdr:to>
      <xdr:col>2</xdr:col>
      <xdr:colOff>0</xdr:colOff>
      <xdr:row>342</xdr:row>
      <xdr:rowOff>0</xdr:rowOff>
    </xdr:to>
    <xdr:sp>
      <xdr:nvSpPr>
        <xdr:cNvPr id="786" name="Line 786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342</xdr:row>
      <xdr:rowOff>0</xdr:rowOff>
    </xdr:from>
    <xdr:to>
      <xdr:col>2</xdr:col>
      <xdr:colOff>0</xdr:colOff>
      <xdr:row>342</xdr:row>
      <xdr:rowOff>0</xdr:rowOff>
    </xdr:to>
    <xdr:sp>
      <xdr:nvSpPr>
        <xdr:cNvPr id="787" name="Line 787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342</xdr:row>
      <xdr:rowOff>0</xdr:rowOff>
    </xdr:from>
    <xdr:to>
      <xdr:col>2</xdr:col>
      <xdr:colOff>0</xdr:colOff>
      <xdr:row>342</xdr:row>
      <xdr:rowOff>0</xdr:rowOff>
    </xdr:to>
    <xdr:sp>
      <xdr:nvSpPr>
        <xdr:cNvPr id="788" name="Line 788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342</xdr:row>
      <xdr:rowOff>0</xdr:rowOff>
    </xdr:from>
    <xdr:to>
      <xdr:col>2</xdr:col>
      <xdr:colOff>0</xdr:colOff>
      <xdr:row>342</xdr:row>
      <xdr:rowOff>0</xdr:rowOff>
    </xdr:to>
    <xdr:sp>
      <xdr:nvSpPr>
        <xdr:cNvPr id="789" name="Line 789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342</xdr:row>
      <xdr:rowOff>0</xdr:rowOff>
    </xdr:from>
    <xdr:to>
      <xdr:col>2</xdr:col>
      <xdr:colOff>0</xdr:colOff>
      <xdr:row>342</xdr:row>
      <xdr:rowOff>0</xdr:rowOff>
    </xdr:to>
    <xdr:sp>
      <xdr:nvSpPr>
        <xdr:cNvPr id="790" name="Line 790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791" name="Line 791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792" name="Line 792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793" name="Line 793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794" name="Line 794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95</xdr:row>
      <xdr:rowOff>0</xdr:rowOff>
    </xdr:from>
    <xdr:to>
      <xdr:col>2</xdr:col>
      <xdr:colOff>0</xdr:colOff>
      <xdr:row>95</xdr:row>
      <xdr:rowOff>0</xdr:rowOff>
    </xdr:to>
    <xdr:sp>
      <xdr:nvSpPr>
        <xdr:cNvPr id="795" name="Line 795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796" name="Line 796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295</xdr:row>
      <xdr:rowOff>0</xdr:rowOff>
    </xdr:from>
    <xdr:to>
      <xdr:col>2</xdr:col>
      <xdr:colOff>0</xdr:colOff>
      <xdr:row>295</xdr:row>
      <xdr:rowOff>0</xdr:rowOff>
    </xdr:to>
    <xdr:sp>
      <xdr:nvSpPr>
        <xdr:cNvPr id="797" name="Line 797"/>
        <xdr:cNvSpPr>
          <a:spLocks/>
        </xdr:cNvSpPr>
      </xdr:nvSpPr>
      <xdr:spPr>
        <a:xfrm>
          <a:off x="28575" y="239839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798" name="Line 798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95</xdr:row>
      <xdr:rowOff>0</xdr:rowOff>
    </xdr:from>
    <xdr:to>
      <xdr:col>2</xdr:col>
      <xdr:colOff>0</xdr:colOff>
      <xdr:row>95</xdr:row>
      <xdr:rowOff>0</xdr:rowOff>
    </xdr:to>
    <xdr:sp>
      <xdr:nvSpPr>
        <xdr:cNvPr id="799" name="Line 799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95</xdr:row>
      <xdr:rowOff>0</xdr:rowOff>
    </xdr:from>
    <xdr:to>
      <xdr:col>2</xdr:col>
      <xdr:colOff>0</xdr:colOff>
      <xdr:row>95</xdr:row>
      <xdr:rowOff>0</xdr:rowOff>
    </xdr:to>
    <xdr:sp>
      <xdr:nvSpPr>
        <xdr:cNvPr id="800" name="Line 800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295</xdr:row>
      <xdr:rowOff>0</xdr:rowOff>
    </xdr:from>
    <xdr:to>
      <xdr:col>2</xdr:col>
      <xdr:colOff>0</xdr:colOff>
      <xdr:row>295</xdr:row>
      <xdr:rowOff>0</xdr:rowOff>
    </xdr:to>
    <xdr:sp>
      <xdr:nvSpPr>
        <xdr:cNvPr id="801" name="Line 801"/>
        <xdr:cNvSpPr>
          <a:spLocks/>
        </xdr:cNvSpPr>
      </xdr:nvSpPr>
      <xdr:spPr>
        <a:xfrm>
          <a:off x="28575" y="239839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295</xdr:row>
      <xdr:rowOff>0</xdr:rowOff>
    </xdr:from>
    <xdr:to>
      <xdr:col>2</xdr:col>
      <xdr:colOff>0</xdr:colOff>
      <xdr:row>295</xdr:row>
      <xdr:rowOff>0</xdr:rowOff>
    </xdr:to>
    <xdr:sp>
      <xdr:nvSpPr>
        <xdr:cNvPr id="802" name="Line 802"/>
        <xdr:cNvSpPr>
          <a:spLocks/>
        </xdr:cNvSpPr>
      </xdr:nvSpPr>
      <xdr:spPr>
        <a:xfrm>
          <a:off x="28575" y="239839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316</xdr:row>
      <xdr:rowOff>0</xdr:rowOff>
    </xdr:from>
    <xdr:to>
      <xdr:col>2</xdr:col>
      <xdr:colOff>0</xdr:colOff>
      <xdr:row>316</xdr:row>
      <xdr:rowOff>0</xdr:rowOff>
    </xdr:to>
    <xdr:sp>
      <xdr:nvSpPr>
        <xdr:cNvPr id="803" name="Line 803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316</xdr:row>
      <xdr:rowOff>0</xdr:rowOff>
    </xdr:from>
    <xdr:to>
      <xdr:col>2</xdr:col>
      <xdr:colOff>0</xdr:colOff>
      <xdr:row>316</xdr:row>
      <xdr:rowOff>0</xdr:rowOff>
    </xdr:to>
    <xdr:sp>
      <xdr:nvSpPr>
        <xdr:cNvPr id="804" name="Line 804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316</xdr:row>
      <xdr:rowOff>0</xdr:rowOff>
    </xdr:from>
    <xdr:to>
      <xdr:col>2</xdr:col>
      <xdr:colOff>0</xdr:colOff>
      <xdr:row>316</xdr:row>
      <xdr:rowOff>0</xdr:rowOff>
    </xdr:to>
    <xdr:sp>
      <xdr:nvSpPr>
        <xdr:cNvPr id="805" name="Line 805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342</xdr:row>
      <xdr:rowOff>0</xdr:rowOff>
    </xdr:from>
    <xdr:to>
      <xdr:col>2</xdr:col>
      <xdr:colOff>0</xdr:colOff>
      <xdr:row>342</xdr:row>
      <xdr:rowOff>0</xdr:rowOff>
    </xdr:to>
    <xdr:sp>
      <xdr:nvSpPr>
        <xdr:cNvPr id="806" name="Line 806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342</xdr:row>
      <xdr:rowOff>0</xdr:rowOff>
    </xdr:from>
    <xdr:to>
      <xdr:col>2</xdr:col>
      <xdr:colOff>0</xdr:colOff>
      <xdr:row>342</xdr:row>
      <xdr:rowOff>0</xdr:rowOff>
    </xdr:to>
    <xdr:sp>
      <xdr:nvSpPr>
        <xdr:cNvPr id="807" name="Line 807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342</xdr:row>
      <xdr:rowOff>0</xdr:rowOff>
    </xdr:from>
    <xdr:to>
      <xdr:col>2</xdr:col>
      <xdr:colOff>0</xdr:colOff>
      <xdr:row>342</xdr:row>
      <xdr:rowOff>0</xdr:rowOff>
    </xdr:to>
    <xdr:sp>
      <xdr:nvSpPr>
        <xdr:cNvPr id="808" name="Line 808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342</xdr:row>
      <xdr:rowOff>0</xdr:rowOff>
    </xdr:from>
    <xdr:to>
      <xdr:col>2</xdr:col>
      <xdr:colOff>0</xdr:colOff>
      <xdr:row>342</xdr:row>
      <xdr:rowOff>0</xdr:rowOff>
    </xdr:to>
    <xdr:sp>
      <xdr:nvSpPr>
        <xdr:cNvPr id="809" name="Line 809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342</xdr:row>
      <xdr:rowOff>0</xdr:rowOff>
    </xdr:from>
    <xdr:to>
      <xdr:col>2</xdr:col>
      <xdr:colOff>0</xdr:colOff>
      <xdr:row>342</xdr:row>
      <xdr:rowOff>0</xdr:rowOff>
    </xdr:to>
    <xdr:sp>
      <xdr:nvSpPr>
        <xdr:cNvPr id="810" name="Line 810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342</xdr:row>
      <xdr:rowOff>0</xdr:rowOff>
    </xdr:from>
    <xdr:to>
      <xdr:col>2</xdr:col>
      <xdr:colOff>0</xdr:colOff>
      <xdr:row>342</xdr:row>
      <xdr:rowOff>0</xdr:rowOff>
    </xdr:to>
    <xdr:sp>
      <xdr:nvSpPr>
        <xdr:cNvPr id="811" name="Line 811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812" name="Line 812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813" name="Line 813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814" name="Line 814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815" name="Line 815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95</xdr:row>
      <xdr:rowOff>0</xdr:rowOff>
    </xdr:from>
    <xdr:to>
      <xdr:col>2</xdr:col>
      <xdr:colOff>0</xdr:colOff>
      <xdr:row>95</xdr:row>
      <xdr:rowOff>0</xdr:rowOff>
    </xdr:to>
    <xdr:sp>
      <xdr:nvSpPr>
        <xdr:cNvPr id="816" name="Line 816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817" name="Line 817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295</xdr:row>
      <xdr:rowOff>0</xdr:rowOff>
    </xdr:from>
    <xdr:to>
      <xdr:col>2</xdr:col>
      <xdr:colOff>0</xdr:colOff>
      <xdr:row>295</xdr:row>
      <xdr:rowOff>0</xdr:rowOff>
    </xdr:to>
    <xdr:sp>
      <xdr:nvSpPr>
        <xdr:cNvPr id="818" name="Line 818"/>
        <xdr:cNvSpPr>
          <a:spLocks/>
        </xdr:cNvSpPr>
      </xdr:nvSpPr>
      <xdr:spPr>
        <a:xfrm>
          <a:off x="28575" y="239839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819" name="Line 819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95</xdr:row>
      <xdr:rowOff>0</xdr:rowOff>
    </xdr:from>
    <xdr:to>
      <xdr:col>2</xdr:col>
      <xdr:colOff>0</xdr:colOff>
      <xdr:row>95</xdr:row>
      <xdr:rowOff>0</xdr:rowOff>
    </xdr:to>
    <xdr:sp>
      <xdr:nvSpPr>
        <xdr:cNvPr id="820" name="Line 820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95</xdr:row>
      <xdr:rowOff>0</xdr:rowOff>
    </xdr:from>
    <xdr:to>
      <xdr:col>2</xdr:col>
      <xdr:colOff>0</xdr:colOff>
      <xdr:row>95</xdr:row>
      <xdr:rowOff>0</xdr:rowOff>
    </xdr:to>
    <xdr:sp>
      <xdr:nvSpPr>
        <xdr:cNvPr id="821" name="Line 821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295</xdr:row>
      <xdr:rowOff>0</xdr:rowOff>
    </xdr:from>
    <xdr:to>
      <xdr:col>2</xdr:col>
      <xdr:colOff>0</xdr:colOff>
      <xdr:row>295</xdr:row>
      <xdr:rowOff>0</xdr:rowOff>
    </xdr:to>
    <xdr:sp>
      <xdr:nvSpPr>
        <xdr:cNvPr id="822" name="Line 822"/>
        <xdr:cNvSpPr>
          <a:spLocks/>
        </xdr:cNvSpPr>
      </xdr:nvSpPr>
      <xdr:spPr>
        <a:xfrm>
          <a:off x="28575" y="239839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295</xdr:row>
      <xdr:rowOff>0</xdr:rowOff>
    </xdr:from>
    <xdr:to>
      <xdr:col>2</xdr:col>
      <xdr:colOff>0</xdr:colOff>
      <xdr:row>295</xdr:row>
      <xdr:rowOff>0</xdr:rowOff>
    </xdr:to>
    <xdr:sp>
      <xdr:nvSpPr>
        <xdr:cNvPr id="823" name="Line 823"/>
        <xdr:cNvSpPr>
          <a:spLocks/>
        </xdr:cNvSpPr>
      </xdr:nvSpPr>
      <xdr:spPr>
        <a:xfrm>
          <a:off x="28575" y="239839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316</xdr:row>
      <xdr:rowOff>0</xdr:rowOff>
    </xdr:from>
    <xdr:to>
      <xdr:col>2</xdr:col>
      <xdr:colOff>0</xdr:colOff>
      <xdr:row>316</xdr:row>
      <xdr:rowOff>0</xdr:rowOff>
    </xdr:to>
    <xdr:sp>
      <xdr:nvSpPr>
        <xdr:cNvPr id="824" name="Line 824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316</xdr:row>
      <xdr:rowOff>0</xdr:rowOff>
    </xdr:from>
    <xdr:to>
      <xdr:col>2</xdr:col>
      <xdr:colOff>0</xdr:colOff>
      <xdr:row>316</xdr:row>
      <xdr:rowOff>0</xdr:rowOff>
    </xdr:to>
    <xdr:sp>
      <xdr:nvSpPr>
        <xdr:cNvPr id="825" name="Line 825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316</xdr:row>
      <xdr:rowOff>0</xdr:rowOff>
    </xdr:from>
    <xdr:to>
      <xdr:col>2</xdr:col>
      <xdr:colOff>0</xdr:colOff>
      <xdr:row>316</xdr:row>
      <xdr:rowOff>0</xdr:rowOff>
    </xdr:to>
    <xdr:sp>
      <xdr:nvSpPr>
        <xdr:cNvPr id="826" name="Line 826"/>
        <xdr:cNvSpPr>
          <a:spLocks/>
        </xdr:cNvSpPr>
      </xdr:nvSpPr>
      <xdr:spPr>
        <a:xfrm>
          <a:off x="28575" y="24669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342</xdr:row>
      <xdr:rowOff>0</xdr:rowOff>
    </xdr:from>
    <xdr:to>
      <xdr:col>2</xdr:col>
      <xdr:colOff>0</xdr:colOff>
      <xdr:row>342</xdr:row>
      <xdr:rowOff>0</xdr:rowOff>
    </xdr:to>
    <xdr:sp>
      <xdr:nvSpPr>
        <xdr:cNvPr id="827" name="Line 827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342</xdr:row>
      <xdr:rowOff>0</xdr:rowOff>
    </xdr:from>
    <xdr:to>
      <xdr:col>2</xdr:col>
      <xdr:colOff>0</xdr:colOff>
      <xdr:row>342</xdr:row>
      <xdr:rowOff>0</xdr:rowOff>
    </xdr:to>
    <xdr:sp>
      <xdr:nvSpPr>
        <xdr:cNvPr id="828" name="Line 828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342</xdr:row>
      <xdr:rowOff>0</xdr:rowOff>
    </xdr:from>
    <xdr:to>
      <xdr:col>2</xdr:col>
      <xdr:colOff>0</xdr:colOff>
      <xdr:row>342</xdr:row>
      <xdr:rowOff>0</xdr:rowOff>
    </xdr:to>
    <xdr:sp>
      <xdr:nvSpPr>
        <xdr:cNvPr id="829" name="Line 829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342</xdr:row>
      <xdr:rowOff>0</xdr:rowOff>
    </xdr:from>
    <xdr:to>
      <xdr:col>2</xdr:col>
      <xdr:colOff>0</xdr:colOff>
      <xdr:row>342</xdr:row>
      <xdr:rowOff>0</xdr:rowOff>
    </xdr:to>
    <xdr:sp>
      <xdr:nvSpPr>
        <xdr:cNvPr id="830" name="Line 830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342</xdr:row>
      <xdr:rowOff>0</xdr:rowOff>
    </xdr:from>
    <xdr:to>
      <xdr:col>2</xdr:col>
      <xdr:colOff>0</xdr:colOff>
      <xdr:row>342</xdr:row>
      <xdr:rowOff>0</xdr:rowOff>
    </xdr:to>
    <xdr:sp>
      <xdr:nvSpPr>
        <xdr:cNvPr id="831" name="Line 831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342</xdr:row>
      <xdr:rowOff>0</xdr:rowOff>
    </xdr:from>
    <xdr:to>
      <xdr:col>2</xdr:col>
      <xdr:colOff>0</xdr:colOff>
      <xdr:row>342</xdr:row>
      <xdr:rowOff>0</xdr:rowOff>
    </xdr:to>
    <xdr:sp>
      <xdr:nvSpPr>
        <xdr:cNvPr id="832" name="Line 832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833" name="Line 833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834" name="Line 834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835" name="Line 835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836" name="Line 836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343</xdr:row>
      <xdr:rowOff>0</xdr:rowOff>
    </xdr:from>
    <xdr:to>
      <xdr:col>2</xdr:col>
      <xdr:colOff>0</xdr:colOff>
      <xdr:row>343</xdr:row>
      <xdr:rowOff>0</xdr:rowOff>
    </xdr:to>
    <xdr:sp>
      <xdr:nvSpPr>
        <xdr:cNvPr id="837" name="Line 837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838" name="Line 838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587</xdr:row>
      <xdr:rowOff>0</xdr:rowOff>
    </xdr:from>
    <xdr:to>
      <xdr:col>2</xdr:col>
      <xdr:colOff>0</xdr:colOff>
      <xdr:row>587</xdr:row>
      <xdr:rowOff>0</xdr:rowOff>
    </xdr:to>
    <xdr:sp>
      <xdr:nvSpPr>
        <xdr:cNvPr id="839" name="Line 839"/>
        <xdr:cNvSpPr>
          <a:spLocks/>
        </xdr:cNvSpPr>
      </xdr:nvSpPr>
      <xdr:spPr>
        <a:xfrm>
          <a:off x="28575" y="66836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840" name="Line 840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343</xdr:row>
      <xdr:rowOff>0</xdr:rowOff>
    </xdr:from>
    <xdr:to>
      <xdr:col>2</xdr:col>
      <xdr:colOff>0</xdr:colOff>
      <xdr:row>343</xdr:row>
      <xdr:rowOff>0</xdr:rowOff>
    </xdr:to>
    <xdr:sp>
      <xdr:nvSpPr>
        <xdr:cNvPr id="841" name="Line 841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343</xdr:row>
      <xdr:rowOff>0</xdr:rowOff>
    </xdr:from>
    <xdr:to>
      <xdr:col>2</xdr:col>
      <xdr:colOff>0</xdr:colOff>
      <xdr:row>343</xdr:row>
      <xdr:rowOff>0</xdr:rowOff>
    </xdr:to>
    <xdr:sp>
      <xdr:nvSpPr>
        <xdr:cNvPr id="842" name="Line 842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587</xdr:row>
      <xdr:rowOff>0</xdr:rowOff>
    </xdr:from>
    <xdr:to>
      <xdr:col>2</xdr:col>
      <xdr:colOff>0</xdr:colOff>
      <xdr:row>587</xdr:row>
      <xdr:rowOff>0</xdr:rowOff>
    </xdr:to>
    <xdr:sp>
      <xdr:nvSpPr>
        <xdr:cNvPr id="843" name="Line 843"/>
        <xdr:cNvSpPr>
          <a:spLocks/>
        </xdr:cNvSpPr>
      </xdr:nvSpPr>
      <xdr:spPr>
        <a:xfrm>
          <a:off x="28575" y="66836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587</xdr:row>
      <xdr:rowOff>0</xdr:rowOff>
    </xdr:from>
    <xdr:to>
      <xdr:col>2</xdr:col>
      <xdr:colOff>0</xdr:colOff>
      <xdr:row>587</xdr:row>
      <xdr:rowOff>0</xdr:rowOff>
    </xdr:to>
    <xdr:sp>
      <xdr:nvSpPr>
        <xdr:cNvPr id="844" name="Line 844"/>
        <xdr:cNvSpPr>
          <a:spLocks/>
        </xdr:cNvSpPr>
      </xdr:nvSpPr>
      <xdr:spPr>
        <a:xfrm>
          <a:off x="28575" y="66836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603</xdr:row>
      <xdr:rowOff>0</xdr:rowOff>
    </xdr:from>
    <xdr:to>
      <xdr:col>2</xdr:col>
      <xdr:colOff>0</xdr:colOff>
      <xdr:row>603</xdr:row>
      <xdr:rowOff>0</xdr:rowOff>
    </xdr:to>
    <xdr:sp>
      <xdr:nvSpPr>
        <xdr:cNvPr id="845" name="Line 845"/>
        <xdr:cNvSpPr>
          <a:spLocks/>
        </xdr:cNvSpPr>
      </xdr:nvSpPr>
      <xdr:spPr>
        <a:xfrm>
          <a:off x="28575" y="68780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603</xdr:row>
      <xdr:rowOff>0</xdr:rowOff>
    </xdr:from>
    <xdr:to>
      <xdr:col>2</xdr:col>
      <xdr:colOff>0</xdr:colOff>
      <xdr:row>603</xdr:row>
      <xdr:rowOff>0</xdr:rowOff>
    </xdr:to>
    <xdr:sp>
      <xdr:nvSpPr>
        <xdr:cNvPr id="846" name="Line 846"/>
        <xdr:cNvSpPr>
          <a:spLocks/>
        </xdr:cNvSpPr>
      </xdr:nvSpPr>
      <xdr:spPr>
        <a:xfrm>
          <a:off x="28575" y="68780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603</xdr:row>
      <xdr:rowOff>0</xdr:rowOff>
    </xdr:from>
    <xdr:to>
      <xdr:col>2</xdr:col>
      <xdr:colOff>0</xdr:colOff>
      <xdr:row>603</xdr:row>
      <xdr:rowOff>0</xdr:rowOff>
    </xdr:to>
    <xdr:sp>
      <xdr:nvSpPr>
        <xdr:cNvPr id="847" name="Line 847"/>
        <xdr:cNvSpPr>
          <a:spLocks/>
        </xdr:cNvSpPr>
      </xdr:nvSpPr>
      <xdr:spPr>
        <a:xfrm>
          <a:off x="28575" y="68780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848" name="Line 848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849" name="Line 849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850" name="Line 850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851" name="Line 851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852" name="Line 852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853" name="Line 853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854" name="Line 854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855" name="Line 855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856" name="Line 856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857" name="Line 857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343</xdr:row>
      <xdr:rowOff>0</xdr:rowOff>
    </xdr:from>
    <xdr:to>
      <xdr:col>2</xdr:col>
      <xdr:colOff>0</xdr:colOff>
      <xdr:row>343</xdr:row>
      <xdr:rowOff>0</xdr:rowOff>
    </xdr:to>
    <xdr:sp>
      <xdr:nvSpPr>
        <xdr:cNvPr id="858" name="Line 858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859" name="Line 859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587</xdr:row>
      <xdr:rowOff>0</xdr:rowOff>
    </xdr:from>
    <xdr:to>
      <xdr:col>2</xdr:col>
      <xdr:colOff>0</xdr:colOff>
      <xdr:row>587</xdr:row>
      <xdr:rowOff>0</xdr:rowOff>
    </xdr:to>
    <xdr:sp>
      <xdr:nvSpPr>
        <xdr:cNvPr id="860" name="Line 860"/>
        <xdr:cNvSpPr>
          <a:spLocks/>
        </xdr:cNvSpPr>
      </xdr:nvSpPr>
      <xdr:spPr>
        <a:xfrm>
          <a:off x="28575" y="66836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861" name="Line 861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343</xdr:row>
      <xdr:rowOff>0</xdr:rowOff>
    </xdr:from>
    <xdr:to>
      <xdr:col>2</xdr:col>
      <xdr:colOff>0</xdr:colOff>
      <xdr:row>343</xdr:row>
      <xdr:rowOff>0</xdr:rowOff>
    </xdr:to>
    <xdr:sp>
      <xdr:nvSpPr>
        <xdr:cNvPr id="862" name="Line 862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343</xdr:row>
      <xdr:rowOff>0</xdr:rowOff>
    </xdr:from>
    <xdr:to>
      <xdr:col>2</xdr:col>
      <xdr:colOff>0</xdr:colOff>
      <xdr:row>343</xdr:row>
      <xdr:rowOff>0</xdr:rowOff>
    </xdr:to>
    <xdr:sp>
      <xdr:nvSpPr>
        <xdr:cNvPr id="863" name="Line 863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587</xdr:row>
      <xdr:rowOff>0</xdr:rowOff>
    </xdr:from>
    <xdr:to>
      <xdr:col>2</xdr:col>
      <xdr:colOff>0</xdr:colOff>
      <xdr:row>587</xdr:row>
      <xdr:rowOff>0</xdr:rowOff>
    </xdr:to>
    <xdr:sp>
      <xdr:nvSpPr>
        <xdr:cNvPr id="864" name="Line 864"/>
        <xdr:cNvSpPr>
          <a:spLocks/>
        </xdr:cNvSpPr>
      </xdr:nvSpPr>
      <xdr:spPr>
        <a:xfrm>
          <a:off x="28575" y="66836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587</xdr:row>
      <xdr:rowOff>0</xdr:rowOff>
    </xdr:from>
    <xdr:to>
      <xdr:col>2</xdr:col>
      <xdr:colOff>0</xdr:colOff>
      <xdr:row>587</xdr:row>
      <xdr:rowOff>0</xdr:rowOff>
    </xdr:to>
    <xdr:sp>
      <xdr:nvSpPr>
        <xdr:cNvPr id="865" name="Line 865"/>
        <xdr:cNvSpPr>
          <a:spLocks/>
        </xdr:cNvSpPr>
      </xdr:nvSpPr>
      <xdr:spPr>
        <a:xfrm>
          <a:off x="28575" y="66836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603</xdr:row>
      <xdr:rowOff>0</xdr:rowOff>
    </xdr:from>
    <xdr:to>
      <xdr:col>2</xdr:col>
      <xdr:colOff>0</xdr:colOff>
      <xdr:row>603</xdr:row>
      <xdr:rowOff>0</xdr:rowOff>
    </xdr:to>
    <xdr:sp>
      <xdr:nvSpPr>
        <xdr:cNvPr id="866" name="Line 866"/>
        <xdr:cNvSpPr>
          <a:spLocks/>
        </xdr:cNvSpPr>
      </xdr:nvSpPr>
      <xdr:spPr>
        <a:xfrm>
          <a:off x="28575" y="68780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603</xdr:row>
      <xdr:rowOff>0</xdr:rowOff>
    </xdr:from>
    <xdr:to>
      <xdr:col>2</xdr:col>
      <xdr:colOff>0</xdr:colOff>
      <xdr:row>603</xdr:row>
      <xdr:rowOff>0</xdr:rowOff>
    </xdr:to>
    <xdr:sp>
      <xdr:nvSpPr>
        <xdr:cNvPr id="867" name="Line 867"/>
        <xdr:cNvSpPr>
          <a:spLocks/>
        </xdr:cNvSpPr>
      </xdr:nvSpPr>
      <xdr:spPr>
        <a:xfrm>
          <a:off x="28575" y="68780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603</xdr:row>
      <xdr:rowOff>0</xdr:rowOff>
    </xdr:from>
    <xdr:to>
      <xdr:col>2</xdr:col>
      <xdr:colOff>0</xdr:colOff>
      <xdr:row>603</xdr:row>
      <xdr:rowOff>0</xdr:rowOff>
    </xdr:to>
    <xdr:sp>
      <xdr:nvSpPr>
        <xdr:cNvPr id="868" name="Line 868"/>
        <xdr:cNvSpPr>
          <a:spLocks/>
        </xdr:cNvSpPr>
      </xdr:nvSpPr>
      <xdr:spPr>
        <a:xfrm>
          <a:off x="28575" y="68780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869" name="Line 869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870" name="Line 870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871" name="Line 871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872" name="Line 872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873" name="Line 873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874" name="Line 874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875" name="Line 875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876" name="Line 876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877" name="Line 877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878" name="Line 878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343</xdr:row>
      <xdr:rowOff>0</xdr:rowOff>
    </xdr:from>
    <xdr:to>
      <xdr:col>2</xdr:col>
      <xdr:colOff>0</xdr:colOff>
      <xdr:row>343</xdr:row>
      <xdr:rowOff>0</xdr:rowOff>
    </xdr:to>
    <xdr:sp>
      <xdr:nvSpPr>
        <xdr:cNvPr id="879" name="Line 879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880" name="Line 880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587</xdr:row>
      <xdr:rowOff>0</xdr:rowOff>
    </xdr:from>
    <xdr:to>
      <xdr:col>2</xdr:col>
      <xdr:colOff>0</xdr:colOff>
      <xdr:row>587</xdr:row>
      <xdr:rowOff>0</xdr:rowOff>
    </xdr:to>
    <xdr:sp>
      <xdr:nvSpPr>
        <xdr:cNvPr id="881" name="Line 881"/>
        <xdr:cNvSpPr>
          <a:spLocks/>
        </xdr:cNvSpPr>
      </xdr:nvSpPr>
      <xdr:spPr>
        <a:xfrm>
          <a:off x="28575" y="66836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882" name="Line 882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343</xdr:row>
      <xdr:rowOff>0</xdr:rowOff>
    </xdr:from>
    <xdr:to>
      <xdr:col>2</xdr:col>
      <xdr:colOff>0</xdr:colOff>
      <xdr:row>343</xdr:row>
      <xdr:rowOff>0</xdr:rowOff>
    </xdr:to>
    <xdr:sp>
      <xdr:nvSpPr>
        <xdr:cNvPr id="883" name="Line 883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343</xdr:row>
      <xdr:rowOff>0</xdr:rowOff>
    </xdr:from>
    <xdr:to>
      <xdr:col>2</xdr:col>
      <xdr:colOff>0</xdr:colOff>
      <xdr:row>343</xdr:row>
      <xdr:rowOff>0</xdr:rowOff>
    </xdr:to>
    <xdr:sp>
      <xdr:nvSpPr>
        <xdr:cNvPr id="884" name="Line 884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587</xdr:row>
      <xdr:rowOff>0</xdr:rowOff>
    </xdr:from>
    <xdr:to>
      <xdr:col>2</xdr:col>
      <xdr:colOff>0</xdr:colOff>
      <xdr:row>587</xdr:row>
      <xdr:rowOff>0</xdr:rowOff>
    </xdr:to>
    <xdr:sp>
      <xdr:nvSpPr>
        <xdr:cNvPr id="885" name="Line 885"/>
        <xdr:cNvSpPr>
          <a:spLocks/>
        </xdr:cNvSpPr>
      </xdr:nvSpPr>
      <xdr:spPr>
        <a:xfrm>
          <a:off x="28575" y="66836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587</xdr:row>
      <xdr:rowOff>0</xdr:rowOff>
    </xdr:from>
    <xdr:to>
      <xdr:col>2</xdr:col>
      <xdr:colOff>0</xdr:colOff>
      <xdr:row>587</xdr:row>
      <xdr:rowOff>0</xdr:rowOff>
    </xdr:to>
    <xdr:sp>
      <xdr:nvSpPr>
        <xdr:cNvPr id="886" name="Line 886"/>
        <xdr:cNvSpPr>
          <a:spLocks/>
        </xdr:cNvSpPr>
      </xdr:nvSpPr>
      <xdr:spPr>
        <a:xfrm>
          <a:off x="28575" y="66836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603</xdr:row>
      <xdr:rowOff>0</xdr:rowOff>
    </xdr:from>
    <xdr:to>
      <xdr:col>2</xdr:col>
      <xdr:colOff>0</xdr:colOff>
      <xdr:row>603</xdr:row>
      <xdr:rowOff>0</xdr:rowOff>
    </xdr:to>
    <xdr:sp>
      <xdr:nvSpPr>
        <xdr:cNvPr id="887" name="Line 887"/>
        <xdr:cNvSpPr>
          <a:spLocks/>
        </xdr:cNvSpPr>
      </xdr:nvSpPr>
      <xdr:spPr>
        <a:xfrm>
          <a:off x="28575" y="68780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603</xdr:row>
      <xdr:rowOff>0</xdr:rowOff>
    </xdr:from>
    <xdr:to>
      <xdr:col>2</xdr:col>
      <xdr:colOff>0</xdr:colOff>
      <xdr:row>603</xdr:row>
      <xdr:rowOff>0</xdr:rowOff>
    </xdr:to>
    <xdr:sp>
      <xdr:nvSpPr>
        <xdr:cNvPr id="888" name="Line 888"/>
        <xdr:cNvSpPr>
          <a:spLocks/>
        </xdr:cNvSpPr>
      </xdr:nvSpPr>
      <xdr:spPr>
        <a:xfrm>
          <a:off x="28575" y="68780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603</xdr:row>
      <xdr:rowOff>0</xdr:rowOff>
    </xdr:from>
    <xdr:to>
      <xdr:col>2</xdr:col>
      <xdr:colOff>0</xdr:colOff>
      <xdr:row>603</xdr:row>
      <xdr:rowOff>0</xdr:rowOff>
    </xdr:to>
    <xdr:sp>
      <xdr:nvSpPr>
        <xdr:cNvPr id="889" name="Line 889"/>
        <xdr:cNvSpPr>
          <a:spLocks/>
        </xdr:cNvSpPr>
      </xdr:nvSpPr>
      <xdr:spPr>
        <a:xfrm>
          <a:off x="28575" y="68780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890" name="Line 890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891" name="Line 891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892" name="Line 892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893" name="Line 893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894" name="Line 894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895" name="Line 895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896" name="Line 896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897" name="Line 897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898" name="Line 898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899" name="Line 899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343</xdr:row>
      <xdr:rowOff>0</xdr:rowOff>
    </xdr:from>
    <xdr:to>
      <xdr:col>2</xdr:col>
      <xdr:colOff>0</xdr:colOff>
      <xdr:row>343</xdr:row>
      <xdr:rowOff>0</xdr:rowOff>
    </xdr:to>
    <xdr:sp>
      <xdr:nvSpPr>
        <xdr:cNvPr id="900" name="Line 900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901" name="Line 901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587</xdr:row>
      <xdr:rowOff>0</xdr:rowOff>
    </xdr:from>
    <xdr:to>
      <xdr:col>2</xdr:col>
      <xdr:colOff>0</xdr:colOff>
      <xdr:row>587</xdr:row>
      <xdr:rowOff>0</xdr:rowOff>
    </xdr:to>
    <xdr:sp>
      <xdr:nvSpPr>
        <xdr:cNvPr id="902" name="Line 902"/>
        <xdr:cNvSpPr>
          <a:spLocks/>
        </xdr:cNvSpPr>
      </xdr:nvSpPr>
      <xdr:spPr>
        <a:xfrm>
          <a:off x="28575" y="66836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903" name="Line 903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343</xdr:row>
      <xdr:rowOff>0</xdr:rowOff>
    </xdr:from>
    <xdr:to>
      <xdr:col>2</xdr:col>
      <xdr:colOff>0</xdr:colOff>
      <xdr:row>343</xdr:row>
      <xdr:rowOff>0</xdr:rowOff>
    </xdr:to>
    <xdr:sp>
      <xdr:nvSpPr>
        <xdr:cNvPr id="904" name="Line 904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343</xdr:row>
      <xdr:rowOff>0</xdr:rowOff>
    </xdr:from>
    <xdr:to>
      <xdr:col>2</xdr:col>
      <xdr:colOff>0</xdr:colOff>
      <xdr:row>343</xdr:row>
      <xdr:rowOff>0</xdr:rowOff>
    </xdr:to>
    <xdr:sp>
      <xdr:nvSpPr>
        <xdr:cNvPr id="905" name="Line 905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587</xdr:row>
      <xdr:rowOff>0</xdr:rowOff>
    </xdr:from>
    <xdr:to>
      <xdr:col>2</xdr:col>
      <xdr:colOff>0</xdr:colOff>
      <xdr:row>587</xdr:row>
      <xdr:rowOff>0</xdr:rowOff>
    </xdr:to>
    <xdr:sp>
      <xdr:nvSpPr>
        <xdr:cNvPr id="906" name="Line 906"/>
        <xdr:cNvSpPr>
          <a:spLocks/>
        </xdr:cNvSpPr>
      </xdr:nvSpPr>
      <xdr:spPr>
        <a:xfrm>
          <a:off x="28575" y="66836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587</xdr:row>
      <xdr:rowOff>0</xdr:rowOff>
    </xdr:from>
    <xdr:to>
      <xdr:col>2</xdr:col>
      <xdr:colOff>0</xdr:colOff>
      <xdr:row>587</xdr:row>
      <xdr:rowOff>0</xdr:rowOff>
    </xdr:to>
    <xdr:sp>
      <xdr:nvSpPr>
        <xdr:cNvPr id="907" name="Line 907"/>
        <xdr:cNvSpPr>
          <a:spLocks/>
        </xdr:cNvSpPr>
      </xdr:nvSpPr>
      <xdr:spPr>
        <a:xfrm>
          <a:off x="28575" y="66836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603</xdr:row>
      <xdr:rowOff>0</xdr:rowOff>
    </xdr:from>
    <xdr:to>
      <xdr:col>2</xdr:col>
      <xdr:colOff>0</xdr:colOff>
      <xdr:row>603</xdr:row>
      <xdr:rowOff>0</xdr:rowOff>
    </xdr:to>
    <xdr:sp>
      <xdr:nvSpPr>
        <xdr:cNvPr id="908" name="Line 908"/>
        <xdr:cNvSpPr>
          <a:spLocks/>
        </xdr:cNvSpPr>
      </xdr:nvSpPr>
      <xdr:spPr>
        <a:xfrm>
          <a:off x="28575" y="68780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603</xdr:row>
      <xdr:rowOff>0</xdr:rowOff>
    </xdr:from>
    <xdr:to>
      <xdr:col>2</xdr:col>
      <xdr:colOff>0</xdr:colOff>
      <xdr:row>603</xdr:row>
      <xdr:rowOff>0</xdr:rowOff>
    </xdr:to>
    <xdr:sp>
      <xdr:nvSpPr>
        <xdr:cNvPr id="909" name="Line 909"/>
        <xdr:cNvSpPr>
          <a:spLocks/>
        </xdr:cNvSpPr>
      </xdr:nvSpPr>
      <xdr:spPr>
        <a:xfrm>
          <a:off x="28575" y="68780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603</xdr:row>
      <xdr:rowOff>0</xdr:rowOff>
    </xdr:from>
    <xdr:to>
      <xdr:col>2</xdr:col>
      <xdr:colOff>0</xdr:colOff>
      <xdr:row>603</xdr:row>
      <xdr:rowOff>0</xdr:rowOff>
    </xdr:to>
    <xdr:sp>
      <xdr:nvSpPr>
        <xdr:cNvPr id="910" name="Line 910"/>
        <xdr:cNvSpPr>
          <a:spLocks/>
        </xdr:cNvSpPr>
      </xdr:nvSpPr>
      <xdr:spPr>
        <a:xfrm>
          <a:off x="28575" y="68780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911" name="Line 911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912" name="Line 912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913" name="Line 913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914" name="Line 914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915" name="Line 915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916" name="Line 916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917" name="Line 917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918" name="Line 918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919" name="Line 919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105</xdr:row>
      <xdr:rowOff>0</xdr:rowOff>
    </xdr:from>
    <xdr:to>
      <xdr:col>2</xdr:col>
      <xdr:colOff>0</xdr:colOff>
      <xdr:row>105</xdr:row>
      <xdr:rowOff>0</xdr:rowOff>
    </xdr:to>
    <xdr:sp>
      <xdr:nvSpPr>
        <xdr:cNvPr id="920" name="Line 920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343</xdr:row>
      <xdr:rowOff>0</xdr:rowOff>
    </xdr:from>
    <xdr:to>
      <xdr:col>2</xdr:col>
      <xdr:colOff>0</xdr:colOff>
      <xdr:row>343</xdr:row>
      <xdr:rowOff>0</xdr:rowOff>
    </xdr:to>
    <xdr:sp>
      <xdr:nvSpPr>
        <xdr:cNvPr id="921" name="Line 921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922" name="Line 922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587</xdr:row>
      <xdr:rowOff>0</xdr:rowOff>
    </xdr:from>
    <xdr:to>
      <xdr:col>2</xdr:col>
      <xdr:colOff>0</xdr:colOff>
      <xdr:row>587</xdr:row>
      <xdr:rowOff>0</xdr:rowOff>
    </xdr:to>
    <xdr:sp>
      <xdr:nvSpPr>
        <xdr:cNvPr id="923" name="Line 923"/>
        <xdr:cNvSpPr>
          <a:spLocks/>
        </xdr:cNvSpPr>
      </xdr:nvSpPr>
      <xdr:spPr>
        <a:xfrm>
          <a:off x="28575" y="66836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924" name="Line 924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343</xdr:row>
      <xdr:rowOff>0</xdr:rowOff>
    </xdr:from>
    <xdr:to>
      <xdr:col>2</xdr:col>
      <xdr:colOff>0</xdr:colOff>
      <xdr:row>343</xdr:row>
      <xdr:rowOff>0</xdr:rowOff>
    </xdr:to>
    <xdr:sp>
      <xdr:nvSpPr>
        <xdr:cNvPr id="925" name="Line 925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343</xdr:row>
      <xdr:rowOff>0</xdr:rowOff>
    </xdr:from>
    <xdr:to>
      <xdr:col>2</xdr:col>
      <xdr:colOff>0</xdr:colOff>
      <xdr:row>343</xdr:row>
      <xdr:rowOff>0</xdr:rowOff>
    </xdr:to>
    <xdr:sp>
      <xdr:nvSpPr>
        <xdr:cNvPr id="926" name="Line 926"/>
        <xdr:cNvSpPr>
          <a:spLocks/>
        </xdr:cNvSpPr>
      </xdr:nvSpPr>
      <xdr:spPr>
        <a:xfrm>
          <a:off x="28575" y="2581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587</xdr:row>
      <xdr:rowOff>0</xdr:rowOff>
    </xdr:from>
    <xdr:to>
      <xdr:col>2</xdr:col>
      <xdr:colOff>0</xdr:colOff>
      <xdr:row>587</xdr:row>
      <xdr:rowOff>0</xdr:rowOff>
    </xdr:to>
    <xdr:sp>
      <xdr:nvSpPr>
        <xdr:cNvPr id="927" name="Line 927"/>
        <xdr:cNvSpPr>
          <a:spLocks/>
        </xdr:cNvSpPr>
      </xdr:nvSpPr>
      <xdr:spPr>
        <a:xfrm>
          <a:off x="28575" y="66836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587</xdr:row>
      <xdr:rowOff>0</xdr:rowOff>
    </xdr:from>
    <xdr:to>
      <xdr:col>2</xdr:col>
      <xdr:colOff>0</xdr:colOff>
      <xdr:row>587</xdr:row>
      <xdr:rowOff>0</xdr:rowOff>
    </xdr:to>
    <xdr:sp>
      <xdr:nvSpPr>
        <xdr:cNvPr id="928" name="Line 928"/>
        <xdr:cNvSpPr>
          <a:spLocks/>
        </xdr:cNvSpPr>
      </xdr:nvSpPr>
      <xdr:spPr>
        <a:xfrm>
          <a:off x="28575" y="66836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603</xdr:row>
      <xdr:rowOff>0</xdr:rowOff>
    </xdr:from>
    <xdr:to>
      <xdr:col>2</xdr:col>
      <xdr:colOff>0</xdr:colOff>
      <xdr:row>603</xdr:row>
      <xdr:rowOff>0</xdr:rowOff>
    </xdr:to>
    <xdr:sp>
      <xdr:nvSpPr>
        <xdr:cNvPr id="929" name="Line 929"/>
        <xdr:cNvSpPr>
          <a:spLocks/>
        </xdr:cNvSpPr>
      </xdr:nvSpPr>
      <xdr:spPr>
        <a:xfrm>
          <a:off x="28575" y="68780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603</xdr:row>
      <xdr:rowOff>0</xdr:rowOff>
    </xdr:from>
    <xdr:to>
      <xdr:col>2</xdr:col>
      <xdr:colOff>0</xdr:colOff>
      <xdr:row>603</xdr:row>
      <xdr:rowOff>0</xdr:rowOff>
    </xdr:to>
    <xdr:sp>
      <xdr:nvSpPr>
        <xdr:cNvPr id="930" name="Line 930"/>
        <xdr:cNvSpPr>
          <a:spLocks/>
        </xdr:cNvSpPr>
      </xdr:nvSpPr>
      <xdr:spPr>
        <a:xfrm>
          <a:off x="28575" y="68780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603</xdr:row>
      <xdr:rowOff>0</xdr:rowOff>
    </xdr:from>
    <xdr:to>
      <xdr:col>2</xdr:col>
      <xdr:colOff>0</xdr:colOff>
      <xdr:row>603</xdr:row>
      <xdr:rowOff>0</xdr:rowOff>
    </xdr:to>
    <xdr:sp>
      <xdr:nvSpPr>
        <xdr:cNvPr id="931" name="Line 931"/>
        <xdr:cNvSpPr>
          <a:spLocks/>
        </xdr:cNvSpPr>
      </xdr:nvSpPr>
      <xdr:spPr>
        <a:xfrm>
          <a:off x="28575" y="68780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932" name="Line 932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933" name="Line 933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934" name="Line 934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935" name="Line 935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936" name="Line 936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937" name="Line 937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938" name="Line 938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939" name="Line 939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940" name="Line 940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941" name="Line 941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942" name="Line 942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943" name="Line 943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944" name="Line 944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945" name="Line 945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946" name="Line 946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947" name="Line 947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948" name="Line 948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949" name="Line 949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950" name="Line 950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951" name="Line 951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621</xdr:row>
      <xdr:rowOff>0</xdr:rowOff>
    </xdr:from>
    <xdr:to>
      <xdr:col>2</xdr:col>
      <xdr:colOff>0</xdr:colOff>
      <xdr:row>621</xdr:row>
      <xdr:rowOff>0</xdr:rowOff>
    </xdr:to>
    <xdr:sp>
      <xdr:nvSpPr>
        <xdr:cNvPr id="952" name="Line 952"/>
        <xdr:cNvSpPr>
          <a:spLocks/>
        </xdr:cNvSpPr>
      </xdr:nvSpPr>
      <xdr:spPr>
        <a:xfrm>
          <a:off x="28575" y="701516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53" name="Line 95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54" name="Line 95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55" name="Line 95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56" name="Line 95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57" name="Line 95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58" name="Line 95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59" name="Line 95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60" name="Line 96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61" name="Line 96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62" name="Line 96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63" name="Line 96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64" name="Line 96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65" name="Line 96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66" name="Line 96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67" name="Line 96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68" name="Line 96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69" name="Line 96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70" name="Line 97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71" name="Line 97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72" name="Line 97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73" name="Line 97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74" name="Line 97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75" name="Line 97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76" name="Line 97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77" name="Line 97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78" name="Line 97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79" name="Line 97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80" name="Line 98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81" name="Line 98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82" name="Line 98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83" name="Line 98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84" name="Line 98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85" name="Line 98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86" name="Line 98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159</xdr:row>
      <xdr:rowOff>0</xdr:rowOff>
    </xdr:from>
    <xdr:to>
      <xdr:col>2</xdr:col>
      <xdr:colOff>0</xdr:colOff>
      <xdr:row>159</xdr:row>
      <xdr:rowOff>0</xdr:rowOff>
    </xdr:to>
    <xdr:sp>
      <xdr:nvSpPr>
        <xdr:cNvPr id="987" name="Line 987"/>
        <xdr:cNvSpPr>
          <a:spLocks/>
        </xdr:cNvSpPr>
      </xdr:nvSpPr>
      <xdr:spPr>
        <a:xfrm>
          <a:off x="28575" y="7610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988" name="Line 988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159</xdr:row>
      <xdr:rowOff>0</xdr:rowOff>
    </xdr:from>
    <xdr:to>
      <xdr:col>2</xdr:col>
      <xdr:colOff>0</xdr:colOff>
      <xdr:row>159</xdr:row>
      <xdr:rowOff>0</xdr:rowOff>
    </xdr:to>
    <xdr:sp>
      <xdr:nvSpPr>
        <xdr:cNvPr id="989" name="Line 989"/>
        <xdr:cNvSpPr>
          <a:spLocks/>
        </xdr:cNvSpPr>
      </xdr:nvSpPr>
      <xdr:spPr>
        <a:xfrm>
          <a:off x="28575" y="7610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272</xdr:row>
      <xdr:rowOff>0</xdr:rowOff>
    </xdr:from>
    <xdr:to>
      <xdr:col>2</xdr:col>
      <xdr:colOff>0</xdr:colOff>
      <xdr:row>272</xdr:row>
      <xdr:rowOff>0</xdr:rowOff>
    </xdr:to>
    <xdr:sp>
      <xdr:nvSpPr>
        <xdr:cNvPr id="990" name="Line 990"/>
        <xdr:cNvSpPr>
          <a:spLocks/>
        </xdr:cNvSpPr>
      </xdr:nvSpPr>
      <xdr:spPr>
        <a:xfrm>
          <a:off x="28575" y="225933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991" name="Line 991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339</xdr:row>
      <xdr:rowOff>0</xdr:rowOff>
    </xdr:from>
    <xdr:to>
      <xdr:col>2</xdr:col>
      <xdr:colOff>0</xdr:colOff>
      <xdr:row>339</xdr:row>
      <xdr:rowOff>0</xdr:rowOff>
    </xdr:to>
    <xdr:sp>
      <xdr:nvSpPr>
        <xdr:cNvPr id="992" name="Line 992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993" name="Line 993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272</xdr:row>
      <xdr:rowOff>0</xdr:rowOff>
    </xdr:from>
    <xdr:to>
      <xdr:col>2</xdr:col>
      <xdr:colOff>0</xdr:colOff>
      <xdr:row>272</xdr:row>
      <xdr:rowOff>0</xdr:rowOff>
    </xdr:to>
    <xdr:sp>
      <xdr:nvSpPr>
        <xdr:cNvPr id="994" name="Line 994"/>
        <xdr:cNvSpPr>
          <a:spLocks/>
        </xdr:cNvSpPr>
      </xdr:nvSpPr>
      <xdr:spPr>
        <a:xfrm>
          <a:off x="28575" y="225933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272</xdr:row>
      <xdr:rowOff>0</xdr:rowOff>
    </xdr:from>
    <xdr:to>
      <xdr:col>2</xdr:col>
      <xdr:colOff>0</xdr:colOff>
      <xdr:row>272</xdr:row>
      <xdr:rowOff>0</xdr:rowOff>
    </xdr:to>
    <xdr:sp>
      <xdr:nvSpPr>
        <xdr:cNvPr id="995" name="Line 995"/>
        <xdr:cNvSpPr>
          <a:spLocks/>
        </xdr:cNvSpPr>
      </xdr:nvSpPr>
      <xdr:spPr>
        <a:xfrm>
          <a:off x="28575" y="225933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339</xdr:row>
      <xdr:rowOff>0</xdr:rowOff>
    </xdr:from>
    <xdr:to>
      <xdr:col>2</xdr:col>
      <xdr:colOff>0</xdr:colOff>
      <xdr:row>339</xdr:row>
      <xdr:rowOff>0</xdr:rowOff>
    </xdr:to>
    <xdr:sp>
      <xdr:nvSpPr>
        <xdr:cNvPr id="996" name="Line 996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339</xdr:row>
      <xdr:rowOff>0</xdr:rowOff>
    </xdr:from>
    <xdr:to>
      <xdr:col>2</xdr:col>
      <xdr:colOff>0</xdr:colOff>
      <xdr:row>339</xdr:row>
      <xdr:rowOff>0</xdr:rowOff>
    </xdr:to>
    <xdr:sp>
      <xdr:nvSpPr>
        <xdr:cNvPr id="997" name="Line 997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98" name="Line 99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999" name="Line 99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000" name="Line 100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456</xdr:row>
      <xdr:rowOff>0</xdr:rowOff>
    </xdr:from>
    <xdr:to>
      <xdr:col>2</xdr:col>
      <xdr:colOff>0</xdr:colOff>
      <xdr:row>456</xdr:row>
      <xdr:rowOff>0</xdr:rowOff>
    </xdr:to>
    <xdr:sp>
      <xdr:nvSpPr>
        <xdr:cNvPr id="1001" name="Line 1001"/>
        <xdr:cNvSpPr>
          <a:spLocks/>
        </xdr:cNvSpPr>
      </xdr:nvSpPr>
      <xdr:spPr>
        <a:xfrm>
          <a:off x="28575" y="481203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456</xdr:row>
      <xdr:rowOff>0</xdr:rowOff>
    </xdr:from>
    <xdr:to>
      <xdr:col>2</xdr:col>
      <xdr:colOff>0</xdr:colOff>
      <xdr:row>456</xdr:row>
      <xdr:rowOff>0</xdr:rowOff>
    </xdr:to>
    <xdr:sp>
      <xdr:nvSpPr>
        <xdr:cNvPr id="1002" name="Line 1002"/>
        <xdr:cNvSpPr>
          <a:spLocks/>
        </xdr:cNvSpPr>
      </xdr:nvSpPr>
      <xdr:spPr>
        <a:xfrm>
          <a:off x="28575" y="481203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456</xdr:row>
      <xdr:rowOff>0</xdr:rowOff>
    </xdr:from>
    <xdr:to>
      <xdr:col>2</xdr:col>
      <xdr:colOff>0</xdr:colOff>
      <xdr:row>456</xdr:row>
      <xdr:rowOff>0</xdr:rowOff>
    </xdr:to>
    <xdr:sp>
      <xdr:nvSpPr>
        <xdr:cNvPr id="1003" name="Line 1003"/>
        <xdr:cNvSpPr>
          <a:spLocks/>
        </xdr:cNvSpPr>
      </xdr:nvSpPr>
      <xdr:spPr>
        <a:xfrm>
          <a:off x="28575" y="481203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159</xdr:row>
      <xdr:rowOff>0</xdr:rowOff>
    </xdr:from>
    <xdr:to>
      <xdr:col>2</xdr:col>
      <xdr:colOff>0</xdr:colOff>
      <xdr:row>159</xdr:row>
      <xdr:rowOff>0</xdr:rowOff>
    </xdr:to>
    <xdr:sp>
      <xdr:nvSpPr>
        <xdr:cNvPr id="1004" name="Line 1004"/>
        <xdr:cNvSpPr>
          <a:spLocks/>
        </xdr:cNvSpPr>
      </xdr:nvSpPr>
      <xdr:spPr>
        <a:xfrm>
          <a:off x="28575" y="7610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1005" name="Line 1005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159</xdr:row>
      <xdr:rowOff>0</xdr:rowOff>
    </xdr:from>
    <xdr:to>
      <xdr:col>2</xdr:col>
      <xdr:colOff>0</xdr:colOff>
      <xdr:row>159</xdr:row>
      <xdr:rowOff>0</xdr:rowOff>
    </xdr:to>
    <xdr:sp>
      <xdr:nvSpPr>
        <xdr:cNvPr id="1006" name="Line 1006"/>
        <xdr:cNvSpPr>
          <a:spLocks/>
        </xdr:cNvSpPr>
      </xdr:nvSpPr>
      <xdr:spPr>
        <a:xfrm>
          <a:off x="28575" y="7610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272</xdr:row>
      <xdr:rowOff>0</xdr:rowOff>
    </xdr:from>
    <xdr:to>
      <xdr:col>2</xdr:col>
      <xdr:colOff>0</xdr:colOff>
      <xdr:row>272</xdr:row>
      <xdr:rowOff>0</xdr:rowOff>
    </xdr:to>
    <xdr:sp>
      <xdr:nvSpPr>
        <xdr:cNvPr id="1007" name="Line 1007"/>
        <xdr:cNvSpPr>
          <a:spLocks/>
        </xdr:cNvSpPr>
      </xdr:nvSpPr>
      <xdr:spPr>
        <a:xfrm>
          <a:off x="28575" y="225933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1008" name="Line 1008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339</xdr:row>
      <xdr:rowOff>0</xdr:rowOff>
    </xdr:from>
    <xdr:to>
      <xdr:col>2</xdr:col>
      <xdr:colOff>0</xdr:colOff>
      <xdr:row>339</xdr:row>
      <xdr:rowOff>0</xdr:rowOff>
    </xdr:to>
    <xdr:sp>
      <xdr:nvSpPr>
        <xdr:cNvPr id="1009" name="Line 1009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1010" name="Line 1010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272</xdr:row>
      <xdr:rowOff>0</xdr:rowOff>
    </xdr:from>
    <xdr:to>
      <xdr:col>2</xdr:col>
      <xdr:colOff>0</xdr:colOff>
      <xdr:row>272</xdr:row>
      <xdr:rowOff>0</xdr:rowOff>
    </xdr:to>
    <xdr:sp>
      <xdr:nvSpPr>
        <xdr:cNvPr id="1011" name="Line 1011"/>
        <xdr:cNvSpPr>
          <a:spLocks/>
        </xdr:cNvSpPr>
      </xdr:nvSpPr>
      <xdr:spPr>
        <a:xfrm>
          <a:off x="28575" y="225933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272</xdr:row>
      <xdr:rowOff>0</xdr:rowOff>
    </xdr:from>
    <xdr:to>
      <xdr:col>2</xdr:col>
      <xdr:colOff>0</xdr:colOff>
      <xdr:row>272</xdr:row>
      <xdr:rowOff>0</xdr:rowOff>
    </xdr:to>
    <xdr:sp>
      <xdr:nvSpPr>
        <xdr:cNvPr id="1012" name="Line 1012"/>
        <xdr:cNvSpPr>
          <a:spLocks/>
        </xdr:cNvSpPr>
      </xdr:nvSpPr>
      <xdr:spPr>
        <a:xfrm>
          <a:off x="28575" y="225933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339</xdr:row>
      <xdr:rowOff>0</xdr:rowOff>
    </xdr:from>
    <xdr:to>
      <xdr:col>2</xdr:col>
      <xdr:colOff>0</xdr:colOff>
      <xdr:row>339</xdr:row>
      <xdr:rowOff>0</xdr:rowOff>
    </xdr:to>
    <xdr:sp>
      <xdr:nvSpPr>
        <xdr:cNvPr id="1013" name="Line 1013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339</xdr:row>
      <xdr:rowOff>0</xdr:rowOff>
    </xdr:from>
    <xdr:to>
      <xdr:col>2</xdr:col>
      <xdr:colOff>0</xdr:colOff>
      <xdr:row>339</xdr:row>
      <xdr:rowOff>0</xdr:rowOff>
    </xdr:to>
    <xdr:sp>
      <xdr:nvSpPr>
        <xdr:cNvPr id="1014" name="Line 1014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015" name="Line 101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016" name="Line 101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017" name="Line 101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456</xdr:row>
      <xdr:rowOff>0</xdr:rowOff>
    </xdr:from>
    <xdr:to>
      <xdr:col>2</xdr:col>
      <xdr:colOff>0</xdr:colOff>
      <xdr:row>456</xdr:row>
      <xdr:rowOff>0</xdr:rowOff>
    </xdr:to>
    <xdr:sp>
      <xdr:nvSpPr>
        <xdr:cNvPr id="1018" name="Line 1018"/>
        <xdr:cNvSpPr>
          <a:spLocks/>
        </xdr:cNvSpPr>
      </xdr:nvSpPr>
      <xdr:spPr>
        <a:xfrm>
          <a:off x="28575" y="481203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456</xdr:row>
      <xdr:rowOff>0</xdr:rowOff>
    </xdr:from>
    <xdr:to>
      <xdr:col>2</xdr:col>
      <xdr:colOff>0</xdr:colOff>
      <xdr:row>456</xdr:row>
      <xdr:rowOff>0</xdr:rowOff>
    </xdr:to>
    <xdr:sp>
      <xdr:nvSpPr>
        <xdr:cNvPr id="1019" name="Line 1019"/>
        <xdr:cNvSpPr>
          <a:spLocks/>
        </xdr:cNvSpPr>
      </xdr:nvSpPr>
      <xdr:spPr>
        <a:xfrm>
          <a:off x="28575" y="481203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456</xdr:row>
      <xdr:rowOff>0</xdr:rowOff>
    </xdr:from>
    <xdr:to>
      <xdr:col>2</xdr:col>
      <xdr:colOff>0</xdr:colOff>
      <xdr:row>456</xdr:row>
      <xdr:rowOff>0</xdr:rowOff>
    </xdr:to>
    <xdr:sp>
      <xdr:nvSpPr>
        <xdr:cNvPr id="1020" name="Line 1020"/>
        <xdr:cNvSpPr>
          <a:spLocks/>
        </xdr:cNvSpPr>
      </xdr:nvSpPr>
      <xdr:spPr>
        <a:xfrm>
          <a:off x="28575" y="481203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461</xdr:row>
      <xdr:rowOff>0</xdr:rowOff>
    </xdr:from>
    <xdr:to>
      <xdr:col>2</xdr:col>
      <xdr:colOff>0</xdr:colOff>
      <xdr:row>461</xdr:row>
      <xdr:rowOff>0</xdr:rowOff>
    </xdr:to>
    <xdr:sp>
      <xdr:nvSpPr>
        <xdr:cNvPr id="1021" name="Line 1021"/>
        <xdr:cNvSpPr>
          <a:spLocks/>
        </xdr:cNvSpPr>
      </xdr:nvSpPr>
      <xdr:spPr>
        <a:xfrm>
          <a:off x="28575" y="49396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461</xdr:row>
      <xdr:rowOff>0</xdr:rowOff>
    </xdr:from>
    <xdr:to>
      <xdr:col>2</xdr:col>
      <xdr:colOff>0</xdr:colOff>
      <xdr:row>461</xdr:row>
      <xdr:rowOff>0</xdr:rowOff>
    </xdr:to>
    <xdr:sp>
      <xdr:nvSpPr>
        <xdr:cNvPr id="1022" name="Line 1022"/>
        <xdr:cNvSpPr>
          <a:spLocks/>
        </xdr:cNvSpPr>
      </xdr:nvSpPr>
      <xdr:spPr>
        <a:xfrm>
          <a:off x="28575" y="49396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461</xdr:row>
      <xdr:rowOff>0</xdr:rowOff>
    </xdr:from>
    <xdr:to>
      <xdr:col>2</xdr:col>
      <xdr:colOff>0</xdr:colOff>
      <xdr:row>461</xdr:row>
      <xdr:rowOff>0</xdr:rowOff>
    </xdr:to>
    <xdr:sp>
      <xdr:nvSpPr>
        <xdr:cNvPr id="1023" name="Line 1023"/>
        <xdr:cNvSpPr>
          <a:spLocks/>
        </xdr:cNvSpPr>
      </xdr:nvSpPr>
      <xdr:spPr>
        <a:xfrm>
          <a:off x="28575" y="49396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550</xdr:row>
      <xdr:rowOff>0</xdr:rowOff>
    </xdr:from>
    <xdr:to>
      <xdr:col>2</xdr:col>
      <xdr:colOff>0</xdr:colOff>
      <xdr:row>550</xdr:row>
      <xdr:rowOff>0</xdr:rowOff>
    </xdr:to>
    <xdr:sp>
      <xdr:nvSpPr>
        <xdr:cNvPr id="1024" name="Line 0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550</xdr:row>
      <xdr:rowOff>0</xdr:rowOff>
    </xdr:from>
    <xdr:to>
      <xdr:col>2</xdr:col>
      <xdr:colOff>0</xdr:colOff>
      <xdr:row>550</xdr:row>
      <xdr:rowOff>0</xdr:rowOff>
    </xdr:to>
    <xdr:sp>
      <xdr:nvSpPr>
        <xdr:cNvPr id="1025" name="Line 1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550</xdr:row>
      <xdr:rowOff>0</xdr:rowOff>
    </xdr:from>
    <xdr:to>
      <xdr:col>2</xdr:col>
      <xdr:colOff>0</xdr:colOff>
      <xdr:row>550</xdr:row>
      <xdr:rowOff>0</xdr:rowOff>
    </xdr:to>
    <xdr:sp>
      <xdr:nvSpPr>
        <xdr:cNvPr id="1026" name="Line 2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461</xdr:row>
      <xdr:rowOff>0</xdr:rowOff>
    </xdr:from>
    <xdr:to>
      <xdr:col>2</xdr:col>
      <xdr:colOff>0</xdr:colOff>
      <xdr:row>461</xdr:row>
      <xdr:rowOff>0</xdr:rowOff>
    </xdr:to>
    <xdr:sp>
      <xdr:nvSpPr>
        <xdr:cNvPr id="1027" name="Line 3"/>
        <xdr:cNvSpPr>
          <a:spLocks/>
        </xdr:cNvSpPr>
      </xdr:nvSpPr>
      <xdr:spPr>
        <a:xfrm>
          <a:off x="28575" y="49396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461</xdr:row>
      <xdr:rowOff>0</xdr:rowOff>
    </xdr:from>
    <xdr:to>
      <xdr:col>2</xdr:col>
      <xdr:colOff>0</xdr:colOff>
      <xdr:row>461</xdr:row>
      <xdr:rowOff>0</xdr:rowOff>
    </xdr:to>
    <xdr:sp>
      <xdr:nvSpPr>
        <xdr:cNvPr id="1028" name="Line 4"/>
        <xdr:cNvSpPr>
          <a:spLocks/>
        </xdr:cNvSpPr>
      </xdr:nvSpPr>
      <xdr:spPr>
        <a:xfrm>
          <a:off x="28575" y="49396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461</xdr:row>
      <xdr:rowOff>0</xdr:rowOff>
    </xdr:from>
    <xdr:to>
      <xdr:col>2</xdr:col>
      <xdr:colOff>0</xdr:colOff>
      <xdr:row>461</xdr:row>
      <xdr:rowOff>0</xdr:rowOff>
    </xdr:to>
    <xdr:sp>
      <xdr:nvSpPr>
        <xdr:cNvPr id="1029" name="Line 5"/>
        <xdr:cNvSpPr>
          <a:spLocks/>
        </xdr:cNvSpPr>
      </xdr:nvSpPr>
      <xdr:spPr>
        <a:xfrm>
          <a:off x="28575" y="49396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550</xdr:row>
      <xdr:rowOff>0</xdr:rowOff>
    </xdr:from>
    <xdr:to>
      <xdr:col>2</xdr:col>
      <xdr:colOff>0</xdr:colOff>
      <xdr:row>550</xdr:row>
      <xdr:rowOff>0</xdr:rowOff>
    </xdr:to>
    <xdr:sp>
      <xdr:nvSpPr>
        <xdr:cNvPr id="1030" name="Line 6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550</xdr:row>
      <xdr:rowOff>0</xdr:rowOff>
    </xdr:from>
    <xdr:to>
      <xdr:col>2</xdr:col>
      <xdr:colOff>0</xdr:colOff>
      <xdr:row>550</xdr:row>
      <xdr:rowOff>0</xdr:rowOff>
    </xdr:to>
    <xdr:sp>
      <xdr:nvSpPr>
        <xdr:cNvPr id="1031" name="Line 7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550</xdr:row>
      <xdr:rowOff>0</xdr:rowOff>
    </xdr:from>
    <xdr:to>
      <xdr:col>2</xdr:col>
      <xdr:colOff>0</xdr:colOff>
      <xdr:row>550</xdr:row>
      <xdr:rowOff>0</xdr:rowOff>
    </xdr:to>
    <xdr:sp>
      <xdr:nvSpPr>
        <xdr:cNvPr id="1032" name="Line 8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461</xdr:row>
      <xdr:rowOff>0</xdr:rowOff>
    </xdr:from>
    <xdr:to>
      <xdr:col>2</xdr:col>
      <xdr:colOff>0</xdr:colOff>
      <xdr:row>461</xdr:row>
      <xdr:rowOff>0</xdr:rowOff>
    </xdr:to>
    <xdr:sp>
      <xdr:nvSpPr>
        <xdr:cNvPr id="1033" name="Line 9"/>
        <xdr:cNvSpPr>
          <a:spLocks/>
        </xdr:cNvSpPr>
      </xdr:nvSpPr>
      <xdr:spPr>
        <a:xfrm>
          <a:off x="28575" y="49396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461</xdr:row>
      <xdr:rowOff>0</xdr:rowOff>
    </xdr:from>
    <xdr:to>
      <xdr:col>2</xdr:col>
      <xdr:colOff>0</xdr:colOff>
      <xdr:row>461</xdr:row>
      <xdr:rowOff>0</xdr:rowOff>
    </xdr:to>
    <xdr:sp>
      <xdr:nvSpPr>
        <xdr:cNvPr id="1034" name="Line 10"/>
        <xdr:cNvSpPr>
          <a:spLocks/>
        </xdr:cNvSpPr>
      </xdr:nvSpPr>
      <xdr:spPr>
        <a:xfrm>
          <a:off x="28575" y="49396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461</xdr:row>
      <xdr:rowOff>0</xdr:rowOff>
    </xdr:from>
    <xdr:to>
      <xdr:col>2</xdr:col>
      <xdr:colOff>0</xdr:colOff>
      <xdr:row>461</xdr:row>
      <xdr:rowOff>0</xdr:rowOff>
    </xdr:to>
    <xdr:sp>
      <xdr:nvSpPr>
        <xdr:cNvPr id="1035" name="Line 11"/>
        <xdr:cNvSpPr>
          <a:spLocks/>
        </xdr:cNvSpPr>
      </xdr:nvSpPr>
      <xdr:spPr>
        <a:xfrm>
          <a:off x="28575" y="49396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550</xdr:row>
      <xdr:rowOff>0</xdr:rowOff>
    </xdr:from>
    <xdr:to>
      <xdr:col>2</xdr:col>
      <xdr:colOff>0</xdr:colOff>
      <xdr:row>550</xdr:row>
      <xdr:rowOff>0</xdr:rowOff>
    </xdr:to>
    <xdr:sp>
      <xdr:nvSpPr>
        <xdr:cNvPr id="1036" name="Line 12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550</xdr:row>
      <xdr:rowOff>0</xdr:rowOff>
    </xdr:from>
    <xdr:to>
      <xdr:col>2</xdr:col>
      <xdr:colOff>0</xdr:colOff>
      <xdr:row>550</xdr:row>
      <xdr:rowOff>0</xdr:rowOff>
    </xdr:to>
    <xdr:sp>
      <xdr:nvSpPr>
        <xdr:cNvPr id="1037" name="Line 13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550</xdr:row>
      <xdr:rowOff>0</xdr:rowOff>
    </xdr:from>
    <xdr:to>
      <xdr:col>2</xdr:col>
      <xdr:colOff>0</xdr:colOff>
      <xdr:row>550</xdr:row>
      <xdr:rowOff>0</xdr:rowOff>
    </xdr:to>
    <xdr:sp>
      <xdr:nvSpPr>
        <xdr:cNvPr id="1038" name="Line 14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039" name="Line 15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1040" name="Line 16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041" name="Line 17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1042" name="Line 18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043" name="Line 19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044" name="Line 20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337</xdr:row>
      <xdr:rowOff>0</xdr:rowOff>
    </xdr:from>
    <xdr:to>
      <xdr:col>2</xdr:col>
      <xdr:colOff>0</xdr:colOff>
      <xdr:row>337</xdr:row>
      <xdr:rowOff>0</xdr:rowOff>
    </xdr:to>
    <xdr:sp>
      <xdr:nvSpPr>
        <xdr:cNvPr id="1045" name="Line 21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046" name="Line 22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047" name="Line 23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048" name="Line 24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337</xdr:row>
      <xdr:rowOff>0</xdr:rowOff>
    </xdr:from>
    <xdr:to>
      <xdr:col>2</xdr:col>
      <xdr:colOff>0</xdr:colOff>
      <xdr:row>337</xdr:row>
      <xdr:rowOff>0</xdr:rowOff>
    </xdr:to>
    <xdr:sp>
      <xdr:nvSpPr>
        <xdr:cNvPr id="1049" name="Line 25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337</xdr:row>
      <xdr:rowOff>0</xdr:rowOff>
    </xdr:from>
    <xdr:to>
      <xdr:col>2</xdr:col>
      <xdr:colOff>0</xdr:colOff>
      <xdr:row>337</xdr:row>
      <xdr:rowOff>0</xdr:rowOff>
    </xdr:to>
    <xdr:sp>
      <xdr:nvSpPr>
        <xdr:cNvPr id="1050" name="Line 26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359</xdr:row>
      <xdr:rowOff>0</xdr:rowOff>
    </xdr:from>
    <xdr:to>
      <xdr:col>2</xdr:col>
      <xdr:colOff>0</xdr:colOff>
      <xdr:row>359</xdr:row>
      <xdr:rowOff>0</xdr:rowOff>
    </xdr:to>
    <xdr:sp>
      <xdr:nvSpPr>
        <xdr:cNvPr id="1051" name="Line 27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359</xdr:row>
      <xdr:rowOff>0</xdr:rowOff>
    </xdr:from>
    <xdr:to>
      <xdr:col>2</xdr:col>
      <xdr:colOff>0</xdr:colOff>
      <xdr:row>359</xdr:row>
      <xdr:rowOff>0</xdr:rowOff>
    </xdr:to>
    <xdr:sp>
      <xdr:nvSpPr>
        <xdr:cNvPr id="1052" name="Line 28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359</xdr:row>
      <xdr:rowOff>0</xdr:rowOff>
    </xdr:from>
    <xdr:to>
      <xdr:col>2</xdr:col>
      <xdr:colOff>0</xdr:colOff>
      <xdr:row>359</xdr:row>
      <xdr:rowOff>0</xdr:rowOff>
    </xdr:to>
    <xdr:sp>
      <xdr:nvSpPr>
        <xdr:cNvPr id="1053" name="Line 29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054" name="Line 3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055" name="Line 3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056" name="Line 3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057" name="Line 3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058" name="Line 3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059" name="Line 3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060" name="Line 36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1061" name="Line 37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062" name="Line 38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1063" name="Line 39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064" name="Line 40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065" name="Line 41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337</xdr:row>
      <xdr:rowOff>0</xdr:rowOff>
    </xdr:from>
    <xdr:to>
      <xdr:col>2</xdr:col>
      <xdr:colOff>0</xdr:colOff>
      <xdr:row>337</xdr:row>
      <xdr:rowOff>0</xdr:rowOff>
    </xdr:to>
    <xdr:sp>
      <xdr:nvSpPr>
        <xdr:cNvPr id="1066" name="Line 42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067" name="Line 43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068" name="Line 44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069" name="Line 45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337</xdr:row>
      <xdr:rowOff>0</xdr:rowOff>
    </xdr:from>
    <xdr:to>
      <xdr:col>2</xdr:col>
      <xdr:colOff>0</xdr:colOff>
      <xdr:row>337</xdr:row>
      <xdr:rowOff>0</xdr:rowOff>
    </xdr:to>
    <xdr:sp>
      <xdr:nvSpPr>
        <xdr:cNvPr id="1070" name="Line 46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337</xdr:row>
      <xdr:rowOff>0</xdr:rowOff>
    </xdr:from>
    <xdr:to>
      <xdr:col>2</xdr:col>
      <xdr:colOff>0</xdr:colOff>
      <xdr:row>337</xdr:row>
      <xdr:rowOff>0</xdr:rowOff>
    </xdr:to>
    <xdr:sp>
      <xdr:nvSpPr>
        <xdr:cNvPr id="1071" name="Line 47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359</xdr:row>
      <xdr:rowOff>0</xdr:rowOff>
    </xdr:from>
    <xdr:to>
      <xdr:col>2</xdr:col>
      <xdr:colOff>0</xdr:colOff>
      <xdr:row>359</xdr:row>
      <xdr:rowOff>0</xdr:rowOff>
    </xdr:to>
    <xdr:sp>
      <xdr:nvSpPr>
        <xdr:cNvPr id="1072" name="Line 48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359</xdr:row>
      <xdr:rowOff>0</xdr:rowOff>
    </xdr:from>
    <xdr:to>
      <xdr:col>2</xdr:col>
      <xdr:colOff>0</xdr:colOff>
      <xdr:row>359</xdr:row>
      <xdr:rowOff>0</xdr:rowOff>
    </xdr:to>
    <xdr:sp>
      <xdr:nvSpPr>
        <xdr:cNvPr id="1073" name="Line 49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359</xdr:row>
      <xdr:rowOff>0</xdr:rowOff>
    </xdr:from>
    <xdr:to>
      <xdr:col>2</xdr:col>
      <xdr:colOff>0</xdr:colOff>
      <xdr:row>359</xdr:row>
      <xdr:rowOff>0</xdr:rowOff>
    </xdr:to>
    <xdr:sp>
      <xdr:nvSpPr>
        <xdr:cNvPr id="1074" name="Line 50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075" name="Line 5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076" name="Line 5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077" name="Line 5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078" name="Line 5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079" name="Line 5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080" name="Line 5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081" name="Line 57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1082" name="Line 58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083" name="Line 59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1084" name="Line 60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085" name="Line 61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086" name="Line 62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337</xdr:row>
      <xdr:rowOff>0</xdr:rowOff>
    </xdr:from>
    <xdr:to>
      <xdr:col>2</xdr:col>
      <xdr:colOff>0</xdr:colOff>
      <xdr:row>337</xdr:row>
      <xdr:rowOff>0</xdr:rowOff>
    </xdr:to>
    <xdr:sp>
      <xdr:nvSpPr>
        <xdr:cNvPr id="1087" name="Line 63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088" name="Line 64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089" name="Line 65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090" name="Line 66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337</xdr:row>
      <xdr:rowOff>0</xdr:rowOff>
    </xdr:from>
    <xdr:to>
      <xdr:col>2</xdr:col>
      <xdr:colOff>0</xdr:colOff>
      <xdr:row>337</xdr:row>
      <xdr:rowOff>0</xdr:rowOff>
    </xdr:to>
    <xdr:sp>
      <xdr:nvSpPr>
        <xdr:cNvPr id="1091" name="Line 67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337</xdr:row>
      <xdr:rowOff>0</xdr:rowOff>
    </xdr:from>
    <xdr:to>
      <xdr:col>2</xdr:col>
      <xdr:colOff>0</xdr:colOff>
      <xdr:row>337</xdr:row>
      <xdr:rowOff>0</xdr:rowOff>
    </xdr:to>
    <xdr:sp>
      <xdr:nvSpPr>
        <xdr:cNvPr id="1092" name="Line 68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359</xdr:row>
      <xdr:rowOff>0</xdr:rowOff>
    </xdr:from>
    <xdr:to>
      <xdr:col>2</xdr:col>
      <xdr:colOff>0</xdr:colOff>
      <xdr:row>359</xdr:row>
      <xdr:rowOff>0</xdr:rowOff>
    </xdr:to>
    <xdr:sp>
      <xdr:nvSpPr>
        <xdr:cNvPr id="1093" name="Line 69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359</xdr:row>
      <xdr:rowOff>0</xdr:rowOff>
    </xdr:from>
    <xdr:to>
      <xdr:col>2</xdr:col>
      <xdr:colOff>0</xdr:colOff>
      <xdr:row>359</xdr:row>
      <xdr:rowOff>0</xdr:rowOff>
    </xdr:to>
    <xdr:sp>
      <xdr:nvSpPr>
        <xdr:cNvPr id="1094" name="Line 70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359</xdr:row>
      <xdr:rowOff>0</xdr:rowOff>
    </xdr:from>
    <xdr:to>
      <xdr:col>2</xdr:col>
      <xdr:colOff>0</xdr:colOff>
      <xdr:row>359</xdr:row>
      <xdr:rowOff>0</xdr:rowOff>
    </xdr:to>
    <xdr:sp>
      <xdr:nvSpPr>
        <xdr:cNvPr id="1095" name="Line 71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096" name="Line 7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097" name="Line 7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098" name="Line 7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099" name="Line 7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100" name="Line 7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101" name="Line 7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102" name="Line 78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1103" name="Line 79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104" name="Line 80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1105" name="Line 81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106" name="Line 82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107" name="Line 83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337</xdr:row>
      <xdr:rowOff>0</xdr:rowOff>
    </xdr:from>
    <xdr:to>
      <xdr:col>2</xdr:col>
      <xdr:colOff>0</xdr:colOff>
      <xdr:row>337</xdr:row>
      <xdr:rowOff>0</xdr:rowOff>
    </xdr:to>
    <xdr:sp>
      <xdr:nvSpPr>
        <xdr:cNvPr id="1108" name="Line 84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109" name="Line 85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110" name="Line 86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111" name="Line 87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337</xdr:row>
      <xdr:rowOff>0</xdr:rowOff>
    </xdr:from>
    <xdr:to>
      <xdr:col>2</xdr:col>
      <xdr:colOff>0</xdr:colOff>
      <xdr:row>337</xdr:row>
      <xdr:rowOff>0</xdr:rowOff>
    </xdr:to>
    <xdr:sp>
      <xdr:nvSpPr>
        <xdr:cNvPr id="1112" name="Line 88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337</xdr:row>
      <xdr:rowOff>0</xdr:rowOff>
    </xdr:from>
    <xdr:to>
      <xdr:col>2</xdr:col>
      <xdr:colOff>0</xdr:colOff>
      <xdr:row>337</xdr:row>
      <xdr:rowOff>0</xdr:rowOff>
    </xdr:to>
    <xdr:sp>
      <xdr:nvSpPr>
        <xdr:cNvPr id="1113" name="Line 89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359</xdr:row>
      <xdr:rowOff>0</xdr:rowOff>
    </xdr:from>
    <xdr:to>
      <xdr:col>2</xdr:col>
      <xdr:colOff>0</xdr:colOff>
      <xdr:row>359</xdr:row>
      <xdr:rowOff>0</xdr:rowOff>
    </xdr:to>
    <xdr:sp>
      <xdr:nvSpPr>
        <xdr:cNvPr id="1114" name="Line 90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359</xdr:row>
      <xdr:rowOff>0</xdr:rowOff>
    </xdr:from>
    <xdr:to>
      <xdr:col>2</xdr:col>
      <xdr:colOff>0</xdr:colOff>
      <xdr:row>359</xdr:row>
      <xdr:rowOff>0</xdr:rowOff>
    </xdr:to>
    <xdr:sp>
      <xdr:nvSpPr>
        <xdr:cNvPr id="1115" name="Line 91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359</xdr:row>
      <xdr:rowOff>0</xdr:rowOff>
    </xdr:from>
    <xdr:to>
      <xdr:col>2</xdr:col>
      <xdr:colOff>0</xdr:colOff>
      <xdr:row>359</xdr:row>
      <xdr:rowOff>0</xdr:rowOff>
    </xdr:to>
    <xdr:sp>
      <xdr:nvSpPr>
        <xdr:cNvPr id="1116" name="Line 92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117" name="Line 9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118" name="Line 9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119" name="Line 9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120" name="Line 9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121" name="Line 9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122" name="Line 9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123" name="Line 99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1124" name="Line 100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125" name="Line 101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1126" name="Line 102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127" name="Line 103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128" name="Line 104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337</xdr:row>
      <xdr:rowOff>0</xdr:rowOff>
    </xdr:from>
    <xdr:to>
      <xdr:col>2</xdr:col>
      <xdr:colOff>0</xdr:colOff>
      <xdr:row>337</xdr:row>
      <xdr:rowOff>0</xdr:rowOff>
    </xdr:to>
    <xdr:sp>
      <xdr:nvSpPr>
        <xdr:cNvPr id="1129" name="Line 105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130" name="Line 106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131" name="Line 107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132" name="Line 108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337</xdr:row>
      <xdr:rowOff>0</xdr:rowOff>
    </xdr:from>
    <xdr:to>
      <xdr:col>2</xdr:col>
      <xdr:colOff>0</xdr:colOff>
      <xdr:row>337</xdr:row>
      <xdr:rowOff>0</xdr:rowOff>
    </xdr:to>
    <xdr:sp>
      <xdr:nvSpPr>
        <xdr:cNvPr id="1133" name="Line 109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337</xdr:row>
      <xdr:rowOff>0</xdr:rowOff>
    </xdr:from>
    <xdr:to>
      <xdr:col>2</xdr:col>
      <xdr:colOff>0</xdr:colOff>
      <xdr:row>337</xdr:row>
      <xdr:rowOff>0</xdr:rowOff>
    </xdr:to>
    <xdr:sp>
      <xdr:nvSpPr>
        <xdr:cNvPr id="1134" name="Line 110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359</xdr:row>
      <xdr:rowOff>0</xdr:rowOff>
    </xdr:from>
    <xdr:to>
      <xdr:col>2</xdr:col>
      <xdr:colOff>0</xdr:colOff>
      <xdr:row>359</xdr:row>
      <xdr:rowOff>0</xdr:rowOff>
    </xdr:to>
    <xdr:sp>
      <xdr:nvSpPr>
        <xdr:cNvPr id="1135" name="Line 111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359</xdr:row>
      <xdr:rowOff>0</xdr:rowOff>
    </xdr:from>
    <xdr:to>
      <xdr:col>2</xdr:col>
      <xdr:colOff>0</xdr:colOff>
      <xdr:row>359</xdr:row>
      <xdr:rowOff>0</xdr:rowOff>
    </xdr:to>
    <xdr:sp>
      <xdr:nvSpPr>
        <xdr:cNvPr id="1136" name="Line 112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359</xdr:row>
      <xdr:rowOff>0</xdr:rowOff>
    </xdr:from>
    <xdr:to>
      <xdr:col>2</xdr:col>
      <xdr:colOff>0</xdr:colOff>
      <xdr:row>359</xdr:row>
      <xdr:rowOff>0</xdr:rowOff>
    </xdr:to>
    <xdr:sp>
      <xdr:nvSpPr>
        <xdr:cNvPr id="1137" name="Line 113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138" name="Line 11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139" name="Line 11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140" name="Line 11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141" name="Line 11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142" name="Line 11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143" name="Line 11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144" name="Line 120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145" name="Line 121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46" name="Line 122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147" name="Line 123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148" name="Line 12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49" name="Line 125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745</xdr:row>
      <xdr:rowOff>0</xdr:rowOff>
    </xdr:from>
    <xdr:to>
      <xdr:col>2</xdr:col>
      <xdr:colOff>0</xdr:colOff>
      <xdr:row>745</xdr:row>
      <xdr:rowOff>0</xdr:rowOff>
    </xdr:to>
    <xdr:sp>
      <xdr:nvSpPr>
        <xdr:cNvPr id="1150" name="Line 126"/>
        <xdr:cNvSpPr>
          <a:spLocks/>
        </xdr:cNvSpPr>
      </xdr:nvSpPr>
      <xdr:spPr>
        <a:xfrm>
          <a:off x="28575" y="8296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51" name="Line 127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152" name="Line 12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153" name="Line 12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745</xdr:row>
      <xdr:rowOff>0</xdr:rowOff>
    </xdr:from>
    <xdr:to>
      <xdr:col>2</xdr:col>
      <xdr:colOff>0</xdr:colOff>
      <xdr:row>745</xdr:row>
      <xdr:rowOff>0</xdr:rowOff>
    </xdr:to>
    <xdr:sp>
      <xdr:nvSpPr>
        <xdr:cNvPr id="1154" name="Line 130"/>
        <xdr:cNvSpPr>
          <a:spLocks/>
        </xdr:cNvSpPr>
      </xdr:nvSpPr>
      <xdr:spPr>
        <a:xfrm>
          <a:off x="28575" y="8296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745</xdr:row>
      <xdr:rowOff>0</xdr:rowOff>
    </xdr:from>
    <xdr:to>
      <xdr:col>2</xdr:col>
      <xdr:colOff>0</xdr:colOff>
      <xdr:row>745</xdr:row>
      <xdr:rowOff>0</xdr:rowOff>
    </xdr:to>
    <xdr:sp>
      <xdr:nvSpPr>
        <xdr:cNvPr id="1155" name="Line 131"/>
        <xdr:cNvSpPr>
          <a:spLocks/>
        </xdr:cNvSpPr>
      </xdr:nvSpPr>
      <xdr:spPr>
        <a:xfrm>
          <a:off x="28575" y="8296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156" name="Line 132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157" name="Line 133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158" name="Line 134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159" name="Line 135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160" name="Line 136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161" name="Line 137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162" name="Line 138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163" name="Line 139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164" name="Line 140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165" name="Line 141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166" name="Line 142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67" name="Line 143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168" name="Line 144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169" name="Line 14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70" name="Line 146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745</xdr:row>
      <xdr:rowOff>0</xdr:rowOff>
    </xdr:from>
    <xdr:to>
      <xdr:col>2</xdr:col>
      <xdr:colOff>0</xdr:colOff>
      <xdr:row>745</xdr:row>
      <xdr:rowOff>0</xdr:rowOff>
    </xdr:to>
    <xdr:sp>
      <xdr:nvSpPr>
        <xdr:cNvPr id="1171" name="Line 147"/>
        <xdr:cNvSpPr>
          <a:spLocks/>
        </xdr:cNvSpPr>
      </xdr:nvSpPr>
      <xdr:spPr>
        <a:xfrm>
          <a:off x="28575" y="8296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72" name="Line 148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173" name="Line 14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174" name="Line 15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745</xdr:row>
      <xdr:rowOff>0</xdr:rowOff>
    </xdr:from>
    <xdr:to>
      <xdr:col>2</xdr:col>
      <xdr:colOff>0</xdr:colOff>
      <xdr:row>745</xdr:row>
      <xdr:rowOff>0</xdr:rowOff>
    </xdr:to>
    <xdr:sp>
      <xdr:nvSpPr>
        <xdr:cNvPr id="1175" name="Line 151"/>
        <xdr:cNvSpPr>
          <a:spLocks/>
        </xdr:cNvSpPr>
      </xdr:nvSpPr>
      <xdr:spPr>
        <a:xfrm>
          <a:off x="28575" y="8296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745</xdr:row>
      <xdr:rowOff>0</xdr:rowOff>
    </xdr:from>
    <xdr:to>
      <xdr:col>2</xdr:col>
      <xdr:colOff>0</xdr:colOff>
      <xdr:row>745</xdr:row>
      <xdr:rowOff>0</xdr:rowOff>
    </xdr:to>
    <xdr:sp>
      <xdr:nvSpPr>
        <xdr:cNvPr id="1176" name="Line 152"/>
        <xdr:cNvSpPr>
          <a:spLocks/>
        </xdr:cNvSpPr>
      </xdr:nvSpPr>
      <xdr:spPr>
        <a:xfrm>
          <a:off x="28575" y="8296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177" name="Line 153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178" name="Line 154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179" name="Line 155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180" name="Line 156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181" name="Line 157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182" name="Line 158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183" name="Line 159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184" name="Line 160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185" name="Line 161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186" name="Line 162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187" name="Line 163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88" name="Line 164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189" name="Line 165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190" name="Line 16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91" name="Line 167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745</xdr:row>
      <xdr:rowOff>0</xdr:rowOff>
    </xdr:from>
    <xdr:to>
      <xdr:col>2</xdr:col>
      <xdr:colOff>0</xdr:colOff>
      <xdr:row>745</xdr:row>
      <xdr:rowOff>0</xdr:rowOff>
    </xdr:to>
    <xdr:sp>
      <xdr:nvSpPr>
        <xdr:cNvPr id="1192" name="Line 168"/>
        <xdr:cNvSpPr>
          <a:spLocks/>
        </xdr:cNvSpPr>
      </xdr:nvSpPr>
      <xdr:spPr>
        <a:xfrm>
          <a:off x="28575" y="8296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193" name="Line 169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194" name="Line 17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195" name="Line 17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745</xdr:row>
      <xdr:rowOff>0</xdr:rowOff>
    </xdr:from>
    <xdr:to>
      <xdr:col>2</xdr:col>
      <xdr:colOff>0</xdr:colOff>
      <xdr:row>745</xdr:row>
      <xdr:rowOff>0</xdr:rowOff>
    </xdr:to>
    <xdr:sp>
      <xdr:nvSpPr>
        <xdr:cNvPr id="1196" name="Line 172"/>
        <xdr:cNvSpPr>
          <a:spLocks/>
        </xdr:cNvSpPr>
      </xdr:nvSpPr>
      <xdr:spPr>
        <a:xfrm>
          <a:off x="28575" y="8296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745</xdr:row>
      <xdr:rowOff>0</xdr:rowOff>
    </xdr:from>
    <xdr:to>
      <xdr:col>2</xdr:col>
      <xdr:colOff>0</xdr:colOff>
      <xdr:row>745</xdr:row>
      <xdr:rowOff>0</xdr:rowOff>
    </xdr:to>
    <xdr:sp>
      <xdr:nvSpPr>
        <xdr:cNvPr id="1197" name="Line 173"/>
        <xdr:cNvSpPr>
          <a:spLocks/>
        </xdr:cNvSpPr>
      </xdr:nvSpPr>
      <xdr:spPr>
        <a:xfrm>
          <a:off x="28575" y="8296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198" name="Line 174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199" name="Line 175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200" name="Line 176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201" name="Line 177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202" name="Line 178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203" name="Line 179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204" name="Line 180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205" name="Line 181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206" name="Line 182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207" name="Line 183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208" name="Line 184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209" name="Line 185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210" name="Line 186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211" name="Line 18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212" name="Line 188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745</xdr:row>
      <xdr:rowOff>0</xdr:rowOff>
    </xdr:from>
    <xdr:to>
      <xdr:col>2</xdr:col>
      <xdr:colOff>0</xdr:colOff>
      <xdr:row>745</xdr:row>
      <xdr:rowOff>0</xdr:rowOff>
    </xdr:to>
    <xdr:sp>
      <xdr:nvSpPr>
        <xdr:cNvPr id="1213" name="Line 189"/>
        <xdr:cNvSpPr>
          <a:spLocks/>
        </xdr:cNvSpPr>
      </xdr:nvSpPr>
      <xdr:spPr>
        <a:xfrm>
          <a:off x="28575" y="8296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214" name="Line 190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215" name="Line 19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216" name="Line 19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745</xdr:row>
      <xdr:rowOff>0</xdr:rowOff>
    </xdr:from>
    <xdr:to>
      <xdr:col>2</xdr:col>
      <xdr:colOff>0</xdr:colOff>
      <xdr:row>745</xdr:row>
      <xdr:rowOff>0</xdr:rowOff>
    </xdr:to>
    <xdr:sp>
      <xdr:nvSpPr>
        <xdr:cNvPr id="1217" name="Line 193"/>
        <xdr:cNvSpPr>
          <a:spLocks/>
        </xdr:cNvSpPr>
      </xdr:nvSpPr>
      <xdr:spPr>
        <a:xfrm>
          <a:off x="28575" y="8296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745</xdr:row>
      <xdr:rowOff>0</xdr:rowOff>
    </xdr:from>
    <xdr:to>
      <xdr:col>2</xdr:col>
      <xdr:colOff>0</xdr:colOff>
      <xdr:row>745</xdr:row>
      <xdr:rowOff>0</xdr:rowOff>
    </xdr:to>
    <xdr:sp>
      <xdr:nvSpPr>
        <xdr:cNvPr id="1218" name="Line 194"/>
        <xdr:cNvSpPr>
          <a:spLocks/>
        </xdr:cNvSpPr>
      </xdr:nvSpPr>
      <xdr:spPr>
        <a:xfrm>
          <a:off x="28575" y="8296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219" name="Line 195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220" name="Line 196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221" name="Line 197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222" name="Line 198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223" name="Line 199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224" name="Line 200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225" name="Line 201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226" name="Line 202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227" name="Line 203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228" name="Line 204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229" name="Line 205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230" name="Line 206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231" name="Line 207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232" name="Line 20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233" name="Line 209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745</xdr:row>
      <xdr:rowOff>0</xdr:rowOff>
    </xdr:from>
    <xdr:to>
      <xdr:col>2</xdr:col>
      <xdr:colOff>0</xdr:colOff>
      <xdr:row>745</xdr:row>
      <xdr:rowOff>0</xdr:rowOff>
    </xdr:to>
    <xdr:sp>
      <xdr:nvSpPr>
        <xdr:cNvPr id="1234" name="Line 210"/>
        <xdr:cNvSpPr>
          <a:spLocks/>
        </xdr:cNvSpPr>
      </xdr:nvSpPr>
      <xdr:spPr>
        <a:xfrm>
          <a:off x="28575" y="8296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235" name="Line 211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236" name="Line 21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237" name="Line 21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745</xdr:row>
      <xdr:rowOff>0</xdr:rowOff>
    </xdr:from>
    <xdr:to>
      <xdr:col>2</xdr:col>
      <xdr:colOff>0</xdr:colOff>
      <xdr:row>745</xdr:row>
      <xdr:rowOff>0</xdr:rowOff>
    </xdr:to>
    <xdr:sp>
      <xdr:nvSpPr>
        <xdr:cNvPr id="1238" name="Line 214"/>
        <xdr:cNvSpPr>
          <a:spLocks/>
        </xdr:cNvSpPr>
      </xdr:nvSpPr>
      <xdr:spPr>
        <a:xfrm>
          <a:off x="28575" y="8296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745</xdr:row>
      <xdr:rowOff>0</xdr:rowOff>
    </xdr:from>
    <xdr:to>
      <xdr:col>2</xdr:col>
      <xdr:colOff>0</xdr:colOff>
      <xdr:row>745</xdr:row>
      <xdr:rowOff>0</xdr:rowOff>
    </xdr:to>
    <xdr:sp>
      <xdr:nvSpPr>
        <xdr:cNvPr id="1239" name="Line 215"/>
        <xdr:cNvSpPr>
          <a:spLocks/>
        </xdr:cNvSpPr>
      </xdr:nvSpPr>
      <xdr:spPr>
        <a:xfrm>
          <a:off x="28575" y="82962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240" name="Line 216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241" name="Line 217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242" name="Line 218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243" name="Line 219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244" name="Line 220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245" name="Line 221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246" name="Line 222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247" name="Line 223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248" name="Line 224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249" name="Line 225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250" name="Line 226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251" name="Line 227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252" name="Line 228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253" name="Line 229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254" name="Line 230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255" name="Line 231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256" name="Line 232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257" name="Line 233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258" name="Line 234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259" name="Line 235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260" name="Line 236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261" name="Line 237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262" name="Line 238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787</xdr:row>
      <xdr:rowOff>0</xdr:rowOff>
    </xdr:from>
    <xdr:to>
      <xdr:col>2</xdr:col>
      <xdr:colOff>0</xdr:colOff>
      <xdr:row>787</xdr:row>
      <xdr:rowOff>0</xdr:rowOff>
    </xdr:to>
    <xdr:sp>
      <xdr:nvSpPr>
        <xdr:cNvPr id="1263" name="Line 239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264" name="Line 24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265" name="Line 24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266" name="Line 24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267" name="Line 24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268" name="Line 24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269" name="Line 24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270" name="Line 24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271" name="Line 24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272" name="Line 24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273" name="Line 24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274" name="Line 25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275" name="Line 25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276" name="Line 25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277" name="Line 25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278" name="Line 25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279" name="Line 25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280" name="Line 25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281" name="Line 25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282" name="Line 25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283" name="Line 25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284" name="Line 26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285" name="Line 26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286" name="Line 26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287" name="Line 26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288" name="Line 26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289" name="Line 26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290" name="Line 26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291" name="Line 26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292" name="Line 26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293" name="Line 26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294" name="Line 27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295" name="Line 27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296" name="Line 27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297" name="Line 27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298" name="Line 27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299" name="Line 27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300" name="Line 27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301" name="Line 27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302" name="Line 27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303" name="Line 27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304" name="Line 28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305" name="Line 28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306" name="Line 28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307" name="Line 28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308" name="Line 28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309" name="Line 28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310" name="Line 28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311" name="Line 28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312" name="Line 28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313" name="Line 28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314" name="Line 29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315" name="Line 29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316" name="Line 29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317" name="Line 29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318" name="Line 29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319" name="Line 29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320" name="Line 29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321" name="Line 29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322" name="Line 29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323" name="Line 29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324" name="Line 30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325" name="Line 30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326" name="Line 30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327" name="Line 30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159</xdr:row>
      <xdr:rowOff>0</xdr:rowOff>
    </xdr:from>
    <xdr:to>
      <xdr:col>2</xdr:col>
      <xdr:colOff>0</xdr:colOff>
      <xdr:row>159</xdr:row>
      <xdr:rowOff>0</xdr:rowOff>
    </xdr:to>
    <xdr:sp>
      <xdr:nvSpPr>
        <xdr:cNvPr id="1328" name="Line 304"/>
        <xdr:cNvSpPr>
          <a:spLocks/>
        </xdr:cNvSpPr>
      </xdr:nvSpPr>
      <xdr:spPr>
        <a:xfrm>
          <a:off x="28575" y="7610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1329" name="Line 305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159</xdr:row>
      <xdr:rowOff>0</xdr:rowOff>
    </xdr:from>
    <xdr:to>
      <xdr:col>2</xdr:col>
      <xdr:colOff>0</xdr:colOff>
      <xdr:row>159</xdr:row>
      <xdr:rowOff>0</xdr:rowOff>
    </xdr:to>
    <xdr:sp>
      <xdr:nvSpPr>
        <xdr:cNvPr id="1330" name="Line 306"/>
        <xdr:cNvSpPr>
          <a:spLocks/>
        </xdr:cNvSpPr>
      </xdr:nvSpPr>
      <xdr:spPr>
        <a:xfrm>
          <a:off x="28575" y="7610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272</xdr:row>
      <xdr:rowOff>0</xdr:rowOff>
    </xdr:from>
    <xdr:to>
      <xdr:col>2</xdr:col>
      <xdr:colOff>0</xdr:colOff>
      <xdr:row>272</xdr:row>
      <xdr:rowOff>0</xdr:rowOff>
    </xdr:to>
    <xdr:sp>
      <xdr:nvSpPr>
        <xdr:cNvPr id="1331" name="Line 307"/>
        <xdr:cNvSpPr>
          <a:spLocks/>
        </xdr:cNvSpPr>
      </xdr:nvSpPr>
      <xdr:spPr>
        <a:xfrm>
          <a:off x="28575" y="225933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1332" name="Line 308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340</xdr:row>
      <xdr:rowOff>0</xdr:rowOff>
    </xdr:from>
    <xdr:to>
      <xdr:col>2</xdr:col>
      <xdr:colOff>0</xdr:colOff>
      <xdr:row>340</xdr:row>
      <xdr:rowOff>0</xdr:rowOff>
    </xdr:to>
    <xdr:sp>
      <xdr:nvSpPr>
        <xdr:cNvPr id="1333" name="Line 309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1334" name="Line 310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272</xdr:row>
      <xdr:rowOff>0</xdr:rowOff>
    </xdr:from>
    <xdr:to>
      <xdr:col>2</xdr:col>
      <xdr:colOff>0</xdr:colOff>
      <xdr:row>272</xdr:row>
      <xdr:rowOff>0</xdr:rowOff>
    </xdr:to>
    <xdr:sp>
      <xdr:nvSpPr>
        <xdr:cNvPr id="1335" name="Line 311"/>
        <xdr:cNvSpPr>
          <a:spLocks/>
        </xdr:cNvSpPr>
      </xdr:nvSpPr>
      <xdr:spPr>
        <a:xfrm>
          <a:off x="28575" y="225933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272</xdr:row>
      <xdr:rowOff>0</xdr:rowOff>
    </xdr:from>
    <xdr:to>
      <xdr:col>2</xdr:col>
      <xdr:colOff>0</xdr:colOff>
      <xdr:row>272</xdr:row>
      <xdr:rowOff>0</xdr:rowOff>
    </xdr:to>
    <xdr:sp>
      <xdr:nvSpPr>
        <xdr:cNvPr id="1336" name="Line 312"/>
        <xdr:cNvSpPr>
          <a:spLocks/>
        </xdr:cNvSpPr>
      </xdr:nvSpPr>
      <xdr:spPr>
        <a:xfrm>
          <a:off x="28575" y="225933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340</xdr:row>
      <xdr:rowOff>0</xdr:rowOff>
    </xdr:from>
    <xdr:to>
      <xdr:col>2</xdr:col>
      <xdr:colOff>0</xdr:colOff>
      <xdr:row>340</xdr:row>
      <xdr:rowOff>0</xdr:rowOff>
    </xdr:to>
    <xdr:sp>
      <xdr:nvSpPr>
        <xdr:cNvPr id="1337" name="Line 313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340</xdr:row>
      <xdr:rowOff>0</xdr:rowOff>
    </xdr:from>
    <xdr:to>
      <xdr:col>2</xdr:col>
      <xdr:colOff>0</xdr:colOff>
      <xdr:row>340</xdr:row>
      <xdr:rowOff>0</xdr:rowOff>
    </xdr:to>
    <xdr:sp>
      <xdr:nvSpPr>
        <xdr:cNvPr id="1338" name="Line 314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339" name="Line 31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340" name="Line 31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341" name="Line 31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525</xdr:row>
      <xdr:rowOff>0</xdr:rowOff>
    </xdr:from>
    <xdr:to>
      <xdr:col>2</xdr:col>
      <xdr:colOff>0</xdr:colOff>
      <xdr:row>525</xdr:row>
      <xdr:rowOff>0</xdr:rowOff>
    </xdr:to>
    <xdr:sp>
      <xdr:nvSpPr>
        <xdr:cNvPr id="1342" name="Line 318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525</xdr:row>
      <xdr:rowOff>0</xdr:rowOff>
    </xdr:from>
    <xdr:to>
      <xdr:col>2</xdr:col>
      <xdr:colOff>0</xdr:colOff>
      <xdr:row>525</xdr:row>
      <xdr:rowOff>0</xdr:rowOff>
    </xdr:to>
    <xdr:sp>
      <xdr:nvSpPr>
        <xdr:cNvPr id="1343" name="Line 319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525</xdr:row>
      <xdr:rowOff>0</xdr:rowOff>
    </xdr:from>
    <xdr:to>
      <xdr:col>2</xdr:col>
      <xdr:colOff>0</xdr:colOff>
      <xdr:row>525</xdr:row>
      <xdr:rowOff>0</xdr:rowOff>
    </xdr:to>
    <xdr:sp>
      <xdr:nvSpPr>
        <xdr:cNvPr id="1344" name="Line 320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159</xdr:row>
      <xdr:rowOff>0</xdr:rowOff>
    </xdr:from>
    <xdr:to>
      <xdr:col>2</xdr:col>
      <xdr:colOff>0</xdr:colOff>
      <xdr:row>159</xdr:row>
      <xdr:rowOff>0</xdr:rowOff>
    </xdr:to>
    <xdr:sp>
      <xdr:nvSpPr>
        <xdr:cNvPr id="1345" name="Line 321"/>
        <xdr:cNvSpPr>
          <a:spLocks/>
        </xdr:cNvSpPr>
      </xdr:nvSpPr>
      <xdr:spPr>
        <a:xfrm>
          <a:off x="28575" y="7610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1346" name="Line 322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159</xdr:row>
      <xdr:rowOff>0</xdr:rowOff>
    </xdr:from>
    <xdr:to>
      <xdr:col>2</xdr:col>
      <xdr:colOff>0</xdr:colOff>
      <xdr:row>159</xdr:row>
      <xdr:rowOff>0</xdr:rowOff>
    </xdr:to>
    <xdr:sp>
      <xdr:nvSpPr>
        <xdr:cNvPr id="1347" name="Line 323"/>
        <xdr:cNvSpPr>
          <a:spLocks/>
        </xdr:cNvSpPr>
      </xdr:nvSpPr>
      <xdr:spPr>
        <a:xfrm>
          <a:off x="28575" y="7610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272</xdr:row>
      <xdr:rowOff>0</xdr:rowOff>
    </xdr:from>
    <xdr:to>
      <xdr:col>2</xdr:col>
      <xdr:colOff>0</xdr:colOff>
      <xdr:row>272</xdr:row>
      <xdr:rowOff>0</xdr:rowOff>
    </xdr:to>
    <xdr:sp>
      <xdr:nvSpPr>
        <xdr:cNvPr id="1348" name="Line 324"/>
        <xdr:cNvSpPr>
          <a:spLocks/>
        </xdr:cNvSpPr>
      </xdr:nvSpPr>
      <xdr:spPr>
        <a:xfrm>
          <a:off x="28575" y="225933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1349" name="Line 325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340</xdr:row>
      <xdr:rowOff>0</xdr:rowOff>
    </xdr:from>
    <xdr:to>
      <xdr:col>2</xdr:col>
      <xdr:colOff>0</xdr:colOff>
      <xdr:row>340</xdr:row>
      <xdr:rowOff>0</xdr:rowOff>
    </xdr:to>
    <xdr:sp>
      <xdr:nvSpPr>
        <xdr:cNvPr id="1350" name="Line 326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1351" name="Line 327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272</xdr:row>
      <xdr:rowOff>0</xdr:rowOff>
    </xdr:from>
    <xdr:to>
      <xdr:col>2</xdr:col>
      <xdr:colOff>0</xdr:colOff>
      <xdr:row>272</xdr:row>
      <xdr:rowOff>0</xdr:rowOff>
    </xdr:to>
    <xdr:sp>
      <xdr:nvSpPr>
        <xdr:cNvPr id="1352" name="Line 328"/>
        <xdr:cNvSpPr>
          <a:spLocks/>
        </xdr:cNvSpPr>
      </xdr:nvSpPr>
      <xdr:spPr>
        <a:xfrm>
          <a:off x="28575" y="225933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272</xdr:row>
      <xdr:rowOff>0</xdr:rowOff>
    </xdr:from>
    <xdr:to>
      <xdr:col>2</xdr:col>
      <xdr:colOff>0</xdr:colOff>
      <xdr:row>272</xdr:row>
      <xdr:rowOff>0</xdr:rowOff>
    </xdr:to>
    <xdr:sp>
      <xdr:nvSpPr>
        <xdr:cNvPr id="1353" name="Line 329"/>
        <xdr:cNvSpPr>
          <a:spLocks/>
        </xdr:cNvSpPr>
      </xdr:nvSpPr>
      <xdr:spPr>
        <a:xfrm>
          <a:off x="28575" y="225933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340</xdr:row>
      <xdr:rowOff>0</xdr:rowOff>
    </xdr:from>
    <xdr:to>
      <xdr:col>2</xdr:col>
      <xdr:colOff>0</xdr:colOff>
      <xdr:row>340</xdr:row>
      <xdr:rowOff>0</xdr:rowOff>
    </xdr:to>
    <xdr:sp>
      <xdr:nvSpPr>
        <xdr:cNvPr id="1354" name="Line 330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340</xdr:row>
      <xdr:rowOff>0</xdr:rowOff>
    </xdr:from>
    <xdr:to>
      <xdr:col>2</xdr:col>
      <xdr:colOff>0</xdr:colOff>
      <xdr:row>340</xdr:row>
      <xdr:rowOff>0</xdr:rowOff>
    </xdr:to>
    <xdr:sp>
      <xdr:nvSpPr>
        <xdr:cNvPr id="1355" name="Line 331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356" name="Line 33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357" name="Line 33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358" name="Line 33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525</xdr:row>
      <xdr:rowOff>0</xdr:rowOff>
    </xdr:from>
    <xdr:to>
      <xdr:col>2</xdr:col>
      <xdr:colOff>0</xdr:colOff>
      <xdr:row>525</xdr:row>
      <xdr:rowOff>0</xdr:rowOff>
    </xdr:to>
    <xdr:sp>
      <xdr:nvSpPr>
        <xdr:cNvPr id="1359" name="Line 335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525</xdr:row>
      <xdr:rowOff>0</xdr:rowOff>
    </xdr:from>
    <xdr:to>
      <xdr:col>2</xdr:col>
      <xdr:colOff>0</xdr:colOff>
      <xdr:row>525</xdr:row>
      <xdr:rowOff>0</xdr:rowOff>
    </xdr:to>
    <xdr:sp>
      <xdr:nvSpPr>
        <xdr:cNvPr id="1360" name="Line 336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525</xdr:row>
      <xdr:rowOff>0</xdr:rowOff>
    </xdr:from>
    <xdr:to>
      <xdr:col>2</xdr:col>
      <xdr:colOff>0</xdr:colOff>
      <xdr:row>525</xdr:row>
      <xdr:rowOff>0</xdr:rowOff>
    </xdr:to>
    <xdr:sp>
      <xdr:nvSpPr>
        <xdr:cNvPr id="1361" name="Line 337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362" name="Line 338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363" name="Line 339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364" name="Line 340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573</xdr:row>
      <xdr:rowOff>0</xdr:rowOff>
    </xdr:from>
    <xdr:to>
      <xdr:col>2</xdr:col>
      <xdr:colOff>0</xdr:colOff>
      <xdr:row>573</xdr:row>
      <xdr:rowOff>0</xdr:rowOff>
    </xdr:to>
    <xdr:sp>
      <xdr:nvSpPr>
        <xdr:cNvPr id="1365" name="Line 341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573</xdr:row>
      <xdr:rowOff>0</xdr:rowOff>
    </xdr:from>
    <xdr:to>
      <xdr:col>2</xdr:col>
      <xdr:colOff>0</xdr:colOff>
      <xdr:row>573</xdr:row>
      <xdr:rowOff>0</xdr:rowOff>
    </xdr:to>
    <xdr:sp>
      <xdr:nvSpPr>
        <xdr:cNvPr id="1366" name="Line 342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573</xdr:row>
      <xdr:rowOff>0</xdr:rowOff>
    </xdr:from>
    <xdr:to>
      <xdr:col>2</xdr:col>
      <xdr:colOff>0</xdr:colOff>
      <xdr:row>573</xdr:row>
      <xdr:rowOff>0</xdr:rowOff>
    </xdr:to>
    <xdr:sp>
      <xdr:nvSpPr>
        <xdr:cNvPr id="1367" name="Line 343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368" name="Line 344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369" name="Line 345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370" name="Line 346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573</xdr:row>
      <xdr:rowOff>0</xdr:rowOff>
    </xdr:from>
    <xdr:to>
      <xdr:col>2</xdr:col>
      <xdr:colOff>0</xdr:colOff>
      <xdr:row>573</xdr:row>
      <xdr:rowOff>0</xdr:rowOff>
    </xdr:to>
    <xdr:sp>
      <xdr:nvSpPr>
        <xdr:cNvPr id="1371" name="Line 347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573</xdr:row>
      <xdr:rowOff>0</xdr:rowOff>
    </xdr:from>
    <xdr:to>
      <xdr:col>2</xdr:col>
      <xdr:colOff>0</xdr:colOff>
      <xdr:row>573</xdr:row>
      <xdr:rowOff>0</xdr:rowOff>
    </xdr:to>
    <xdr:sp>
      <xdr:nvSpPr>
        <xdr:cNvPr id="1372" name="Line 348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573</xdr:row>
      <xdr:rowOff>0</xdr:rowOff>
    </xdr:from>
    <xdr:to>
      <xdr:col>2</xdr:col>
      <xdr:colOff>0</xdr:colOff>
      <xdr:row>573</xdr:row>
      <xdr:rowOff>0</xdr:rowOff>
    </xdr:to>
    <xdr:sp>
      <xdr:nvSpPr>
        <xdr:cNvPr id="1373" name="Line 349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374" name="Line 350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375" name="Line 351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376" name="Line 352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573</xdr:row>
      <xdr:rowOff>0</xdr:rowOff>
    </xdr:from>
    <xdr:to>
      <xdr:col>2</xdr:col>
      <xdr:colOff>0</xdr:colOff>
      <xdr:row>573</xdr:row>
      <xdr:rowOff>0</xdr:rowOff>
    </xdr:to>
    <xdr:sp>
      <xdr:nvSpPr>
        <xdr:cNvPr id="1377" name="Line 353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573</xdr:row>
      <xdr:rowOff>0</xdr:rowOff>
    </xdr:from>
    <xdr:to>
      <xdr:col>2</xdr:col>
      <xdr:colOff>0</xdr:colOff>
      <xdr:row>573</xdr:row>
      <xdr:rowOff>0</xdr:rowOff>
    </xdr:to>
    <xdr:sp>
      <xdr:nvSpPr>
        <xdr:cNvPr id="1378" name="Line 354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573</xdr:row>
      <xdr:rowOff>0</xdr:rowOff>
    </xdr:from>
    <xdr:to>
      <xdr:col>2</xdr:col>
      <xdr:colOff>0</xdr:colOff>
      <xdr:row>573</xdr:row>
      <xdr:rowOff>0</xdr:rowOff>
    </xdr:to>
    <xdr:sp>
      <xdr:nvSpPr>
        <xdr:cNvPr id="1379" name="Line 355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380" name="Line 356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1381" name="Line 357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382" name="Line 358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1383" name="Line 359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384" name="Line 360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385" name="Line 361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1386" name="Line 362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387" name="Line 363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388" name="Line 364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389" name="Line 365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1390" name="Line 366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1391" name="Line 367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1392" name="Line 368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1393" name="Line 369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1394" name="Line 370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395" name="Line 37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396" name="Line 37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397" name="Line 37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398" name="Line 37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399" name="Line 37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400" name="Line 37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401" name="Line 377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1402" name="Line 378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403" name="Line 379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1404" name="Line 380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405" name="Line 381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406" name="Line 382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1407" name="Line 383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408" name="Line 384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409" name="Line 385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410" name="Line 386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1411" name="Line 387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1412" name="Line 388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1413" name="Line 389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1414" name="Line 390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1415" name="Line 391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416" name="Line 39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417" name="Line 39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418" name="Line 39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419" name="Line 39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420" name="Line 39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421" name="Line 39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422" name="Line 398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1423" name="Line 399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424" name="Line 400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1425" name="Line 401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426" name="Line 402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427" name="Line 403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1428" name="Line 404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429" name="Line 405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430" name="Line 406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431" name="Line 407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1432" name="Line 408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1433" name="Line 409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1434" name="Line 410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1435" name="Line 411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1436" name="Line 412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437" name="Line 41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438" name="Line 41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439" name="Line 41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440" name="Line 41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441" name="Line 41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442" name="Line 41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443" name="Line 419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1444" name="Line 420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445" name="Line 421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1446" name="Line 422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447" name="Line 423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448" name="Line 424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1449" name="Line 425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450" name="Line 426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451" name="Line 427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452" name="Line 428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1453" name="Line 429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1454" name="Line 430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1455" name="Line 431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1456" name="Line 432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1457" name="Line 433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458" name="Line 43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459" name="Line 43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460" name="Line 43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461" name="Line 43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462" name="Line 43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463" name="Line 43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464" name="Line 440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1465" name="Line 441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466" name="Line 442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1467" name="Line 443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468" name="Line 444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469" name="Line 445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1470" name="Line 446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471" name="Line 447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472" name="Line 448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473" name="Line 449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1474" name="Line 450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1475" name="Line 451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1476" name="Line 452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1477" name="Line 453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1478" name="Line 454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479" name="Line 45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480" name="Line 45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481" name="Line 45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482" name="Line 45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483" name="Line 45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484" name="Line 46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485" name="Line 461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486" name="Line 462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487" name="Line 463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488" name="Line 464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489" name="Line 46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490" name="Line 466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491" name="Line 467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492" name="Line 468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493" name="Line 46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494" name="Line 47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495" name="Line 471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496" name="Line 472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1497" name="Line 473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1498" name="Line 474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1499" name="Line 475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500" name="Line 476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501" name="Line 477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502" name="Line 478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503" name="Line 479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504" name="Line 480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505" name="Line 481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506" name="Line 482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507" name="Line 483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508" name="Line 484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509" name="Line 485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510" name="Line 48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511" name="Line 487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512" name="Line 488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513" name="Line 489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514" name="Line 49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515" name="Line 49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516" name="Line 492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517" name="Line 493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1518" name="Line 494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1519" name="Line 495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1520" name="Line 496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521" name="Line 497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522" name="Line 498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523" name="Line 499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524" name="Line 500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525" name="Line 501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526" name="Line 502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527" name="Line 503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528" name="Line 504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529" name="Line 505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530" name="Line 506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531" name="Line 50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532" name="Line 508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533" name="Line 509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534" name="Line 510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535" name="Line 51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536" name="Line 51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537" name="Line 513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538" name="Line 514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1539" name="Line 515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1540" name="Line 516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1541" name="Line 517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542" name="Line 518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543" name="Line 519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544" name="Line 520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545" name="Line 521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546" name="Line 522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547" name="Line 523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548" name="Line 524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549" name="Line 525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550" name="Line 526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551" name="Line 527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552" name="Line 52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553" name="Line 529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554" name="Line 530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555" name="Line 531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556" name="Line 53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557" name="Line 53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558" name="Line 534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559" name="Line 535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1560" name="Line 536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1561" name="Line 537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1562" name="Line 538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563" name="Line 539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564" name="Line 540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565" name="Line 541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566" name="Line 542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567" name="Line 543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568" name="Line 544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569" name="Line 545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570" name="Line 546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571" name="Line 547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572" name="Line 548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573" name="Line 54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574" name="Line 550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575" name="Line 551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576" name="Line 552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577" name="Line 55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578" name="Line 55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579" name="Line 555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580" name="Line 556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1581" name="Line 557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1582" name="Line 558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1583" name="Line 559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584" name="Line 560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585" name="Line 561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586" name="Line 562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587" name="Line 563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588" name="Line 564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589" name="Line 565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590" name="Line 566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591" name="Line 567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592" name="Line 568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593" name="Line 569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594" name="Line 570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595" name="Line 571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596" name="Line 572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597" name="Line 573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598" name="Line 574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599" name="Line 575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600" name="Line 576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601" name="Line 577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602" name="Line 578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603" name="Line 579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604" name="Line 580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605" name="Line 58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606" name="Line 58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607" name="Line 58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608" name="Line 58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609" name="Line 58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610" name="Line 58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611" name="Line 58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612" name="Line 58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613" name="Line 58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614" name="Line 59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615" name="Line 59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616" name="Line 59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617" name="Line 59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618" name="Line 59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619" name="Line 59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620" name="Line 59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621" name="Line 59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622" name="Line 59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623" name="Line 59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624" name="Line 60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625" name="Line 60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626" name="Line 60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627" name="Line 60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628" name="Line 60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629" name="Line 60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630" name="Line 60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631" name="Line 60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632" name="Line 60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633" name="Line 60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634" name="Line 61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635" name="Line 61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636" name="Line 61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637" name="Line 61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638" name="Line 61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1639" name="Line 615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1640" name="Line 616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1641" name="Line 617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1642" name="Line 618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1643" name="Line 619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1644" name="Line 620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1645" name="Line 621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1646" name="Line 622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1647" name="Line 623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1648" name="Line 624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1649" name="Line 625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1650" name="Line 626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1651" name="Line 627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1652" name="Line 628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1653" name="Line 629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1654" name="Line 630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1655" name="Line 631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1656" name="Line 632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1657" name="Line 633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1658" name="Line 634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1659" name="Line 635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1660" name="Line 636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1661" name="Line 637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1662" name="Line 638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1663" name="Line 639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1664" name="Line 640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1665" name="Line 641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1666" name="Line 642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1667" name="Line 643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1668" name="Line 644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159</xdr:row>
      <xdr:rowOff>0</xdr:rowOff>
    </xdr:from>
    <xdr:to>
      <xdr:col>2</xdr:col>
      <xdr:colOff>0</xdr:colOff>
      <xdr:row>159</xdr:row>
      <xdr:rowOff>0</xdr:rowOff>
    </xdr:to>
    <xdr:sp>
      <xdr:nvSpPr>
        <xdr:cNvPr id="1669" name="Line 645"/>
        <xdr:cNvSpPr>
          <a:spLocks/>
        </xdr:cNvSpPr>
      </xdr:nvSpPr>
      <xdr:spPr>
        <a:xfrm>
          <a:off x="28575" y="7610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1670" name="Line 646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159</xdr:row>
      <xdr:rowOff>0</xdr:rowOff>
    </xdr:from>
    <xdr:to>
      <xdr:col>2</xdr:col>
      <xdr:colOff>0</xdr:colOff>
      <xdr:row>159</xdr:row>
      <xdr:rowOff>0</xdr:rowOff>
    </xdr:to>
    <xdr:sp>
      <xdr:nvSpPr>
        <xdr:cNvPr id="1671" name="Line 647"/>
        <xdr:cNvSpPr>
          <a:spLocks/>
        </xdr:cNvSpPr>
      </xdr:nvSpPr>
      <xdr:spPr>
        <a:xfrm>
          <a:off x="28575" y="7610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272</xdr:row>
      <xdr:rowOff>0</xdr:rowOff>
    </xdr:from>
    <xdr:to>
      <xdr:col>2</xdr:col>
      <xdr:colOff>0</xdr:colOff>
      <xdr:row>272</xdr:row>
      <xdr:rowOff>0</xdr:rowOff>
    </xdr:to>
    <xdr:sp>
      <xdr:nvSpPr>
        <xdr:cNvPr id="1672" name="Line 648"/>
        <xdr:cNvSpPr>
          <a:spLocks/>
        </xdr:cNvSpPr>
      </xdr:nvSpPr>
      <xdr:spPr>
        <a:xfrm>
          <a:off x="28575" y="225933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1673" name="Line 649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340</xdr:row>
      <xdr:rowOff>0</xdr:rowOff>
    </xdr:from>
    <xdr:to>
      <xdr:col>2</xdr:col>
      <xdr:colOff>0</xdr:colOff>
      <xdr:row>340</xdr:row>
      <xdr:rowOff>0</xdr:rowOff>
    </xdr:to>
    <xdr:sp>
      <xdr:nvSpPr>
        <xdr:cNvPr id="1674" name="Line 650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1675" name="Line 651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272</xdr:row>
      <xdr:rowOff>0</xdr:rowOff>
    </xdr:from>
    <xdr:to>
      <xdr:col>2</xdr:col>
      <xdr:colOff>0</xdr:colOff>
      <xdr:row>272</xdr:row>
      <xdr:rowOff>0</xdr:rowOff>
    </xdr:to>
    <xdr:sp>
      <xdr:nvSpPr>
        <xdr:cNvPr id="1676" name="Line 652"/>
        <xdr:cNvSpPr>
          <a:spLocks/>
        </xdr:cNvSpPr>
      </xdr:nvSpPr>
      <xdr:spPr>
        <a:xfrm>
          <a:off x="28575" y="225933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272</xdr:row>
      <xdr:rowOff>0</xdr:rowOff>
    </xdr:from>
    <xdr:to>
      <xdr:col>2</xdr:col>
      <xdr:colOff>0</xdr:colOff>
      <xdr:row>272</xdr:row>
      <xdr:rowOff>0</xdr:rowOff>
    </xdr:to>
    <xdr:sp>
      <xdr:nvSpPr>
        <xdr:cNvPr id="1677" name="Line 653"/>
        <xdr:cNvSpPr>
          <a:spLocks/>
        </xdr:cNvSpPr>
      </xdr:nvSpPr>
      <xdr:spPr>
        <a:xfrm>
          <a:off x="28575" y="225933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340</xdr:row>
      <xdr:rowOff>0</xdr:rowOff>
    </xdr:from>
    <xdr:to>
      <xdr:col>2</xdr:col>
      <xdr:colOff>0</xdr:colOff>
      <xdr:row>340</xdr:row>
      <xdr:rowOff>0</xdr:rowOff>
    </xdr:to>
    <xdr:sp>
      <xdr:nvSpPr>
        <xdr:cNvPr id="1678" name="Line 654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340</xdr:row>
      <xdr:rowOff>0</xdr:rowOff>
    </xdr:from>
    <xdr:to>
      <xdr:col>2</xdr:col>
      <xdr:colOff>0</xdr:colOff>
      <xdr:row>340</xdr:row>
      <xdr:rowOff>0</xdr:rowOff>
    </xdr:to>
    <xdr:sp>
      <xdr:nvSpPr>
        <xdr:cNvPr id="1679" name="Line 655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680" name="Line 65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681" name="Line 65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682" name="Line 65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525</xdr:row>
      <xdr:rowOff>0</xdr:rowOff>
    </xdr:from>
    <xdr:to>
      <xdr:col>2</xdr:col>
      <xdr:colOff>0</xdr:colOff>
      <xdr:row>525</xdr:row>
      <xdr:rowOff>0</xdr:rowOff>
    </xdr:to>
    <xdr:sp>
      <xdr:nvSpPr>
        <xdr:cNvPr id="1683" name="Line 659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525</xdr:row>
      <xdr:rowOff>0</xdr:rowOff>
    </xdr:from>
    <xdr:to>
      <xdr:col>2</xdr:col>
      <xdr:colOff>0</xdr:colOff>
      <xdr:row>525</xdr:row>
      <xdr:rowOff>0</xdr:rowOff>
    </xdr:to>
    <xdr:sp>
      <xdr:nvSpPr>
        <xdr:cNvPr id="1684" name="Line 660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525</xdr:row>
      <xdr:rowOff>0</xdr:rowOff>
    </xdr:from>
    <xdr:to>
      <xdr:col>2</xdr:col>
      <xdr:colOff>0</xdr:colOff>
      <xdr:row>525</xdr:row>
      <xdr:rowOff>0</xdr:rowOff>
    </xdr:to>
    <xdr:sp>
      <xdr:nvSpPr>
        <xdr:cNvPr id="1685" name="Line 661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159</xdr:row>
      <xdr:rowOff>0</xdr:rowOff>
    </xdr:from>
    <xdr:to>
      <xdr:col>2</xdr:col>
      <xdr:colOff>0</xdr:colOff>
      <xdr:row>159</xdr:row>
      <xdr:rowOff>0</xdr:rowOff>
    </xdr:to>
    <xdr:sp>
      <xdr:nvSpPr>
        <xdr:cNvPr id="1686" name="Line 662"/>
        <xdr:cNvSpPr>
          <a:spLocks/>
        </xdr:cNvSpPr>
      </xdr:nvSpPr>
      <xdr:spPr>
        <a:xfrm>
          <a:off x="28575" y="7610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1687" name="Line 663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159</xdr:row>
      <xdr:rowOff>0</xdr:rowOff>
    </xdr:from>
    <xdr:to>
      <xdr:col>2</xdr:col>
      <xdr:colOff>0</xdr:colOff>
      <xdr:row>159</xdr:row>
      <xdr:rowOff>0</xdr:rowOff>
    </xdr:to>
    <xdr:sp>
      <xdr:nvSpPr>
        <xdr:cNvPr id="1688" name="Line 664"/>
        <xdr:cNvSpPr>
          <a:spLocks/>
        </xdr:cNvSpPr>
      </xdr:nvSpPr>
      <xdr:spPr>
        <a:xfrm>
          <a:off x="28575" y="7610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272</xdr:row>
      <xdr:rowOff>0</xdr:rowOff>
    </xdr:from>
    <xdr:to>
      <xdr:col>2</xdr:col>
      <xdr:colOff>0</xdr:colOff>
      <xdr:row>272</xdr:row>
      <xdr:rowOff>0</xdr:rowOff>
    </xdr:to>
    <xdr:sp>
      <xdr:nvSpPr>
        <xdr:cNvPr id="1689" name="Line 665"/>
        <xdr:cNvSpPr>
          <a:spLocks/>
        </xdr:cNvSpPr>
      </xdr:nvSpPr>
      <xdr:spPr>
        <a:xfrm>
          <a:off x="28575" y="225933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1690" name="Line 666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340</xdr:row>
      <xdr:rowOff>0</xdr:rowOff>
    </xdr:from>
    <xdr:to>
      <xdr:col>2</xdr:col>
      <xdr:colOff>0</xdr:colOff>
      <xdr:row>340</xdr:row>
      <xdr:rowOff>0</xdr:rowOff>
    </xdr:to>
    <xdr:sp>
      <xdr:nvSpPr>
        <xdr:cNvPr id="1691" name="Line 667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1692" name="Line 668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272</xdr:row>
      <xdr:rowOff>0</xdr:rowOff>
    </xdr:from>
    <xdr:to>
      <xdr:col>2</xdr:col>
      <xdr:colOff>0</xdr:colOff>
      <xdr:row>272</xdr:row>
      <xdr:rowOff>0</xdr:rowOff>
    </xdr:to>
    <xdr:sp>
      <xdr:nvSpPr>
        <xdr:cNvPr id="1693" name="Line 669"/>
        <xdr:cNvSpPr>
          <a:spLocks/>
        </xdr:cNvSpPr>
      </xdr:nvSpPr>
      <xdr:spPr>
        <a:xfrm>
          <a:off x="28575" y="225933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272</xdr:row>
      <xdr:rowOff>0</xdr:rowOff>
    </xdr:from>
    <xdr:to>
      <xdr:col>2</xdr:col>
      <xdr:colOff>0</xdr:colOff>
      <xdr:row>272</xdr:row>
      <xdr:rowOff>0</xdr:rowOff>
    </xdr:to>
    <xdr:sp>
      <xdr:nvSpPr>
        <xdr:cNvPr id="1694" name="Line 670"/>
        <xdr:cNvSpPr>
          <a:spLocks/>
        </xdr:cNvSpPr>
      </xdr:nvSpPr>
      <xdr:spPr>
        <a:xfrm>
          <a:off x="28575" y="225933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340</xdr:row>
      <xdr:rowOff>0</xdr:rowOff>
    </xdr:from>
    <xdr:to>
      <xdr:col>2</xdr:col>
      <xdr:colOff>0</xdr:colOff>
      <xdr:row>340</xdr:row>
      <xdr:rowOff>0</xdr:rowOff>
    </xdr:to>
    <xdr:sp>
      <xdr:nvSpPr>
        <xdr:cNvPr id="1695" name="Line 671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340</xdr:row>
      <xdr:rowOff>0</xdr:rowOff>
    </xdr:from>
    <xdr:to>
      <xdr:col>2</xdr:col>
      <xdr:colOff>0</xdr:colOff>
      <xdr:row>340</xdr:row>
      <xdr:rowOff>0</xdr:rowOff>
    </xdr:to>
    <xdr:sp>
      <xdr:nvSpPr>
        <xdr:cNvPr id="1696" name="Line 672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697" name="Line 67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698" name="Line 67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699" name="Line 67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525</xdr:row>
      <xdr:rowOff>0</xdr:rowOff>
    </xdr:from>
    <xdr:to>
      <xdr:col>2</xdr:col>
      <xdr:colOff>0</xdr:colOff>
      <xdr:row>525</xdr:row>
      <xdr:rowOff>0</xdr:rowOff>
    </xdr:to>
    <xdr:sp>
      <xdr:nvSpPr>
        <xdr:cNvPr id="1700" name="Line 676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525</xdr:row>
      <xdr:rowOff>0</xdr:rowOff>
    </xdr:from>
    <xdr:to>
      <xdr:col>2</xdr:col>
      <xdr:colOff>0</xdr:colOff>
      <xdr:row>525</xdr:row>
      <xdr:rowOff>0</xdr:rowOff>
    </xdr:to>
    <xdr:sp>
      <xdr:nvSpPr>
        <xdr:cNvPr id="1701" name="Line 677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525</xdr:row>
      <xdr:rowOff>0</xdr:rowOff>
    </xdr:from>
    <xdr:to>
      <xdr:col>2</xdr:col>
      <xdr:colOff>0</xdr:colOff>
      <xdr:row>525</xdr:row>
      <xdr:rowOff>0</xdr:rowOff>
    </xdr:to>
    <xdr:sp>
      <xdr:nvSpPr>
        <xdr:cNvPr id="1702" name="Line 678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703" name="Line 679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704" name="Line 680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705" name="Line 681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573</xdr:row>
      <xdr:rowOff>0</xdr:rowOff>
    </xdr:from>
    <xdr:to>
      <xdr:col>2</xdr:col>
      <xdr:colOff>0</xdr:colOff>
      <xdr:row>573</xdr:row>
      <xdr:rowOff>0</xdr:rowOff>
    </xdr:to>
    <xdr:sp>
      <xdr:nvSpPr>
        <xdr:cNvPr id="1706" name="Line 682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573</xdr:row>
      <xdr:rowOff>0</xdr:rowOff>
    </xdr:from>
    <xdr:to>
      <xdr:col>2</xdr:col>
      <xdr:colOff>0</xdr:colOff>
      <xdr:row>573</xdr:row>
      <xdr:rowOff>0</xdr:rowOff>
    </xdr:to>
    <xdr:sp>
      <xdr:nvSpPr>
        <xdr:cNvPr id="1707" name="Line 683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573</xdr:row>
      <xdr:rowOff>0</xdr:rowOff>
    </xdr:from>
    <xdr:to>
      <xdr:col>2</xdr:col>
      <xdr:colOff>0</xdr:colOff>
      <xdr:row>573</xdr:row>
      <xdr:rowOff>0</xdr:rowOff>
    </xdr:to>
    <xdr:sp>
      <xdr:nvSpPr>
        <xdr:cNvPr id="1708" name="Line 684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709" name="Line 685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710" name="Line 686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711" name="Line 687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573</xdr:row>
      <xdr:rowOff>0</xdr:rowOff>
    </xdr:from>
    <xdr:to>
      <xdr:col>2</xdr:col>
      <xdr:colOff>0</xdr:colOff>
      <xdr:row>573</xdr:row>
      <xdr:rowOff>0</xdr:rowOff>
    </xdr:to>
    <xdr:sp>
      <xdr:nvSpPr>
        <xdr:cNvPr id="1712" name="Line 688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573</xdr:row>
      <xdr:rowOff>0</xdr:rowOff>
    </xdr:from>
    <xdr:to>
      <xdr:col>2</xdr:col>
      <xdr:colOff>0</xdr:colOff>
      <xdr:row>573</xdr:row>
      <xdr:rowOff>0</xdr:rowOff>
    </xdr:to>
    <xdr:sp>
      <xdr:nvSpPr>
        <xdr:cNvPr id="1713" name="Line 689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573</xdr:row>
      <xdr:rowOff>0</xdr:rowOff>
    </xdr:from>
    <xdr:to>
      <xdr:col>2</xdr:col>
      <xdr:colOff>0</xdr:colOff>
      <xdr:row>573</xdr:row>
      <xdr:rowOff>0</xdr:rowOff>
    </xdr:to>
    <xdr:sp>
      <xdr:nvSpPr>
        <xdr:cNvPr id="1714" name="Line 690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715" name="Line 691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716" name="Line 692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1717" name="Line 693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573</xdr:row>
      <xdr:rowOff>0</xdr:rowOff>
    </xdr:from>
    <xdr:to>
      <xdr:col>2</xdr:col>
      <xdr:colOff>0</xdr:colOff>
      <xdr:row>573</xdr:row>
      <xdr:rowOff>0</xdr:rowOff>
    </xdr:to>
    <xdr:sp>
      <xdr:nvSpPr>
        <xdr:cNvPr id="1718" name="Line 694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573</xdr:row>
      <xdr:rowOff>0</xdr:rowOff>
    </xdr:from>
    <xdr:to>
      <xdr:col>2</xdr:col>
      <xdr:colOff>0</xdr:colOff>
      <xdr:row>573</xdr:row>
      <xdr:rowOff>0</xdr:rowOff>
    </xdr:to>
    <xdr:sp>
      <xdr:nvSpPr>
        <xdr:cNvPr id="1719" name="Line 695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573</xdr:row>
      <xdr:rowOff>0</xdr:rowOff>
    </xdr:from>
    <xdr:to>
      <xdr:col>2</xdr:col>
      <xdr:colOff>0</xdr:colOff>
      <xdr:row>573</xdr:row>
      <xdr:rowOff>0</xdr:rowOff>
    </xdr:to>
    <xdr:sp>
      <xdr:nvSpPr>
        <xdr:cNvPr id="1720" name="Line 696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721" name="Line 697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1722" name="Line 698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723" name="Line 699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1724" name="Line 700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725" name="Line 701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726" name="Line 702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1727" name="Line 703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728" name="Line 704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729" name="Line 705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730" name="Line 706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1731" name="Line 707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1732" name="Line 708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1733" name="Line 709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1734" name="Line 710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1735" name="Line 711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736" name="Line 71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737" name="Line 71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738" name="Line 71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739" name="Line 71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740" name="Line 71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741" name="Line 71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742" name="Line 718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1743" name="Line 719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744" name="Line 720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1745" name="Line 721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746" name="Line 722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747" name="Line 723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1748" name="Line 724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749" name="Line 725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750" name="Line 726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751" name="Line 727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1752" name="Line 728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1753" name="Line 729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1754" name="Line 730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1755" name="Line 731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1756" name="Line 732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757" name="Line 73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758" name="Line 73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759" name="Line 73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760" name="Line 73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761" name="Line 73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762" name="Line 73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763" name="Line 739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1764" name="Line 740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765" name="Line 741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1766" name="Line 742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767" name="Line 743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768" name="Line 744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1769" name="Line 745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770" name="Line 746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771" name="Line 747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772" name="Line 748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1773" name="Line 749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1774" name="Line 750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1775" name="Line 751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1776" name="Line 752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1777" name="Line 753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778" name="Line 75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779" name="Line 75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780" name="Line 75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781" name="Line 75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782" name="Line 75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783" name="Line 75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784" name="Line 760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1785" name="Line 761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786" name="Line 762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1787" name="Line 763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788" name="Line 764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789" name="Line 765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1790" name="Line 766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791" name="Line 767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792" name="Line 768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793" name="Line 769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1794" name="Line 770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1795" name="Line 771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1796" name="Line 772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1797" name="Line 773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1798" name="Line 774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799" name="Line 77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800" name="Line 77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801" name="Line 77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802" name="Line 77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803" name="Line 77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804" name="Line 78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805" name="Line 781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1806" name="Line 782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807" name="Line 783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1808" name="Line 784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809" name="Line 785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810" name="Line 786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1811" name="Line 787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1812" name="Line 788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813" name="Line 789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1814" name="Line 790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1815" name="Line 791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1816" name="Line 792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1817" name="Line 793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1818" name="Line 794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1819" name="Line 795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820" name="Line 79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821" name="Line 79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822" name="Line 79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823" name="Line 79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824" name="Line 80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825" name="Line 80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826" name="Line 802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827" name="Line 803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828" name="Line 804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829" name="Line 805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830" name="Line 80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831" name="Line 807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832" name="Line 808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833" name="Line 809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834" name="Line 81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835" name="Line 81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836" name="Line 812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837" name="Line 813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1838" name="Line 814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1839" name="Line 815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1840" name="Line 816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841" name="Line 817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842" name="Line 818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843" name="Line 819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844" name="Line 820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845" name="Line 821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846" name="Line 822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847" name="Line 823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848" name="Line 824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849" name="Line 825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850" name="Line 826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851" name="Line 82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852" name="Line 828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853" name="Line 829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854" name="Line 830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855" name="Line 83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856" name="Line 83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857" name="Line 833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858" name="Line 834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1859" name="Line 835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1860" name="Line 836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1861" name="Line 837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862" name="Line 838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863" name="Line 839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864" name="Line 840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865" name="Line 841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866" name="Line 842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867" name="Line 843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868" name="Line 844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869" name="Line 845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870" name="Line 846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871" name="Line 847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872" name="Line 84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873" name="Line 849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874" name="Line 850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875" name="Line 851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876" name="Line 85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877" name="Line 85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878" name="Line 854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879" name="Line 855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1880" name="Line 856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1881" name="Line 857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1882" name="Line 858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883" name="Line 859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884" name="Line 860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885" name="Line 861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886" name="Line 862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887" name="Line 863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888" name="Line 864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889" name="Line 865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890" name="Line 866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891" name="Line 867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892" name="Line 868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893" name="Line 86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894" name="Line 870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895" name="Line 871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896" name="Line 872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897" name="Line 87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898" name="Line 87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899" name="Line 875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900" name="Line 876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1901" name="Line 877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1902" name="Line 878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1903" name="Line 879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904" name="Line 880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905" name="Line 881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906" name="Line 882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907" name="Line 883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908" name="Line 884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909" name="Line 885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1910" name="Line 886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911" name="Line 887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912" name="Line 888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1913" name="Line 889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914" name="Line 89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915" name="Line 891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916" name="Line 892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1917" name="Line 893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918" name="Line 89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919" name="Line 89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920" name="Line 896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1921" name="Line 897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1922" name="Line 898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1923" name="Line 899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1924" name="Line 900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925" name="Line 901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926" name="Line 902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927" name="Line 903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928" name="Line 904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929" name="Line 905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930" name="Line 906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931" name="Line 907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932" name="Line 908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933" name="Line 909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934" name="Line 910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935" name="Line 911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936" name="Line 912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937" name="Line 913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938" name="Line 914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939" name="Line 915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940" name="Line 916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941" name="Line 917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942" name="Line 918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943" name="Line 919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944" name="Line 920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1945" name="Line 921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946" name="Line 92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947" name="Line 92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948" name="Line 92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949" name="Line 92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950" name="Line 92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951" name="Line 92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952" name="Line 92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953" name="Line 92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954" name="Line 93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955" name="Line 93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956" name="Line 93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957" name="Line 93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958" name="Line 93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959" name="Line 93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960" name="Line 93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961" name="Line 93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962" name="Line 93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963" name="Line 93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964" name="Line 94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965" name="Line 94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966" name="Line 94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967" name="Line 94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968" name="Line 94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969" name="Line 94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970" name="Line 94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971" name="Line 94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972" name="Line 94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973" name="Line 94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974" name="Line 95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975" name="Line 95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976" name="Line 95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977" name="Line 95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978" name="Line 95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1979" name="Line 95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1980" name="Line 956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1981" name="Line 957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1982" name="Line 958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1983" name="Line 959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1984" name="Line 960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1985" name="Line 961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1986" name="Line 962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1987" name="Line 963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1988" name="Line 964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1989" name="Line 965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1990" name="Line 966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1991" name="Line 967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1992" name="Line 968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1993" name="Line 969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1994" name="Line 970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1995" name="Line 971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1996" name="Line 972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1997" name="Line 973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1998" name="Line 974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1999" name="Line 975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2000" name="Line 976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2001" name="Line 977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2002" name="Line 978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2003" name="Line 979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2004" name="Line 980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2005" name="Line 981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2006" name="Line 982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2007" name="Line 983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2008" name="Line 984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2009" name="Line 985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159</xdr:row>
      <xdr:rowOff>0</xdr:rowOff>
    </xdr:from>
    <xdr:to>
      <xdr:col>2</xdr:col>
      <xdr:colOff>0</xdr:colOff>
      <xdr:row>159</xdr:row>
      <xdr:rowOff>0</xdr:rowOff>
    </xdr:to>
    <xdr:sp>
      <xdr:nvSpPr>
        <xdr:cNvPr id="2010" name="Line 986"/>
        <xdr:cNvSpPr>
          <a:spLocks/>
        </xdr:cNvSpPr>
      </xdr:nvSpPr>
      <xdr:spPr>
        <a:xfrm>
          <a:off x="28575" y="7610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2011" name="Line 987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159</xdr:row>
      <xdr:rowOff>0</xdr:rowOff>
    </xdr:from>
    <xdr:to>
      <xdr:col>2</xdr:col>
      <xdr:colOff>0</xdr:colOff>
      <xdr:row>159</xdr:row>
      <xdr:rowOff>0</xdr:rowOff>
    </xdr:to>
    <xdr:sp>
      <xdr:nvSpPr>
        <xdr:cNvPr id="2012" name="Line 988"/>
        <xdr:cNvSpPr>
          <a:spLocks/>
        </xdr:cNvSpPr>
      </xdr:nvSpPr>
      <xdr:spPr>
        <a:xfrm>
          <a:off x="28575" y="7610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272</xdr:row>
      <xdr:rowOff>0</xdr:rowOff>
    </xdr:from>
    <xdr:to>
      <xdr:col>2</xdr:col>
      <xdr:colOff>0</xdr:colOff>
      <xdr:row>272</xdr:row>
      <xdr:rowOff>0</xdr:rowOff>
    </xdr:to>
    <xdr:sp>
      <xdr:nvSpPr>
        <xdr:cNvPr id="2013" name="Line 989"/>
        <xdr:cNvSpPr>
          <a:spLocks/>
        </xdr:cNvSpPr>
      </xdr:nvSpPr>
      <xdr:spPr>
        <a:xfrm>
          <a:off x="28575" y="225933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2014" name="Line 990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340</xdr:row>
      <xdr:rowOff>0</xdr:rowOff>
    </xdr:from>
    <xdr:to>
      <xdr:col>2</xdr:col>
      <xdr:colOff>0</xdr:colOff>
      <xdr:row>340</xdr:row>
      <xdr:rowOff>0</xdr:rowOff>
    </xdr:to>
    <xdr:sp>
      <xdr:nvSpPr>
        <xdr:cNvPr id="2015" name="Line 991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2016" name="Line 992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272</xdr:row>
      <xdr:rowOff>0</xdr:rowOff>
    </xdr:from>
    <xdr:to>
      <xdr:col>2</xdr:col>
      <xdr:colOff>0</xdr:colOff>
      <xdr:row>272</xdr:row>
      <xdr:rowOff>0</xdr:rowOff>
    </xdr:to>
    <xdr:sp>
      <xdr:nvSpPr>
        <xdr:cNvPr id="2017" name="Line 993"/>
        <xdr:cNvSpPr>
          <a:spLocks/>
        </xdr:cNvSpPr>
      </xdr:nvSpPr>
      <xdr:spPr>
        <a:xfrm>
          <a:off x="28575" y="225933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272</xdr:row>
      <xdr:rowOff>0</xdr:rowOff>
    </xdr:from>
    <xdr:to>
      <xdr:col>2</xdr:col>
      <xdr:colOff>0</xdr:colOff>
      <xdr:row>272</xdr:row>
      <xdr:rowOff>0</xdr:rowOff>
    </xdr:to>
    <xdr:sp>
      <xdr:nvSpPr>
        <xdr:cNvPr id="2018" name="Line 994"/>
        <xdr:cNvSpPr>
          <a:spLocks/>
        </xdr:cNvSpPr>
      </xdr:nvSpPr>
      <xdr:spPr>
        <a:xfrm>
          <a:off x="28575" y="225933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340</xdr:row>
      <xdr:rowOff>0</xdr:rowOff>
    </xdr:from>
    <xdr:to>
      <xdr:col>2</xdr:col>
      <xdr:colOff>0</xdr:colOff>
      <xdr:row>340</xdr:row>
      <xdr:rowOff>0</xdr:rowOff>
    </xdr:to>
    <xdr:sp>
      <xdr:nvSpPr>
        <xdr:cNvPr id="2019" name="Line 995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340</xdr:row>
      <xdr:rowOff>0</xdr:rowOff>
    </xdr:from>
    <xdr:to>
      <xdr:col>2</xdr:col>
      <xdr:colOff>0</xdr:colOff>
      <xdr:row>340</xdr:row>
      <xdr:rowOff>0</xdr:rowOff>
    </xdr:to>
    <xdr:sp>
      <xdr:nvSpPr>
        <xdr:cNvPr id="2020" name="Line 996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021" name="Line 99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022" name="Line 99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023" name="Line 99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525</xdr:row>
      <xdr:rowOff>0</xdr:rowOff>
    </xdr:from>
    <xdr:to>
      <xdr:col>2</xdr:col>
      <xdr:colOff>0</xdr:colOff>
      <xdr:row>525</xdr:row>
      <xdr:rowOff>0</xdr:rowOff>
    </xdr:to>
    <xdr:sp>
      <xdr:nvSpPr>
        <xdr:cNvPr id="2024" name="Line 1000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525</xdr:row>
      <xdr:rowOff>0</xdr:rowOff>
    </xdr:from>
    <xdr:to>
      <xdr:col>2</xdr:col>
      <xdr:colOff>0</xdr:colOff>
      <xdr:row>525</xdr:row>
      <xdr:rowOff>0</xdr:rowOff>
    </xdr:to>
    <xdr:sp>
      <xdr:nvSpPr>
        <xdr:cNvPr id="2025" name="Line 1001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525</xdr:row>
      <xdr:rowOff>0</xdr:rowOff>
    </xdr:from>
    <xdr:to>
      <xdr:col>2</xdr:col>
      <xdr:colOff>0</xdr:colOff>
      <xdr:row>525</xdr:row>
      <xdr:rowOff>0</xdr:rowOff>
    </xdr:to>
    <xdr:sp>
      <xdr:nvSpPr>
        <xdr:cNvPr id="2026" name="Line 1002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159</xdr:row>
      <xdr:rowOff>0</xdr:rowOff>
    </xdr:from>
    <xdr:to>
      <xdr:col>2</xdr:col>
      <xdr:colOff>0</xdr:colOff>
      <xdr:row>159</xdr:row>
      <xdr:rowOff>0</xdr:rowOff>
    </xdr:to>
    <xdr:sp>
      <xdr:nvSpPr>
        <xdr:cNvPr id="2027" name="Line 1003"/>
        <xdr:cNvSpPr>
          <a:spLocks/>
        </xdr:cNvSpPr>
      </xdr:nvSpPr>
      <xdr:spPr>
        <a:xfrm>
          <a:off x="28575" y="7610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2028" name="Line 1004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159</xdr:row>
      <xdr:rowOff>0</xdr:rowOff>
    </xdr:from>
    <xdr:to>
      <xdr:col>2</xdr:col>
      <xdr:colOff>0</xdr:colOff>
      <xdr:row>159</xdr:row>
      <xdr:rowOff>0</xdr:rowOff>
    </xdr:to>
    <xdr:sp>
      <xdr:nvSpPr>
        <xdr:cNvPr id="2029" name="Line 1005"/>
        <xdr:cNvSpPr>
          <a:spLocks/>
        </xdr:cNvSpPr>
      </xdr:nvSpPr>
      <xdr:spPr>
        <a:xfrm>
          <a:off x="28575" y="7610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272</xdr:row>
      <xdr:rowOff>0</xdr:rowOff>
    </xdr:from>
    <xdr:to>
      <xdr:col>2</xdr:col>
      <xdr:colOff>0</xdr:colOff>
      <xdr:row>272</xdr:row>
      <xdr:rowOff>0</xdr:rowOff>
    </xdr:to>
    <xdr:sp>
      <xdr:nvSpPr>
        <xdr:cNvPr id="2030" name="Line 1006"/>
        <xdr:cNvSpPr>
          <a:spLocks/>
        </xdr:cNvSpPr>
      </xdr:nvSpPr>
      <xdr:spPr>
        <a:xfrm>
          <a:off x="28575" y="225933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2031" name="Line 1007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340</xdr:row>
      <xdr:rowOff>0</xdr:rowOff>
    </xdr:from>
    <xdr:to>
      <xdr:col>2</xdr:col>
      <xdr:colOff>0</xdr:colOff>
      <xdr:row>340</xdr:row>
      <xdr:rowOff>0</xdr:rowOff>
    </xdr:to>
    <xdr:sp>
      <xdr:nvSpPr>
        <xdr:cNvPr id="2032" name="Line 1008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66</xdr:row>
      <xdr:rowOff>0</xdr:rowOff>
    </xdr:from>
    <xdr:to>
      <xdr:col>2</xdr:col>
      <xdr:colOff>0</xdr:colOff>
      <xdr:row>66</xdr:row>
      <xdr:rowOff>0</xdr:rowOff>
    </xdr:to>
    <xdr:sp>
      <xdr:nvSpPr>
        <xdr:cNvPr id="2033" name="Line 1009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272</xdr:row>
      <xdr:rowOff>0</xdr:rowOff>
    </xdr:from>
    <xdr:to>
      <xdr:col>2</xdr:col>
      <xdr:colOff>0</xdr:colOff>
      <xdr:row>272</xdr:row>
      <xdr:rowOff>0</xdr:rowOff>
    </xdr:to>
    <xdr:sp>
      <xdr:nvSpPr>
        <xdr:cNvPr id="2034" name="Line 1010"/>
        <xdr:cNvSpPr>
          <a:spLocks/>
        </xdr:cNvSpPr>
      </xdr:nvSpPr>
      <xdr:spPr>
        <a:xfrm>
          <a:off x="28575" y="225933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272</xdr:row>
      <xdr:rowOff>0</xdr:rowOff>
    </xdr:from>
    <xdr:to>
      <xdr:col>2</xdr:col>
      <xdr:colOff>0</xdr:colOff>
      <xdr:row>272</xdr:row>
      <xdr:rowOff>0</xdr:rowOff>
    </xdr:to>
    <xdr:sp>
      <xdr:nvSpPr>
        <xdr:cNvPr id="2035" name="Line 1011"/>
        <xdr:cNvSpPr>
          <a:spLocks/>
        </xdr:cNvSpPr>
      </xdr:nvSpPr>
      <xdr:spPr>
        <a:xfrm>
          <a:off x="28575" y="225933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340</xdr:row>
      <xdr:rowOff>0</xdr:rowOff>
    </xdr:from>
    <xdr:to>
      <xdr:col>2</xdr:col>
      <xdr:colOff>0</xdr:colOff>
      <xdr:row>340</xdr:row>
      <xdr:rowOff>0</xdr:rowOff>
    </xdr:to>
    <xdr:sp>
      <xdr:nvSpPr>
        <xdr:cNvPr id="2036" name="Line 1012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340</xdr:row>
      <xdr:rowOff>0</xdr:rowOff>
    </xdr:from>
    <xdr:to>
      <xdr:col>2</xdr:col>
      <xdr:colOff>0</xdr:colOff>
      <xdr:row>340</xdr:row>
      <xdr:rowOff>0</xdr:rowOff>
    </xdr:to>
    <xdr:sp>
      <xdr:nvSpPr>
        <xdr:cNvPr id="2037" name="Line 1013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038" name="Line 101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039" name="Line 101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040" name="Line 101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525</xdr:row>
      <xdr:rowOff>0</xdr:rowOff>
    </xdr:from>
    <xdr:to>
      <xdr:col>2</xdr:col>
      <xdr:colOff>0</xdr:colOff>
      <xdr:row>525</xdr:row>
      <xdr:rowOff>0</xdr:rowOff>
    </xdr:to>
    <xdr:sp>
      <xdr:nvSpPr>
        <xdr:cNvPr id="2041" name="Line 1017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525</xdr:row>
      <xdr:rowOff>0</xdr:rowOff>
    </xdr:from>
    <xdr:to>
      <xdr:col>2</xdr:col>
      <xdr:colOff>0</xdr:colOff>
      <xdr:row>525</xdr:row>
      <xdr:rowOff>0</xdr:rowOff>
    </xdr:to>
    <xdr:sp>
      <xdr:nvSpPr>
        <xdr:cNvPr id="2042" name="Line 1018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525</xdr:row>
      <xdr:rowOff>0</xdr:rowOff>
    </xdr:from>
    <xdr:to>
      <xdr:col>2</xdr:col>
      <xdr:colOff>0</xdr:colOff>
      <xdr:row>525</xdr:row>
      <xdr:rowOff>0</xdr:rowOff>
    </xdr:to>
    <xdr:sp>
      <xdr:nvSpPr>
        <xdr:cNvPr id="2043" name="Line 1019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044" name="Line 1020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045" name="Line 1021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046" name="Line 1022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573</xdr:row>
      <xdr:rowOff>0</xdr:rowOff>
    </xdr:from>
    <xdr:to>
      <xdr:col>2</xdr:col>
      <xdr:colOff>0</xdr:colOff>
      <xdr:row>573</xdr:row>
      <xdr:rowOff>0</xdr:rowOff>
    </xdr:to>
    <xdr:sp>
      <xdr:nvSpPr>
        <xdr:cNvPr id="2047" name="Line 1023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573</xdr:row>
      <xdr:rowOff>0</xdr:rowOff>
    </xdr:from>
    <xdr:to>
      <xdr:col>2</xdr:col>
      <xdr:colOff>0</xdr:colOff>
      <xdr:row>573</xdr:row>
      <xdr:rowOff>0</xdr:rowOff>
    </xdr:to>
    <xdr:sp>
      <xdr:nvSpPr>
        <xdr:cNvPr id="2048" name="Line 0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573</xdr:row>
      <xdr:rowOff>0</xdr:rowOff>
    </xdr:from>
    <xdr:to>
      <xdr:col>2</xdr:col>
      <xdr:colOff>0</xdr:colOff>
      <xdr:row>573</xdr:row>
      <xdr:rowOff>0</xdr:rowOff>
    </xdr:to>
    <xdr:sp>
      <xdr:nvSpPr>
        <xdr:cNvPr id="2049" name="Line 1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050" name="Line 2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051" name="Line 3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052" name="Line 4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573</xdr:row>
      <xdr:rowOff>0</xdr:rowOff>
    </xdr:from>
    <xdr:to>
      <xdr:col>2</xdr:col>
      <xdr:colOff>0</xdr:colOff>
      <xdr:row>573</xdr:row>
      <xdr:rowOff>0</xdr:rowOff>
    </xdr:to>
    <xdr:sp>
      <xdr:nvSpPr>
        <xdr:cNvPr id="2053" name="Line 5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573</xdr:row>
      <xdr:rowOff>0</xdr:rowOff>
    </xdr:from>
    <xdr:to>
      <xdr:col>2</xdr:col>
      <xdr:colOff>0</xdr:colOff>
      <xdr:row>573</xdr:row>
      <xdr:rowOff>0</xdr:rowOff>
    </xdr:to>
    <xdr:sp>
      <xdr:nvSpPr>
        <xdr:cNvPr id="2054" name="Line 6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573</xdr:row>
      <xdr:rowOff>0</xdr:rowOff>
    </xdr:from>
    <xdr:to>
      <xdr:col>2</xdr:col>
      <xdr:colOff>0</xdr:colOff>
      <xdr:row>573</xdr:row>
      <xdr:rowOff>0</xdr:rowOff>
    </xdr:to>
    <xdr:sp>
      <xdr:nvSpPr>
        <xdr:cNvPr id="2055" name="Line 7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056" name="Line 8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057" name="Line 9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530</xdr:row>
      <xdr:rowOff>0</xdr:rowOff>
    </xdr:from>
    <xdr:to>
      <xdr:col>2</xdr:col>
      <xdr:colOff>0</xdr:colOff>
      <xdr:row>530</xdr:row>
      <xdr:rowOff>0</xdr:rowOff>
    </xdr:to>
    <xdr:sp>
      <xdr:nvSpPr>
        <xdr:cNvPr id="2058" name="Line 10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573</xdr:row>
      <xdr:rowOff>0</xdr:rowOff>
    </xdr:from>
    <xdr:to>
      <xdr:col>2</xdr:col>
      <xdr:colOff>0</xdr:colOff>
      <xdr:row>573</xdr:row>
      <xdr:rowOff>0</xdr:rowOff>
    </xdr:to>
    <xdr:sp>
      <xdr:nvSpPr>
        <xdr:cNvPr id="2059" name="Line 11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573</xdr:row>
      <xdr:rowOff>0</xdr:rowOff>
    </xdr:from>
    <xdr:to>
      <xdr:col>2</xdr:col>
      <xdr:colOff>0</xdr:colOff>
      <xdr:row>573</xdr:row>
      <xdr:rowOff>0</xdr:rowOff>
    </xdr:to>
    <xdr:sp>
      <xdr:nvSpPr>
        <xdr:cNvPr id="2060" name="Line 12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573</xdr:row>
      <xdr:rowOff>0</xdr:rowOff>
    </xdr:from>
    <xdr:to>
      <xdr:col>2</xdr:col>
      <xdr:colOff>0</xdr:colOff>
      <xdr:row>573</xdr:row>
      <xdr:rowOff>0</xdr:rowOff>
    </xdr:to>
    <xdr:sp>
      <xdr:nvSpPr>
        <xdr:cNvPr id="2061" name="Line 13"/>
        <xdr:cNvSpPr>
          <a:spLocks/>
        </xdr:cNvSpPr>
      </xdr:nvSpPr>
      <xdr:spPr>
        <a:xfrm>
          <a:off x="28575" y="65779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062" name="Line 14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063" name="Line 15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064" name="Line 16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065" name="Line 17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2066" name="Line 18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067" name="Line 19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2068" name="Line 20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069" name="Line 21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2070" name="Line 22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2071" name="Line 23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2072" name="Line 24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2073" name="Line 25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2074" name="Line 26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2075" name="Line 27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2076" name="Line 28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077" name="Line 2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078" name="Line 3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079" name="Line 3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080" name="Line 3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081" name="Line 3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082" name="Line 3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083" name="Line 35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084" name="Line 36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085" name="Line 37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086" name="Line 38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2087" name="Line 39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088" name="Line 40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2089" name="Line 41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090" name="Line 42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2091" name="Line 43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2092" name="Line 44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2093" name="Line 45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2094" name="Line 46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2095" name="Line 47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2096" name="Line 48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2097" name="Line 49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098" name="Line 5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099" name="Line 5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100" name="Line 5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101" name="Line 5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102" name="Line 5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103" name="Line 5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104" name="Line 56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105" name="Line 57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106" name="Line 58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107" name="Line 59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2108" name="Line 60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109" name="Line 61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2110" name="Line 62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111" name="Line 63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2112" name="Line 64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2113" name="Line 65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2114" name="Line 66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2115" name="Line 67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2116" name="Line 68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2117" name="Line 69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2118" name="Line 70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119" name="Line 7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120" name="Line 7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121" name="Line 7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122" name="Line 7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123" name="Line 7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124" name="Line 7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125" name="Line 77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126" name="Line 78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127" name="Line 79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128" name="Line 80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2129" name="Line 81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130" name="Line 82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2131" name="Line 83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132" name="Line 84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2133" name="Line 85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2134" name="Line 86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2135" name="Line 87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2136" name="Line 88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2137" name="Line 89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2138" name="Line 90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2139" name="Line 91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140" name="Line 9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141" name="Line 9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142" name="Line 9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143" name="Line 9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144" name="Line 9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145" name="Line 9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146" name="Line 98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147" name="Line 99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148" name="Line 100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149" name="Line 101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2150" name="Line 102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151" name="Line 103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2152" name="Line 104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153" name="Line 105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2154" name="Line 106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136</xdr:row>
      <xdr:rowOff>0</xdr:rowOff>
    </xdr:from>
    <xdr:to>
      <xdr:col>2</xdr:col>
      <xdr:colOff>0</xdr:colOff>
      <xdr:row>136</xdr:row>
      <xdr:rowOff>0</xdr:rowOff>
    </xdr:to>
    <xdr:sp>
      <xdr:nvSpPr>
        <xdr:cNvPr id="2155" name="Line 107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2156" name="Line 108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338</xdr:row>
      <xdr:rowOff>0</xdr:rowOff>
    </xdr:from>
    <xdr:to>
      <xdr:col>2</xdr:col>
      <xdr:colOff>0</xdr:colOff>
      <xdr:row>338</xdr:row>
      <xdr:rowOff>0</xdr:rowOff>
    </xdr:to>
    <xdr:sp>
      <xdr:nvSpPr>
        <xdr:cNvPr id="2157" name="Line 109"/>
        <xdr:cNvSpPr>
          <a:spLocks/>
        </xdr:cNvSpPr>
      </xdr:nvSpPr>
      <xdr:spPr>
        <a:xfrm>
          <a:off x="28575" y="25469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2158" name="Line 110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2159" name="Line 111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362</xdr:row>
      <xdr:rowOff>0</xdr:rowOff>
    </xdr:from>
    <xdr:to>
      <xdr:col>2</xdr:col>
      <xdr:colOff>0</xdr:colOff>
      <xdr:row>362</xdr:row>
      <xdr:rowOff>0</xdr:rowOff>
    </xdr:to>
    <xdr:sp>
      <xdr:nvSpPr>
        <xdr:cNvPr id="2160" name="Line 112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161" name="Line 11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162" name="Line 11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163" name="Line 11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164" name="Line 11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165" name="Line 11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166" name="Line 11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</xdr:row>
      <xdr:rowOff>28575</xdr:rowOff>
    </xdr:from>
    <xdr:to>
      <xdr:col>2</xdr:col>
      <xdr:colOff>0</xdr:colOff>
      <xdr:row>9</xdr:row>
      <xdr:rowOff>0</xdr:rowOff>
    </xdr:to>
    <xdr:sp>
      <xdr:nvSpPr>
        <xdr:cNvPr id="2167" name="Line 119"/>
        <xdr:cNvSpPr>
          <a:spLocks/>
        </xdr:cNvSpPr>
      </xdr:nvSpPr>
      <xdr:spPr>
        <a:xfrm>
          <a:off x="28575" y="571500"/>
          <a:ext cx="304800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2168" name="Line 120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169" name="Line 121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2170" name="Line 122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171" name="Line 12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172" name="Line 124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2173" name="Line 125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174" name="Line 126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175" name="Line 12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176" name="Line 12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2177" name="Line 129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2178" name="Line 130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2179" name="Line 131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2180" name="Line 132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2181" name="Line 133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182" name="Line 134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183" name="Line 135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184" name="Line 136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185" name="Line 137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186" name="Line 138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187" name="Line 139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2188" name="Line 141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189" name="Line 142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2190" name="Line 143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191" name="Line 14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192" name="Line 145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2193" name="Line 146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194" name="Line 147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195" name="Line 14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196" name="Line 14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2197" name="Line 150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2198" name="Line 151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2199" name="Line 152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2200" name="Line 153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2201" name="Line 154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202" name="Line 155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203" name="Line 156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204" name="Line 157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205" name="Line 158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206" name="Line 159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207" name="Line 160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2208" name="Line 162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209" name="Line 163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2210" name="Line 164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211" name="Line 16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212" name="Line 166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2213" name="Line 167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214" name="Line 168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215" name="Line 16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216" name="Line 17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2217" name="Line 171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2218" name="Line 172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2219" name="Line 173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2220" name="Line 174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2221" name="Line 175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222" name="Line 176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223" name="Line 177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224" name="Line 178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225" name="Line 179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226" name="Line 180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227" name="Line 181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2228" name="Line 183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229" name="Line 184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2230" name="Line 185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231" name="Line 18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232" name="Line 187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2233" name="Line 188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234" name="Line 189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235" name="Line 19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236" name="Line 19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2237" name="Line 192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2238" name="Line 193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2239" name="Line 194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2240" name="Line 195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2241" name="Line 196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242" name="Line 197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243" name="Line 198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244" name="Line 199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245" name="Line 200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246" name="Line 201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247" name="Line 202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2248" name="Line 204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249" name="Line 205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148</xdr:row>
      <xdr:rowOff>0</xdr:rowOff>
    </xdr:from>
    <xdr:to>
      <xdr:col>2</xdr:col>
      <xdr:colOff>0</xdr:colOff>
      <xdr:row>148</xdr:row>
      <xdr:rowOff>0</xdr:rowOff>
    </xdr:to>
    <xdr:sp>
      <xdr:nvSpPr>
        <xdr:cNvPr id="2250" name="Line 206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251" name="Line 20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252" name="Line 208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2253" name="Line 209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254" name="Line 210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255" name="Line 21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256" name="Line 21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2257" name="Line 213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767</xdr:row>
      <xdr:rowOff>0</xdr:rowOff>
    </xdr:from>
    <xdr:to>
      <xdr:col>2</xdr:col>
      <xdr:colOff>0</xdr:colOff>
      <xdr:row>767</xdr:row>
      <xdr:rowOff>0</xdr:rowOff>
    </xdr:to>
    <xdr:sp>
      <xdr:nvSpPr>
        <xdr:cNvPr id="2258" name="Line 214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2259" name="Line 215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2260" name="Line 216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789</xdr:row>
      <xdr:rowOff>0</xdr:rowOff>
    </xdr:from>
    <xdr:to>
      <xdr:col>2</xdr:col>
      <xdr:colOff>0</xdr:colOff>
      <xdr:row>789</xdr:row>
      <xdr:rowOff>0</xdr:rowOff>
    </xdr:to>
    <xdr:sp>
      <xdr:nvSpPr>
        <xdr:cNvPr id="2261" name="Line 217"/>
        <xdr:cNvSpPr>
          <a:spLocks/>
        </xdr:cNvSpPr>
      </xdr:nvSpPr>
      <xdr:spPr>
        <a:xfrm>
          <a:off x="28575" y="838771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262" name="Line 218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263" name="Line 219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264" name="Line 220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265" name="Line 221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266" name="Line 222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267" name="Line 223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268" name="Line 224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269" name="Line 225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270" name="Line 226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271" name="Line 227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272" name="Line 228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273" name="Line 229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274" name="Line 230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275" name="Line 231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276" name="Line 232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277" name="Line 233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278" name="Line 234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279" name="Line 235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280" name="Line 236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281" name="Line 237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809</xdr:row>
      <xdr:rowOff>0</xdr:rowOff>
    </xdr:from>
    <xdr:to>
      <xdr:col>2</xdr:col>
      <xdr:colOff>0</xdr:colOff>
      <xdr:row>809</xdr:row>
      <xdr:rowOff>0</xdr:rowOff>
    </xdr:to>
    <xdr:sp>
      <xdr:nvSpPr>
        <xdr:cNvPr id="2282" name="Line 238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283" name="Line 23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284" name="Line 24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285" name="Line 24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286" name="Line 24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287" name="Line 24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288" name="Line 24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289" name="Line 24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290" name="Line 24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291" name="Line 24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292" name="Line 24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293" name="Line 24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294" name="Line 25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295" name="Line 25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296" name="Line 25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297" name="Line 25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298" name="Line 25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299" name="Line 25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300" name="Line 25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301" name="Line 25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302" name="Line 25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303" name="Line 25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304" name="Line 26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305" name="Line 26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306" name="Line 26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307" name="Line 26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308" name="Line 26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309" name="Line 26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310" name="Line 26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311" name="Line 26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312" name="Line 26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313" name="Line 26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314" name="Line 27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315" name="Line 27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316" name="Line 27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2317" name="Line 273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2318" name="Line 274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2319" name="Line 275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2320" name="Line 276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2321" name="Line 277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2322" name="Line 278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2323" name="Line 279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2324" name="Line 280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2325" name="Line 281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2326" name="Line 282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2327" name="Line 283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2328" name="Line 284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2329" name="Line 285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2330" name="Line 286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384</xdr:row>
      <xdr:rowOff>0</xdr:rowOff>
    </xdr:from>
    <xdr:to>
      <xdr:col>2</xdr:col>
      <xdr:colOff>0</xdr:colOff>
      <xdr:row>384</xdr:row>
      <xdr:rowOff>0</xdr:rowOff>
    </xdr:to>
    <xdr:sp>
      <xdr:nvSpPr>
        <xdr:cNvPr id="2331" name="Line 287"/>
        <xdr:cNvSpPr>
          <a:spLocks/>
        </xdr:cNvSpPr>
      </xdr:nvSpPr>
      <xdr:spPr>
        <a:xfrm>
          <a:off x="28575" y="315658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2332" name="Line 288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2333" name="Line 289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2334" name="Line 290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2335" name="Line 291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2336" name="Line 292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2337" name="Line 293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2338" name="Line 294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2339" name="Line 295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2340" name="Line 296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2341" name="Line 297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2342" name="Line 298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2343" name="Line 299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2344" name="Line 300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2345" name="Line 301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387</xdr:row>
      <xdr:rowOff>0</xdr:rowOff>
    </xdr:from>
    <xdr:to>
      <xdr:col>2</xdr:col>
      <xdr:colOff>0</xdr:colOff>
      <xdr:row>387</xdr:row>
      <xdr:rowOff>0</xdr:rowOff>
    </xdr:to>
    <xdr:sp>
      <xdr:nvSpPr>
        <xdr:cNvPr id="2346" name="Line 302"/>
        <xdr:cNvSpPr>
          <a:spLocks/>
        </xdr:cNvSpPr>
      </xdr:nvSpPr>
      <xdr:spPr>
        <a:xfrm>
          <a:off x="28575" y="32251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28575</xdr:rowOff>
    </xdr:from>
    <xdr:to>
      <xdr:col>2</xdr:col>
      <xdr:colOff>0</xdr:colOff>
      <xdr:row>10</xdr:row>
      <xdr:rowOff>0</xdr:rowOff>
    </xdr:to>
    <xdr:sp>
      <xdr:nvSpPr>
        <xdr:cNvPr id="2347" name="Line 303"/>
        <xdr:cNvSpPr>
          <a:spLocks/>
        </xdr:cNvSpPr>
      </xdr:nvSpPr>
      <xdr:spPr>
        <a:xfrm>
          <a:off x="28575" y="895350"/>
          <a:ext cx="3048000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227</xdr:row>
      <xdr:rowOff>0</xdr:rowOff>
    </xdr:from>
    <xdr:to>
      <xdr:col>2</xdr:col>
      <xdr:colOff>0</xdr:colOff>
      <xdr:row>227</xdr:row>
      <xdr:rowOff>0</xdr:rowOff>
    </xdr:to>
    <xdr:sp>
      <xdr:nvSpPr>
        <xdr:cNvPr id="2348" name="Line 304"/>
        <xdr:cNvSpPr>
          <a:spLocks/>
        </xdr:cNvSpPr>
      </xdr:nvSpPr>
      <xdr:spPr>
        <a:xfrm>
          <a:off x="28575" y="220218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2349" name="Line 305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227</xdr:row>
      <xdr:rowOff>0</xdr:rowOff>
    </xdr:from>
    <xdr:to>
      <xdr:col>2</xdr:col>
      <xdr:colOff>0</xdr:colOff>
      <xdr:row>227</xdr:row>
      <xdr:rowOff>0</xdr:rowOff>
    </xdr:to>
    <xdr:sp>
      <xdr:nvSpPr>
        <xdr:cNvPr id="2350" name="Line 306"/>
        <xdr:cNvSpPr>
          <a:spLocks/>
        </xdr:cNvSpPr>
      </xdr:nvSpPr>
      <xdr:spPr>
        <a:xfrm>
          <a:off x="28575" y="220218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288</xdr:row>
      <xdr:rowOff>0</xdr:rowOff>
    </xdr:from>
    <xdr:to>
      <xdr:col>2</xdr:col>
      <xdr:colOff>0</xdr:colOff>
      <xdr:row>288</xdr:row>
      <xdr:rowOff>0</xdr:rowOff>
    </xdr:to>
    <xdr:sp>
      <xdr:nvSpPr>
        <xdr:cNvPr id="2351" name="Line 307"/>
        <xdr:cNvSpPr>
          <a:spLocks/>
        </xdr:cNvSpPr>
      </xdr:nvSpPr>
      <xdr:spPr>
        <a:xfrm>
          <a:off x="28575" y="235077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2352" name="Line 308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2353" name="Line 309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2354" name="Line 310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288</xdr:row>
      <xdr:rowOff>0</xdr:rowOff>
    </xdr:from>
    <xdr:to>
      <xdr:col>2</xdr:col>
      <xdr:colOff>0</xdr:colOff>
      <xdr:row>288</xdr:row>
      <xdr:rowOff>0</xdr:rowOff>
    </xdr:to>
    <xdr:sp>
      <xdr:nvSpPr>
        <xdr:cNvPr id="2355" name="Line 311"/>
        <xdr:cNvSpPr>
          <a:spLocks/>
        </xdr:cNvSpPr>
      </xdr:nvSpPr>
      <xdr:spPr>
        <a:xfrm>
          <a:off x="28575" y="235077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288</xdr:row>
      <xdr:rowOff>0</xdr:rowOff>
    </xdr:from>
    <xdr:to>
      <xdr:col>2</xdr:col>
      <xdr:colOff>0</xdr:colOff>
      <xdr:row>288</xdr:row>
      <xdr:rowOff>0</xdr:rowOff>
    </xdr:to>
    <xdr:sp>
      <xdr:nvSpPr>
        <xdr:cNvPr id="2356" name="Line 312"/>
        <xdr:cNvSpPr>
          <a:spLocks/>
        </xdr:cNvSpPr>
      </xdr:nvSpPr>
      <xdr:spPr>
        <a:xfrm>
          <a:off x="28575" y="235077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2357" name="Line 313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2358" name="Line 314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359" name="Line 31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360" name="Line 31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361" name="Line 31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546</xdr:row>
      <xdr:rowOff>0</xdr:rowOff>
    </xdr:from>
    <xdr:to>
      <xdr:col>2</xdr:col>
      <xdr:colOff>0</xdr:colOff>
      <xdr:row>546</xdr:row>
      <xdr:rowOff>0</xdr:rowOff>
    </xdr:to>
    <xdr:sp>
      <xdr:nvSpPr>
        <xdr:cNvPr id="2362" name="Line 318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546</xdr:row>
      <xdr:rowOff>0</xdr:rowOff>
    </xdr:from>
    <xdr:to>
      <xdr:col>2</xdr:col>
      <xdr:colOff>0</xdr:colOff>
      <xdr:row>546</xdr:row>
      <xdr:rowOff>0</xdr:rowOff>
    </xdr:to>
    <xdr:sp>
      <xdr:nvSpPr>
        <xdr:cNvPr id="2363" name="Line 319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546</xdr:row>
      <xdr:rowOff>0</xdr:rowOff>
    </xdr:from>
    <xdr:to>
      <xdr:col>2</xdr:col>
      <xdr:colOff>0</xdr:colOff>
      <xdr:row>546</xdr:row>
      <xdr:rowOff>0</xdr:rowOff>
    </xdr:to>
    <xdr:sp>
      <xdr:nvSpPr>
        <xdr:cNvPr id="2364" name="Line 320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587</xdr:row>
      <xdr:rowOff>0</xdr:rowOff>
    </xdr:from>
    <xdr:to>
      <xdr:col>2</xdr:col>
      <xdr:colOff>0</xdr:colOff>
      <xdr:row>587</xdr:row>
      <xdr:rowOff>0</xdr:rowOff>
    </xdr:to>
    <xdr:sp>
      <xdr:nvSpPr>
        <xdr:cNvPr id="2365" name="Line 321"/>
        <xdr:cNvSpPr>
          <a:spLocks/>
        </xdr:cNvSpPr>
      </xdr:nvSpPr>
      <xdr:spPr>
        <a:xfrm>
          <a:off x="28575" y="66836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587</xdr:row>
      <xdr:rowOff>0</xdr:rowOff>
    </xdr:from>
    <xdr:to>
      <xdr:col>2</xdr:col>
      <xdr:colOff>0</xdr:colOff>
      <xdr:row>587</xdr:row>
      <xdr:rowOff>0</xdr:rowOff>
    </xdr:to>
    <xdr:sp>
      <xdr:nvSpPr>
        <xdr:cNvPr id="2366" name="Line 322"/>
        <xdr:cNvSpPr>
          <a:spLocks/>
        </xdr:cNvSpPr>
      </xdr:nvSpPr>
      <xdr:spPr>
        <a:xfrm>
          <a:off x="28575" y="66836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587</xdr:row>
      <xdr:rowOff>0</xdr:rowOff>
    </xdr:from>
    <xdr:to>
      <xdr:col>2</xdr:col>
      <xdr:colOff>0</xdr:colOff>
      <xdr:row>587</xdr:row>
      <xdr:rowOff>0</xdr:rowOff>
    </xdr:to>
    <xdr:sp>
      <xdr:nvSpPr>
        <xdr:cNvPr id="2367" name="Line 323"/>
        <xdr:cNvSpPr>
          <a:spLocks/>
        </xdr:cNvSpPr>
      </xdr:nvSpPr>
      <xdr:spPr>
        <a:xfrm>
          <a:off x="28575" y="66836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28575</xdr:rowOff>
    </xdr:from>
    <xdr:to>
      <xdr:col>2</xdr:col>
      <xdr:colOff>0</xdr:colOff>
      <xdr:row>10</xdr:row>
      <xdr:rowOff>0</xdr:rowOff>
    </xdr:to>
    <xdr:sp>
      <xdr:nvSpPr>
        <xdr:cNvPr id="2368" name="Line 324"/>
        <xdr:cNvSpPr>
          <a:spLocks/>
        </xdr:cNvSpPr>
      </xdr:nvSpPr>
      <xdr:spPr>
        <a:xfrm>
          <a:off x="28575" y="895350"/>
          <a:ext cx="3048000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227</xdr:row>
      <xdr:rowOff>0</xdr:rowOff>
    </xdr:from>
    <xdr:to>
      <xdr:col>2</xdr:col>
      <xdr:colOff>0</xdr:colOff>
      <xdr:row>227</xdr:row>
      <xdr:rowOff>0</xdr:rowOff>
    </xdr:to>
    <xdr:sp>
      <xdr:nvSpPr>
        <xdr:cNvPr id="2369" name="Line 325"/>
        <xdr:cNvSpPr>
          <a:spLocks/>
        </xdr:cNvSpPr>
      </xdr:nvSpPr>
      <xdr:spPr>
        <a:xfrm>
          <a:off x="28575" y="220218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2370" name="Line 326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227</xdr:row>
      <xdr:rowOff>0</xdr:rowOff>
    </xdr:from>
    <xdr:to>
      <xdr:col>2</xdr:col>
      <xdr:colOff>0</xdr:colOff>
      <xdr:row>227</xdr:row>
      <xdr:rowOff>0</xdr:rowOff>
    </xdr:to>
    <xdr:sp>
      <xdr:nvSpPr>
        <xdr:cNvPr id="2371" name="Line 327"/>
        <xdr:cNvSpPr>
          <a:spLocks/>
        </xdr:cNvSpPr>
      </xdr:nvSpPr>
      <xdr:spPr>
        <a:xfrm>
          <a:off x="28575" y="220218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288</xdr:row>
      <xdr:rowOff>0</xdr:rowOff>
    </xdr:from>
    <xdr:to>
      <xdr:col>2</xdr:col>
      <xdr:colOff>0</xdr:colOff>
      <xdr:row>288</xdr:row>
      <xdr:rowOff>0</xdr:rowOff>
    </xdr:to>
    <xdr:sp>
      <xdr:nvSpPr>
        <xdr:cNvPr id="2372" name="Line 328"/>
        <xdr:cNvSpPr>
          <a:spLocks/>
        </xdr:cNvSpPr>
      </xdr:nvSpPr>
      <xdr:spPr>
        <a:xfrm>
          <a:off x="28575" y="235077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2373" name="Line 329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2374" name="Line 330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2375" name="Line 331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288</xdr:row>
      <xdr:rowOff>0</xdr:rowOff>
    </xdr:from>
    <xdr:to>
      <xdr:col>2</xdr:col>
      <xdr:colOff>0</xdr:colOff>
      <xdr:row>288</xdr:row>
      <xdr:rowOff>0</xdr:rowOff>
    </xdr:to>
    <xdr:sp>
      <xdr:nvSpPr>
        <xdr:cNvPr id="2376" name="Line 332"/>
        <xdr:cNvSpPr>
          <a:spLocks/>
        </xdr:cNvSpPr>
      </xdr:nvSpPr>
      <xdr:spPr>
        <a:xfrm>
          <a:off x="28575" y="235077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288</xdr:row>
      <xdr:rowOff>0</xdr:rowOff>
    </xdr:from>
    <xdr:to>
      <xdr:col>2</xdr:col>
      <xdr:colOff>0</xdr:colOff>
      <xdr:row>288</xdr:row>
      <xdr:rowOff>0</xdr:rowOff>
    </xdr:to>
    <xdr:sp>
      <xdr:nvSpPr>
        <xdr:cNvPr id="2377" name="Line 333"/>
        <xdr:cNvSpPr>
          <a:spLocks/>
        </xdr:cNvSpPr>
      </xdr:nvSpPr>
      <xdr:spPr>
        <a:xfrm>
          <a:off x="28575" y="235077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2378" name="Line 334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2379" name="Line 335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380" name="Line 33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381" name="Line 33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382" name="Line 33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546</xdr:row>
      <xdr:rowOff>0</xdr:rowOff>
    </xdr:from>
    <xdr:to>
      <xdr:col>2</xdr:col>
      <xdr:colOff>0</xdr:colOff>
      <xdr:row>546</xdr:row>
      <xdr:rowOff>0</xdr:rowOff>
    </xdr:to>
    <xdr:sp>
      <xdr:nvSpPr>
        <xdr:cNvPr id="2383" name="Line 339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546</xdr:row>
      <xdr:rowOff>0</xdr:rowOff>
    </xdr:from>
    <xdr:to>
      <xdr:col>2</xdr:col>
      <xdr:colOff>0</xdr:colOff>
      <xdr:row>546</xdr:row>
      <xdr:rowOff>0</xdr:rowOff>
    </xdr:to>
    <xdr:sp>
      <xdr:nvSpPr>
        <xdr:cNvPr id="2384" name="Line 340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546</xdr:row>
      <xdr:rowOff>0</xdr:rowOff>
    </xdr:from>
    <xdr:to>
      <xdr:col>2</xdr:col>
      <xdr:colOff>0</xdr:colOff>
      <xdr:row>546</xdr:row>
      <xdr:rowOff>0</xdr:rowOff>
    </xdr:to>
    <xdr:sp>
      <xdr:nvSpPr>
        <xdr:cNvPr id="2385" name="Line 341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587</xdr:row>
      <xdr:rowOff>0</xdr:rowOff>
    </xdr:from>
    <xdr:to>
      <xdr:col>2</xdr:col>
      <xdr:colOff>0</xdr:colOff>
      <xdr:row>587</xdr:row>
      <xdr:rowOff>0</xdr:rowOff>
    </xdr:to>
    <xdr:sp>
      <xdr:nvSpPr>
        <xdr:cNvPr id="2386" name="Line 342"/>
        <xdr:cNvSpPr>
          <a:spLocks/>
        </xdr:cNvSpPr>
      </xdr:nvSpPr>
      <xdr:spPr>
        <a:xfrm>
          <a:off x="28575" y="66836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587</xdr:row>
      <xdr:rowOff>0</xdr:rowOff>
    </xdr:from>
    <xdr:to>
      <xdr:col>2</xdr:col>
      <xdr:colOff>0</xdr:colOff>
      <xdr:row>587</xdr:row>
      <xdr:rowOff>0</xdr:rowOff>
    </xdr:to>
    <xdr:sp>
      <xdr:nvSpPr>
        <xdr:cNvPr id="2387" name="Line 343"/>
        <xdr:cNvSpPr>
          <a:spLocks/>
        </xdr:cNvSpPr>
      </xdr:nvSpPr>
      <xdr:spPr>
        <a:xfrm>
          <a:off x="28575" y="66836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587</xdr:row>
      <xdr:rowOff>0</xdr:rowOff>
    </xdr:from>
    <xdr:to>
      <xdr:col>2</xdr:col>
      <xdr:colOff>0</xdr:colOff>
      <xdr:row>587</xdr:row>
      <xdr:rowOff>0</xdr:rowOff>
    </xdr:to>
    <xdr:sp>
      <xdr:nvSpPr>
        <xdr:cNvPr id="2388" name="Line 344"/>
        <xdr:cNvSpPr>
          <a:spLocks/>
        </xdr:cNvSpPr>
      </xdr:nvSpPr>
      <xdr:spPr>
        <a:xfrm>
          <a:off x="28575" y="66836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28575</xdr:rowOff>
    </xdr:from>
    <xdr:to>
      <xdr:col>2</xdr:col>
      <xdr:colOff>0</xdr:colOff>
      <xdr:row>10</xdr:row>
      <xdr:rowOff>0</xdr:rowOff>
    </xdr:to>
    <xdr:sp>
      <xdr:nvSpPr>
        <xdr:cNvPr id="2389" name="Line 345"/>
        <xdr:cNvSpPr>
          <a:spLocks/>
        </xdr:cNvSpPr>
      </xdr:nvSpPr>
      <xdr:spPr>
        <a:xfrm>
          <a:off x="28575" y="895350"/>
          <a:ext cx="3048000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390" name="Line 346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391" name="Line 347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392" name="Line 348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2393" name="Line 349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394" name="Line 350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349</xdr:row>
      <xdr:rowOff>0</xdr:rowOff>
    </xdr:from>
    <xdr:to>
      <xdr:col>2</xdr:col>
      <xdr:colOff>0</xdr:colOff>
      <xdr:row>349</xdr:row>
      <xdr:rowOff>0</xdr:rowOff>
    </xdr:to>
    <xdr:sp>
      <xdr:nvSpPr>
        <xdr:cNvPr id="2395" name="Line 351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396" name="Line 352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2397" name="Line 353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2398" name="Line 354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349</xdr:row>
      <xdr:rowOff>0</xdr:rowOff>
    </xdr:from>
    <xdr:to>
      <xdr:col>2</xdr:col>
      <xdr:colOff>0</xdr:colOff>
      <xdr:row>349</xdr:row>
      <xdr:rowOff>0</xdr:rowOff>
    </xdr:to>
    <xdr:sp>
      <xdr:nvSpPr>
        <xdr:cNvPr id="2399" name="Line 355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349</xdr:row>
      <xdr:rowOff>0</xdr:rowOff>
    </xdr:from>
    <xdr:to>
      <xdr:col>2</xdr:col>
      <xdr:colOff>0</xdr:colOff>
      <xdr:row>349</xdr:row>
      <xdr:rowOff>0</xdr:rowOff>
    </xdr:to>
    <xdr:sp>
      <xdr:nvSpPr>
        <xdr:cNvPr id="2400" name="Line 356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01" name="Line 35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02" name="Line 35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03" name="Line 35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04" name="Line 36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05" name="Line 36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06" name="Line 36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07" name="Line 36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08" name="Line 36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09" name="Line 36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28575</xdr:rowOff>
    </xdr:from>
    <xdr:to>
      <xdr:col>2</xdr:col>
      <xdr:colOff>0</xdr:colOff>
      <xdr:row>10</xdr:row>
      <xdr:rowOff>0</xdr:rowOff>
    </xdr:to>
    <xdr:sp>
      <xdr:nvSpPr>
        <xdr:cNvPr id="2410" name="Line 366"/>
        <xdr:cNvSpPr>
          <a:spLocks/>
        </xdr:cNvSpPr>
      </xdr:nvSpPr>
      <xdr:spPr>
        <a:xfrm>
          <a:off x="28575" y="895350"/>
          <a:ext cx="3048000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411" name="Line 367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412" name="Line 368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413" name="Line 369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2414" name="Line 370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415" name="Line 371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349</xdr:row>
      <xdr:rowOff>0</xdr:rowOff>
    </xdr:from>
    <xdr:to>
      <xdr:col>2</xdr:col>
      <xdr:colOff>0</xdr:colOff>
      <xdr:row>349</xdr:row>
      <xdr:rowOff>0</xdr:rowOff>
    </xdr:to>
    <xdr:sp>
      <xdr:nvSpPr>
        <xdr:cNvPr id="2416" name="Line 372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417" name="Line 373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2418" name="Line 374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2419" name="Line 375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349</xdr:row>
      <xdr:rowOff>0</xdr:rowOff>
    </xdr:from>
    <xdr:to>
      <xdr:col>2</xdr:col>
      <xdr:colOff>0</xdr:colOff>
      <xdr:row>349</xdr:row>
      <xdr:rowOff>0</xdr:rowOff>
    </xdr:to>
    <xdr:sp>
      <xdr:nvSpPr>
        <xdr:cNvPr id="2420" name="Line 376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349</xdr:row>
      <xdr:rowOff>0</xdr:rowOff>
    </xdr:from>
    <xdr:to>
      <xdr:col>2</xdr:col>
      <xdr:colOff>0</xdr:colOff>
      <xdr:row>349</xdr:row>
      <xdr:rowOff>0</xdr:rowOff>
    </xdr:to>
    <xdr:sp>
      <xdr:nvSpPr>
        <xdr:cNvPr id="2421" name="Line 377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22" name="Line 37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23" name="Line 37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24" name="Line 38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25" name="Line 38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26" name="Line 38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27" name="Line 38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28" name="Line 38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29" name="Line 38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30" name="Line 38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28575</xdr:rowOff>
    </xdr:from>
    <xdr:to>
      <xdr:col>2</xdr:col>
      <xdr:colOff>0</xdr:colOff>
      <xdr:row>10</xdr:row>
      <xdr:rowOff>0</xdr:rowOff>
    </xdr:to>
    <xdr:sp>
      <xdr:nvSpPr>
        <xdr:cNvPr id="2431" name="Line 387"/>
        <xdr:cNvSpPr>
          <a:spLocks/>
        </xdr:cNvSpPr>
      </xdr:nvSpPr>
      <xdr:spPr>
        <a:xfrm>
          <a:off x="28575" y="895350"/>
          <a:ext cx="3048000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432" name="Line 388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433" name="Line 389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434" name="Line 390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2435" name="Line 391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436" name="Line 392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349</xdr:row>
      <xdr:rowOff>0</xdr:rowOff>
    </xdr:from>
    <xdr:to>
      <xdr:col>2</xdr:col>
      <xdr:colOff>0</xdr:colOff>
      <xdr:row>349</xdr:row>
      <xdr:rowOff>0</xdr:rowOff>
    </xdr:to>
    <xdr:sp>
      <xdr:nvSpPr>
        <xdr:cNvPr id="2437" name="Line 393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438" name="Line 394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2439" name="Line 395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2440" name="Line 396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349</xdr:row>
      <xdr:rowOff>0</xdr:rowOff>
    </xdr:from>
    <xdr:to>
      <xdr:col>2</xdr:col>
      <xdr:colOff>0</xdr:colOff>
      <xdr:row>349</xdr:row>
      <xdr:rowOff>0</xdr:rowOff>
    </xdr:to>
    <xdr:sp>
      <xdr:nvSpPr>
        <xdr:cNvPr id="2441" name="Line 397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349</xdr:row>
      <xdr:rowOff>0</xdr:rowOff>
    </xdr:from>
    <xdr:to>
      <xdr:col>2</xdr:col>
      <xdr:colOff>0</xdr:colOff>
      <xdr:row>349</xdr:row>
      <xdr:rowOff>0</xdr:rowOff>
    </xdr:to>
    <xdr:sp>
      <xdr:nvSpPr>
        <xdr:cNvPr id="2442" name="Line 398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43" name="Line 39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44" name="Line 40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45" name="Line 40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46" name="Line 40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47" name="Line 40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48" name="Line 40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49" name="Line 40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50" name="Line 40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51" name="Line 40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28575</xdr:rowOff>
    </xdr:from>
    <xdr:to>
      <xdr:col>2</xdr:col>
      <xdr:colOff>0</xdr:colOff>
      <xdr:row>10</xdr:row>
      <xdr:rowOff>0</xdr:rowOff>
    </xdr:to>
    <xdr:sp>
      <xdr:nvSpPr>
        <xdr:cNvPr id="2452" name="Line 408"/>
        <xdr:cNvSpPr>
          <a:spLocks/>
        </xdr:cNvSpPr>
      </xdr:nvSpPr>
      <xdr:spPr>
        <a:xfrm>
          <a:off x="28575" y="895350"/>
          <a:ext cx="3048000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453" name="Line 409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454" name="Line 410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455" name="Line 411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2456" name="Line 412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457" name="Line 413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349</xdr:row>
      <xdr:rowOff>0</xdr:rowOff>
    </xdr:from>
    <xdr:to>
      <xdr:col>2</xdr:col>
      <xdr:colOff>0</xdr:colOff>
      <xdr:row>349</xdr:row>
      <xdr:rowOff>0</xdr:rowOff>
    </xdr:to>
    <xdr:sp>
      <xdr:nvSpPr>
        <xdr:cNvPr id="2458" name="Line 414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459" name="Line 415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2460" name="Line 416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2461" name="Line 417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349</xdr:row>
      <xdr:rowOff>0</xdr:rowOff>
    </xdr:from>
    <xdr:to>
      <xdr:col>2</xdr:col>
      <xdr:colOff>0</xdr:colOff>
      <xdr:row>349</xdr:row>
      <xdr:rowOff>0</xdr:rowOff>
    </xdr:to>
    <xdr:sp>
      <xdr:nvSpPr>
        <xdr:cNvPr id="2462" name="Line 418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349</xdr:row>
      <xdr:rowOff>0</xdr:rowOff>
    </xdr:from>
    <xdr:to>
      <xdr:col>2</xdr:col>
      <xdr:colOff>0</xdr:colOff>
      <xdr:row>349</xdr:row>
      <xdr:rowOff>0</xdr:rowOff>
    </xdr:to>
    <xdr:sp>
      <xdr:nvSpPr>
        <xdr:cNvPr id="2463" name="Line 419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64" name="Line 42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65" name="Line 42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66" name="Line 42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67" name="Line 42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68" name="Line 42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69" name="Line 42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70" name="Line 42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71" name="Line 42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72" name="Line 42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28575</xdr:rowOff>
    </xdr:from>
    <xdr:to>
      <xdr:col>2</xdr:col>
      <xdr:colOff>0</xdr:colOff>
      <xdr:row>10</xdr:row>
      <xdr:rowOff>0</xdr:rowOff>
    </xdr:to>
    <xdr:sp>
      <xdr:nvSpPr>
        <xdr:cNvPr id="2473" name="Line 429"/>
        <xdr:cNvSpPr>
          <a:spLocks/>
        </xdr:cNvSpPr>
      </xdr:nvSpPr>
      <xdr:spPr>
        <a:xfrm>
          <a:off x="28575" y="895350"/>
          <a:ext cx="3048000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474" name="Line 430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475" name="Line 431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476" name="Line 432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2477" name="Line 433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478" name="Line 434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349</xdr:row>
      <xdr:rowOff>0</xdr:rowOff>
    </xdr:from>
    <xdr:to>
      <xdr:col>2</xdr:col>
      <xdr:colOff>0</xdr:colOff>
      <xdr:row>349</xdr:row>
      <xdr:rowOff>0</xdr:rowOff>
    </xdr:to>
    <xdr:sp>
      <xdr:nvSpPr>
        <xdr:cNvPr id="2479" name="Line 435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480" name="Line 436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2481" name="Line 437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2482" name="Line 438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349</xdr:row>
      <xdr:rowOff>0</xdr:rowOff>
    </xdr:from>
    <xdr:to>
      <xdr:col>2</xdr:col>
      <xdr:colOff>0</xdr:colOff>
      <xdr:row>349</xdr:row>
      <xdr:rowOff>0</xdr:rowOff>
    </xdr:to>
    <xdr:sp>
      <xdr:nvSpPr>
        <xdr:cNvPr id="2483" name="Line 439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349</xdr:row>
      <xdr:rowOff>0</xdr:rowOff>
    </xdr:from>
    <xdr:to>
      <xdr:col>2</xdr:col>
      <xdr:colOff>0</xdr:colOff>
      <xdr:row>349</xdr:row>
      <xdr:rowOff>0</xdr:rowOff>
    </xdr:to>
    <xdr:sp>
      <xdr:nvSpPr>
        <xdr:cNvPr id="2484" name="Line 440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85" name="Line 44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86" name="Line 44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87" name="Line 44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88" name="Line 44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89" name="Line 44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90" name="Line 44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91" name="Line 44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92" name="Line 44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93" name="Line 44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28575</xdr:rowOff>
    </xdr:from>
    <xdr:to>
      <xdr:col>2</xdr:col>
      <xdr:colOff>0</xdr:colOff>
      <xdr:row>10</xdr:row>
      <xdr:rowOff>0</xdr:rowOff>
    </xdr:to>
    <xdr:sp>
      <xdr:nvSpPr>
        <xdr:cNvPr id="2494" name="Line 450"/>
        <xdr:cNvSpPr>
          <a:spLocks/>
        </xdr:cNvSpPr>
      </xdr:nvSpPr>
      <xdr:spPr>
        <a:xfrm>
          <a:off x="28575" y="895350"/>
          <a:ext cx="3048000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495" name="Line 451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496" name="Line 452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497" name="Line 453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498" name="Line 45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499" name="Line 455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812</xdr:row>
      <xdr:rowOff>0</xdr:rowOff>
    </xdr:from>
    <xdr:to>
      <xdr:col>2</xdr:col>
      <xdr:colOff>0</xdr:colOff>
      <xdr:row>812</xdr:row>
      <xdr:rowOff>0</xdr:rowOff>
    </xdr:to>
    <xdr:sp>
      <xdr:nvSpPr>
        <xdr:cNvPr id="2500" name="Line 456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01" name="Line 457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502" name="Line 45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503" name="Line 45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812</xdr:row>
      <xdr:rowOff>0</xdr:rowOff>
    </xdr:from>
    <xdr:to>
      <xdr:col>2</xdr:col>
      <xdr:colOff>0</xdr:colOff>
      <xdr:row>812</xdr:row>
      <xdr:rowOff>0</xdr:rowOff>
    </xdr:to>
    <xdr:sp>
      <xdr:nvSpPr>
        <xdr:cNvPr id="2504" name="Line 460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812</xdr:row>
      <xdr:rowOff>0</xdr:rowOff>
    </xdr:from>
    <xdr:to>
      <xdr:col>2</xdr:col>
      <xdr:colOff>0</xdr:colOff>
      <xdr:row>812</xdr:row>
      <xdr:rowOff>0</xdr:rowOff>
    </xdr:to>
    <xdr:sp>
      <xdr:nvSpPr>
        <xdr:cNvPr id="2505" name="Line 461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818</xdr:row>
      <xdr:rowOff>0</xdr:rowOff>
    </xdr:from>
    <xdr:to>
      <xdr:col>2</xdr:col>
      <xdr:colOff>0</xdr:colOff>
      <xdr:row>818</xdr:row>
      <xdr:rowOff>0</xdr:rowOff>
    </xdr:to>
    <xdr:sp>
      <xdr:nvSpPr>
        <xdr:cNvPr id="2506" name="Line 462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818</xdr:row>
      <xdr:rowOff>0</xdr:rowOff>
    </xdr:from>
    <xdr:to>
      <xdr:col>2</xdr:col>
      <xdr:colOff>0</xdr:colOff>
      <xdr:row>818</xdr:row>
      <xdr:rowOff>0</xdr:rowOff>
    </xdr:to>
    <xdr:sp>
      <xdr:nvSpPr>
        <xdr:cNvPr id="2507" name="Line 463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818</xdr:row>
      <xdr:rowOff>0</xdr:rowOff>
    </xdr:from>
    <xdr:to>
      <xdr:col>2</xdr:col>
      <xdr:colOff>0</xdr:colOff>
      <xdr:row>818</xdr:row>
      <xdr:rowOff>0</xdr:rowOff>
    </xdr:to>
    <xdr:sp>
      <xdr:nvSpPr>
        <xdr:cNvPr id="2508" name="Line 464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509" name="Line 465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510" name="Line 466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511" name="Line 467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512" name="Line 468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513" name="Line 469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514" name="Line 470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28575</xdr:rowOff>
    </xdr:from>
    <xdr:to>
      <xdr:col>2</xdr:col>
      <xdr:colOff>0</xdr:colOff>
      <xdr:row>10</xdr:row>
      <xdr:rowOff>0</xdr:rowOff>
    </xdr:to>
    <xdr:sp>
      <xdr:nvSpPr>
        <xdr:cNvPr id="2515" name="Line 471"/>
        <xdr:cNvSpPr>
          <a:spLocks/>
        </xdr:cNvSpPr>
      </xdr:nvSpPr>
      <xdr:spPr>
        <a:xfrm>
          <a:off x="28575" y="895350"/>
          <a:ext cx="3048000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516" name="Line 472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17" name="Line 473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518" name="Line 474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519" name="Line 47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20" name="Line 476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812</xdr:row>
      <xdr:rowOff>0</xdr:rowOff>
    </xdr:from>
    <xdr:to>
      <xdr:col>2</xdr:col>
      <xdr:colOff>0</xdr:colOff>
      <xdr:row>812</xdr:row>
      <xdr:rowOff>0</xdr:rowOff>
    </xdr:to>
    <xdr:sp>
      <xdr:nvSpPr>
        <xdr:cNvPr id="2521" name="Line 477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22" name="Line 478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523" name="Line 47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524" name="Line 48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812</xdr:row>
      <xdr:rowOff>0</xdr:rowOff>
    </xdr:from>
    <xdr:to>
      <xdr:col>2</xdr:col>
      <xdr:colOff>0</xdr:colOff>
      <xdr:row>812</xdr:row>
      <xdr:rowOff>0</xdr:rowOff>
    </xdr:to>
    <xdr:sp>
      <xdr:nvSpPr>
        <xdr:cNvPr id="2525" name="Line 481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812</xdr:row>
      <xdr:rowOff>0</xdr:rowOff>
    </xdr:from>
    <xdr:to>
      <xdr:col>2</xdr:col>
      <xdr:colOff>0</xdr:colOff>
      <xdr:row>812</xdr:row>
      <xdr:rowOff>0</xdr:rowOff>
    </xdr:to>
    <xdr:sp>
      <xdr:nvSpPr>
        <xdr:cNvPr id="2526" name="Line 482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818</xdr:row>
      <xdr:rowOff>0</xdr:rowOff>
    </xdr:from>
    <xdr:to>
      <xdr:col>2</xdr:col>
      <xdr:colOff>0</xdr:colOff>
      <xdr:row>818</xdr:row>
      <xdr:rowOff>0</xdr:rowOff>
    </xdr:to>
    <xdr:sp>
      <xdr:nvSpPr>
        <xdr:cNvPr id="2527" name="Line 483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818</xdr:row>
      <xdr:rowOff>0</xdr:rowOff>
    </xdr:from>
    <xdr:to>
      <xdr:col>2</xdr:col>
      <xdr:colOff>0</xdr:colOff>
      <xdr:row>818</xdr:row>
      <xdr:rowOff>0</xdr:rowOff>
    </xdr:to>
    <xdr:sp>
      <xdr:nvSpPr>
        <xdr:cNvPr id="2528" name="Line 484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818</xdr:row>
      <xdr:rowOff>0</xdr:rowOff>
    </xdr:from>
    <xdr:to>
      <xdr:col>2</xdr:col>
      <xdr:colOff>0</xdr:colOff>
      <xdr:row>818</xdr:row>
      <xdr:rowOff>0</xdr:rowOff>
    </xdr:to>
    <xdr:sp>
      <xdr:nvSpPr>
        <xdr:cNvPr id="2529" name="Line 485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530" name="Line 486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531" name="Line 487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532" name="Line 488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533" name="Line 489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534" name="Line 490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535" name="Line 491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28575</xdr:rowOff>
    </xdr:from>
    <xdr:to>
      <xdr:col>2</xdr:col>
      <xdr:colOff>0</xdr:colOff>
      <xdr:row>10</xdr:row>
      <xdr:rowOff>0</xdr:rowOff>
    </xdr:to>
    <xdr:sp>
      <xdr:nvSpPr>
        <xdr:cNvPr id="2536" name="Line 492"/>
        <xdr:cNvSpPr>
          <a:spLocks/>
        </xdr:cNvSpPr>
      </xdr:nvSpPr>
      <xdr:spPr>
        <a:xfrm>
          <a:off x="28575" y="895350"/>
          <a:ext cx="3048000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537" name="Line 493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38" name="Line 494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539" name="Line 495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540" name="Line 49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41" name="Line 497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812</xdr:row>
      <xdr:rowOff>0</xdr:rowOff>
    </xdr:from>
    <xdr:to>
      <xdr:col>2</xdr:col>
      <xdr:colOff>0</xdr:colOff>
      <xdr:row>812</xdr:row>
      <xdr:rowOff>0</xdr:rowOff>
    </xdr:to>
    <xdr:sp>
      <xdr:nvSpPr>
        <xdr:cNvPr id="2542" name="Line 498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43" name="Line 499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544" name="Line 50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545" name="Line 50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812</xdr:row>
      <xdr:rowOff>0</xdr:rowOff>
    </xdr:from>
    <xdr:to>
      <xdr:col>2</xdr:col>
      <xdr:colOff>0</xdr:colOff>
      <xdr:row>812</xdr:row>
      <xdr:rowOff>0</xdr:rowOff>
    </xdr:to>
    <xdr:sp>
      <xdr:nvSpPr>
        <xdr:cNvPr id="2546" name="Line 502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812</xdr:row>
      <xdr:rowOff>0</xdr:rowOff>
    </xdr:from>
    <xdr:to>
      <xdr:col>2</xdr:col>
      <xdr:colOff>0</xdr:colOff>
      <xdr:row>812</xdr:row>
      <xdr:rowOff>0</xdr:rowOff>
    </xdr:to>
    <xdr:sp>
      <xdr:nvSpPr>
        <xdr:cNvPr id="2547" name="Line 503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818</xdr:row>
      <xdr:rowOff>0</xdr:rowOff>
    </xdr:from>
    <xdr:to>
      <xdr:col>2</xdr:col>
      <xdr:colOff>0</xdr:colOff>
      <xdr:row>818</xdr:row>
      <xdr:rowOff>0</xdr:rowOff>
    </xdr:to>
    <xdr:sp>
      <xdr:nvSpPr>
        <xdr:cNvPr id="2548" name="Line 504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818</xdr:row>
      <xdr:rowOff>0</xdr:rowOff>
    </xdr:from>
    <xdr:to>
      <xdr:col>2</xdr:col>
      <xdr:colOff>0</xdr:colOff>
      <xdr:row>818</xdr:row>
      <xdr:rowOff>0</xdr:rowOff>
    </xdr:to>
    <xdr:sp>
      <xdr:nvSpPr>
        <xdr:cNvPr id="2549" name="Line 505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818</xdr:row>
      <xdr:rowOff>0</xdr:rowOff>
    </xdr:from>
    <xdr:to>
      <xdr:col>2</xdr:col>
      <xdr:colOff>0</xdr:colOff>
      <xdr:row>818</xdr:row>
      <xdr:rowOff>0</xdr:rowOff>
    </xdr:to>
    <xdr:sp>
      <xdr:nvSpPr>
        <xdr:cNvPr id="2550" name="Line 506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551" name="Line 507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552" name="Line 508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553" name="Line 509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554" name="Line 510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555" name="Line 511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556" name="Line 512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28575</xdr:rowOff>
    </xdr:from>
    <xdr:to>
      <xdr:col>2</xdr:col>
      <xdr:colOff>0</xdr:colOff>
      <xdr:row>10</xdr:row>
      <xdr:rowOff>0</xdr:rowOff>
    </xdr:to>
    <xdr:sp>
      <xdr:nvSpPr>
        <xdr:cNvPr id="2557" name="Line 513"/>
        <xdr:cNvSpPr>
          <a:spLocks/>
        </xdr:cNvSpPr>
      </xdr:nvSpPr>
      <xdr:spPr>
        <a:xfrm>
          <a:off x="28575" y="895350"/>
          <a:ext cx="3048000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558" name="Line 514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59" name="Line 515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560" name="Line 516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561" name="Line 51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62" name="Line 518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812</xdr:row>
      <xdr:rowOff>0</xdr:rowOff>
    </xdr:from>
    <xdr:to>
      <xdr:col>2</xdr:col>
      <xdr:colOff>0</xdr:colOff>
      <xdr:row>812</xdr:row>
      <xdr:rowOff>0</xdr:rowOff>
    </xdr:to>
    <xdr:sp>
      <xdr:nvSpPr>
        <xdr:cNvPr id="2563" name="Line 519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64" name="Line 520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565" name="Line 52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566" name="Line 52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812</xdr:row>
      <xdr:rowOff>0</xdr:rowOff>
    </xdr:from>
    <xdr:to>
      <xdr:col>2</xdr:col>
      <xdr:colOff>0</xdr:colOff>
      <xdr:row>812</xdr:row>
      <xdr:rowOff>0</xdr:rowOff>
    </xdr:to>
    <xdr:sp>
      <xdr:nvSpPr>
        <xdr:cNvPr id="2567" name="Line 523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812</xdr:row>
      <xdr:rowOff>0</xdr:rowOff>
    </xdr:from>
    <xdr:to>
      <xdr:col>2</xdr:col>
      <xdr:colOff>0</xdr:colOff>
      <xdr:row>812</xdr:row>
      <xdr:rowOff>0</xdr:rowOff>
    </xdr:to>
    <xdr:sp>
      <xdr:nvSpPr>
        <xdr:cNvPr id="2568" name="Line 524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818</xdr:row>
      <xdr:rowOff>0</xdr:rowOff>
    </xdr:from>
    <xdr:to>
      <xdr:col>2</xdr:col>
      <xdr:colOff>0</xdr:colOff>
      <xdr:row>818</xdr:row>
      <xdr:rowOff>0</xdr:rowOff>
    </xdr:to>
    <xdr:sp>
      <xdr:nvSpPr>
        <xdr:cNvPr id="2569" name="Line 525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818</xdr:row>
      <xdr:rowOff>0</xdr:rowOff>
    </xdr:from>
    <xdr:to>
      <xdr:col>2</xdr:col>
      <xdr:colOff>0</xdr:colOff>
      <xdr:row>818</xdr:row>
      <xdr:rowOff>0</xdr:rowOff>
    </xdr:to>
    <xdr:sp>
      <xdr:nvSpPr>
        <xdr:cNvPr id="2570" name="Line 526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818</xdr:row>
      <xdr:rowOff>0</xdr:rowOff>
    </xdr:from>
    <xdr:to>
      <xdr:col>2</xdr:col>
      <xdr:colOff>0</xdr:colOff>
      <xdr:row>818</xdr:row>
      <xdr:rowOff>0</xdr:rowOff>
    </xdr:to>
    <xdr:sp>
      <xdr:nvSpPr>
        <xdr:cNvPr id="2571" name="Line 527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572" name="Line 528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573" name="Line 529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574" name="Line 530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575" name="Line 531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576" name="Line 532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577" name="Line 533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28575</xdr:rowOff>
    </xdr:from>
    <xdr:to>
      <xdr:col>2</xdr:col>
      <xdr:colOff>0</xdr:colOff>
      <xdr:row>10</xdr:row>
      <xdr:rowOff>0</xdr:rowOff>
    </xdr:to>
    <xdr:sp>
      <xdr:nvSpPr>
        <xdr:cNvPr id="2578" name="Line 534"/>
        <xdr:cNvSpPr>
          <a:spLocks/>
        </xdr:cNvSpPr>
      </xdr:nvSpPr>
      <xdr:spPr>
        <a:xfrm>
          <a:off x="28575" y="895350"/>
          <a:ext cx="3048000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579" name="Line 535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80" name="Line 536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581" name="Line 537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582" name="Line 53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83" name="Line 539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812</xdr:row>
      <xdr:rowOff>0</xdr:rowOff>
    </xdr:from>
    <xdr:to>
      <xdr:col>2</xdr:col>
      <xdr:colOff>0</xdr:colOff>
      <xdr:row>812</xdr:row>
      <xdr:rowOff>0</xdr:rowOff>
    </xdr:to>
    <xdr:sp>
      <xdr:nvSpPr>
        <xdr:cNvPr id="2584" name="Line 540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585" name="Line 541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586" name="Line 54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587" name="Line 54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812</xdr:row>
      <xdr:rowOff>0</xdr:rowOff>
    </xdr:from>
    <xdr:to>
      <xdr:col>2</xdr:col>
      <xdr:colOff>0</xdr:colOff>
      <xdr:row>812</xdr:row>
      <xdr:rowOff>0</xdr:rowOff>
    </xdr:to>
    <xdr:sp>
      <xdr:nvSpPr>
        <xdr:cNvPr id="2588" name="Line 544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812</xdr:row>
      <xdr:rowOff>0</xdr:rowOff>
    </xdr:from>
    <xdr:to>
      <xdr:col>2</xdr:col>
      <xdr:colOff>0</xdr:colOff>
      <xdr:row>812</xdr:row>
      <xdr:rowOff>0</xdr:rowOff>
    </xdr:to>
    <xdr:sp>
      <xdr:nvSpPr>
        <xdr:cNvPr id="2589" name="Line 545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818</xdr:row>
      <xdr:rowOff>0</xdr:rowOff>
    </xdr:from>
    <xdr:to>
      <xdr:col>2</xdr:col>
      <xdr:colOff>0</xdr:colOff>
      <xdr:row>818</xdr:row>
      <xdr:rowOff>0</xdr:rowOff>
    </xdr:to>
    <xdr:sp>
      <xdr:nvSpPr>
        <xdr:cNvPr id="2590" name="Line 546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818</xdr:row>
      <xdr:rowOff>0</xdr:rowOff>
    </xdr:from>
    <xdr:to>
      <xdr:col>2</xdr:col>
      <xdr:colOff>0</xdr:colOff>
      <xdr:row>818</xdr:row>
      <xdr:rowOff>0</xdr:rowOff>
    </xdr:to>
    <xdr:sp>
      <xdr:nvSpPr>
        <xdr:cNvPr id="2591" name="Line 547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818</xdr:row>
      <xdr:rowOff>0</xdr:rowOff>
    </xdr:from>
    <xdr:to>
      <xdr:col>2</xdr:col>
      <xdr:colOff>0</xdr:colOff>
      <xdr:row>818</xdr:row>
      <xdr:rowOff>0</xdr:rowOff>
    </xdr:to>
    <xdr:sp>
      <xdr:nvSpPr>
        <xdr:cNvPr id="2592" name="Line 548"/>
        <xdr:cNvSpPr>
          <a:spLocks/>
        </xdr:cNvSpPr>
      </xdr:nvSpPr>
      <xdr:spPr>
        <a:xfrm>
          <a:off x="28575" y="84439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593" name="Line 549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594" name="Line 550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595" name="Line 551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596" name="Line 552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597" name="Line 553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598" name="Line 554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599" name="Line 555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600" name="Line 556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601" name="Line 557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602" name="Line 558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603" name="Line 559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604" name="Line 560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605" name="Line 561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606" name="Line 562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607" name="Line 563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608" name="Line 564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609" name="Line 565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610" name="Line 566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611" name="Line 567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612" name="Line 568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833</xdr:row>
      <xdr:rowOff>0</xdr:rowOff>
    </xdr:from>
    <xdr:to>
      <xdr:col>2</xdr:col>
      <xdr:colOff>0</xdr:colOff>
      <xdr:row>833</xdr:row>
      <xdr:rowOff>0</xdr:rowOff>
    </xdr:to>
    <xdr:sp>
      <xdr:nvSpPr>
        <xdr:cNvPr id="2613" name="Line 569"/>
        <xdr:cNvSpPr>
          <a:spLocks/>
        </xdr:cNvSpPr>
      </xdr:nvSpPr>
      <xdr:spPr>
        <a:xfrm>
          <a:off x="28575" y="85734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14" name="Line 57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15" name="Line 57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16" name="Line 57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17" name="Line 57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18" name="Line 57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19" name="Line 57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20" name="Line 57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21" name="Line 57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22" name="Line 57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23" name="Line 57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24" name="Line 58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25" name="Line 58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26" name="Line 58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27" name="Line 58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28" name="Line 58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29" name="Line 58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30" name="Line 58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31" name="Line 58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32" name="Line 58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33" name="Line 58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34" name="Line 59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35" name="Line 59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36" name="Line 59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37" name="Line 59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38" name="Line 59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39" name="Line 59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40" name="Line 59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41" name="Line 59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42" name="Line 59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43" name="Line 59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44" name="Line 60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45" name="Line 60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46" name="Line 60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47" name="Line 60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48" name="Line 60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49" name="Line 60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50" name="Line 60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51" name="Line 60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52" name="Line 60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53" name="Line 60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392</xdr:row>
      <xdr:rowOff>0</xdr:rowOff>
    </xdr:from>
    <xdr:to>
      <xdr:col>2</xdr:col>
      <xdr:colOff>0</xdr:colOff>
      <xdr:row>392</xdr:row>
      <xdr:rowOff>0</xdr:rowOff>
    </xdr:to>
    <xdr:sp>
      <xdr:nvSpPr>
        <xdr:cNvPr id="2654" name="Line 610"/>
        <xdr:cNvSpPr>
          <a:spLocks/>
        </xdr:cNvSpPr>
      </xdr:nvSpPr>
      <xdr:spPr>
        <a:xfrm>
          <a:off x="28575" y="33394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392</xdr:row>
      <xdr:rowOff>0</xdr:rowOff>
    </xdr:from>
    <xdr:to>
      <xdr:col>2</xdr:col>
      <xdr:colOff>0</xdr:colOff>
      <xdr:row>392</xdr:row>
      <xdr:rowOff>0</xdr:rowOff>
    </xdr:to>
    <xdr:sp>
      <xdr:nvSpPr>
        <xdr:cNvPr id="2655" name="Line 611"/>
        <xdr:cNvSpPr>
          <a:spLocks/>
        </xdr:cNvSpPr>
      </xdr:nvSpPr>
      <xdr:spPr>
        <a:xfrm>
          <a:off x="28575" y="33394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392</xdr:row>
      <xdr:rowOff>0</xdr:rowOff>
    </xdr:from>
    <xdr:to>
      <xdr:col>2</xdr:col>
      <xdr:colOff>0</xdr:colOff>
      <xdr:row>392</xdr:row>
      <xdr:rowOff>0</xdr:rowOff>
    </xdr:to>
    <xdr:sp>
      <xdr:nvSpPr>
        <xdr:cNvPr id="2656" name="Line 612"/>
        <xdr:cNvSpPr>
          <a:spLocks/>
        </xdr:cNvSpPr>
      </xdr:nvSpPr>
      <xdr:spPr>
        <a:xfrm>
          <a:off x="28575" y="33394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392</xdr:row>
      <xdr:rowOff>0</xdr:rowOff>
    </xdr:from>
    <xdr:to>
      <xdr:col>2</xdr:col>
      <xdr:colOff>0</xdr:colOff>
      <xdr:row>392</xdr:row>
      <xdr:rowOff>0</xdr:rowOff>
    </xdr:to>
    <xdr:sp>
      <xdr:nvSpPr>
        <xdr:cNvPr id="2657" name="Line 613"/>
        <xdr:cNvSpPr>
          <a:spLocks/>
        </xdr:cNvSpPr>
      </xdr:nvSpPr>
      <xdr:spPr>
        <a:xfrm>
          <a:off x="28575" y="33394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392</xdr:row>
      <xdr:rowOff>0</xdr:rowOff>
    </xdr:from>
    <xdr:to>
      <xdr:col>2</xdr:col>
      <xdr:colOff>0</xdr:colOff>
      <xdr:row>392</xdr:row>
      <xdr:rowOff>0</xdr:rowOff>
    </xdr:to>
    <xdr:sp>
      <xdr:nvSpPr>
        <xdr:cNvPr id="2658" name="Line 614"/>
        <xdr:cNvSpPr>
          <a:spLocks/>
        </xdr:cNvSpPr>
      </xdr:nvSpPr>
      <xdr:spPr>
        <a:xfrm>
          <a:off x="28575" y="33394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392</xdr:row>
      <xdr:rowOff>0</xdr:rowOff>
    </xdr:from>
    <xdr:to>
      <xdr:col>2</xdr:col>
      <xdr:colOff>0</xdr:colOff>
      <xdr:row>392</xdr:row>
      <xdr:rowOff>0</xdr:rowOff>
    </xdr:to>
    <xdr:sp>
      <xdr:nvSpPr>
        <xdr:cNvPr id="2659" name="Line 615"/>
        <xdr:cNvSpPr>
          <a:spLocks/>
        </xdr:cNvSpPr>
      </xdr:nvSpPr>
      <xdr:spPr>
        <a:xfrm>
          <a:off x="28575" y="33394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392</xdr:row>
      <xdr:rowOff>0</xdr:rowOff>
    </xdr:from>
    <xdr:to>
      <xdr:col>2</xdr:col>
      <xdr:colOff>0</xdr:colOff>
      <xdr:row>392</xdr:row>
      <xdr:rowOff>0</xdr:rowOff>
    </xdr:to>
    <xdr:sp>
      <xdr:nvSpPr>
        <xdr:cNvPr id="2660" name="Line 616"/>
        <xdr:cNvSpPr>
          <a:spLocks/>
        </xdr:cNvSpPr>
      </xdr:nvSpPr>
      <xdr:spPr>
        <a:xfrm>
          <a:off x="28575" y="33394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392</xdr:row>
      <xdr:rowOff>0</xdr:rowOff>
    </xdr:from>
    <xdr:to>
      <xdr:col>2</xdr:col>
      <xdr:colOff>0</xdr:colOff>
      <xdr:row>392</xdr:row>
      <xdr:rowOff>0</xdr:rowOff>
    </xdr:to>
    <xdr:sp>
      <xdr:nvSpPr>
        <xdr:cNvPr id="2661" name="Line 617"/>
        <xdr:cNvSpPr>
          <a:spLocks/>
        </xdr:cNvSpPr>
      </xdr:nvSpPr>
      <xdr:spPr>
        <a:xfrm>
          <a:off x="28575" y="33394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392</xdr:row>
      <xdr:rowOff>0</xdr:rowOff>
    </xdr:from>
    <xdr:to>
      <xdr:col>2</xdr:col>
      <xdr:colOff>0</xdr:colOff>
      <xdr:row>392</xdr:row>
      <xdr:rowOff>0</xdr:rowOff>
    </xdr:to>
    <xdr:sp>
      <xdr:nvSpPr>
        <xdr:cNvPr id="2662" name="Line 618"/>
        <xdr:cNvSpPr>
          <a:spLocks/>
        </xdr:cNvSpPr>
      </xdr:nvSpPr>
      <xdr:spPr>
        <a:xfrm>
          <a:off x="28575" y="33394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392</xdr:row>
      <xdr:rowOff>0</xdr:rowOff>
    </xdr:from>
    <xdr:to>
      <xdr:col>2</xdr:col>
      <xdr:colOff>0</xdr:colOff>
      <xdr:row>392</xdr:row>
      <xdr:rowOff>0</xdr:rowOff>
    </xdr:to>
    <xdr:sp>
      <xdr:nvSpPr>
        <xdr:cNvPr id="2663" name="Line 619"/>
        <xdr:cNvSpPr>
          <a:spLocks/>
        </xdr:cNvSpPr>
      </xdr:nvSpPr>
      <xdr:spPr>
        <a:xfrm>
          <a:off x="28575" y="33394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392</xdr:row>
      <xdr:rowOff>0</xdr:rowOff>
    </xdr:from>
    <xdr:to>
      <xdr:col>2</xdr:col>
      <xdr:colOff>0</xdr:colOff>
      <xdr:row>392</xdr:row>
      <xdr:rowOff>0</xdr:rowOff>
    </xdr:to>
    <xdr:sp>
      <xdr:nvSpPr>
        <xdr:cNvPr id="2664" name="Line 620"/>
        <xdr:cNvSpPr>
          <a:spLocks/>
        </xdr:cNvSpPr>
      </xdr:nvSpPr>
      <xdr:spPr>
        <a:xfrm>
          <a:off x="28575" y="33394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392</xdr:row>
      <xdr:rowOff>0</xdr:rowOff>
    </xdr:from>
    <xdr:to>
      <xdr:col>2</xdr:col>
      <xdr:colOff>0</xdr:colOff>
      <xdr:row>392</xdr:row>
      <xdr:rowOff>0</xdr:rowOff>
    </xdr:to>
    <xdr:sp>
      <xdr:nvSpPr>
        <xdr:cNvPr id="2665" name="Line 621"/>
        <xdr:cNvSpPr>
          <a:spLocks/>
        </xdr:cNvSpPr>
      </xdr:nvSpPr>
      <xdr:spPr>
        <a:xfrm>
          <a:off x="28575" y="33394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392</xdr:row>
      <xdr:rowOff>0</xdr:rowOff>
    </xdr:from>
    <xdr:to>
      <xdr:col>2</xdr:col>
      <xdr:colOff>0</xdr:colOff>
      <xdr:row>392</xdr:row>
      <xdr:rowOff>0</xdr:rowOff>
    </xdr:to>
    <xdr:sp>
      <xdr:nvSpPr>
        <xdr:cNvPr id="2666" name="Line 622"/>
        <xdr:cNvSpPr>
          <a:spLocks/>
        </xdr:cNvSpPr>
      </xdr:nvSpPr>
      <xdr:spPr>
        <a:xfrm>
          <a:off x="28575" y="33394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392</xdr:row>
      <xdr:rowOff>0</xdr:rowOff>
    </xdr:from>
    <xdr:to>
      <xdr:col>2</xdr:col>
      <xdr:colOff>0</xdr:colOff>
      <xdr:row>392</xdr:row>
      <xdr:rowOff>0</xdr:rowOff>
    </xdr:to>
    <xdr:sp>
      <xdr:nvSpPr>
        <xdr:cNvPr id="2667" name="Line 623"/>
        <xdr:cNvSpPr>
          <a:spLocks/>
        </xdr:cNvSpPr>
      </xdr:nvSpPr>
      <xdr:spPr>
        <a:xfrm>
          <a:off x="28575" y="33394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392</xdr:row>
      <xdr:rowOff>0</xdr:rowOff>
    </xdr:from>
    <xdr:to>
      <xdr:col>2</xdr:col>
      <xdr:colOff>0</xdr:colOff>
      <xdr:row>392</xdr:row>
      <xdr:rowOff>0</xdr:rowOff>
    </xdr:to>
    <xdr:sp>
      <xdr:nvSpPr>
        <xdr:cNvPr id="2668" name="Line 624"/>
        <xdr:cNvSpPr>
          <a:spLocks/>
        </xdr:cNvSpPr>
      </xdr:nvSpPr>
      <xdr:spPr>
        <a:xfrm>
          <a:off x="28575" y="33394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2669" name="Line 625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2670" name="Line 626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2671" name="Line 627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2672" name="Line 628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2673" name="Line 629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2674" name="Line 630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2675" name="Line 631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2676" name="Line 632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2677" name="Line 633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2678" name="Line 634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2679" name="Line 635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2680" name="Line 636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2681" name="Line 637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2682" name="Line 638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2683" name="Line 639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84" name="Line 64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85" name="Line 64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86" name="Line 64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87" name="Line 64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88" name="Line 64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689" name="Line 64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28575</xdr:rowOff>
    </xdr:from>
    <xdr:to>
      <xdr:col>2</xdr:col>
      <xdr:colOff>0</xdr:colOff>
      <xdr:row>10</xdr:row>
      <xdr:rowOff>0</xdr:rowOff>
    </xdr:to>
    <xdr:sp>
      <xdr:nvSpPr>
        <xdr:cNvPr id="2690" name="Line 646"/>
        <xdr:cNvSpPr>
          <a:spLocks/>
        </xdr:cNvSpPr>
      </xdr:nvSpPr>
      <xdr:spPr>
        <a:xfrm>
          <a:off x="28575" y="895350"/>
          <a:ext cx="3048000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227</xdr:row>
      <xdr:rowOff>0</xdr:rowOff>
    </xdr:from>
    <xdr:to>
      <xdr:col>2</xdr:col>
      <xdr:colOff>0</xdr:colOff>
      <xdr:row>227</xdr:row>
      <xdr:rowOff>0</xdr:rowOff>
    </xdr:to>
    <xdr:sp>
      <xdr:nvSpPr>
        <xdr:cNvPr id="2691" name="Line 647"/>
        <xdr:cNvSpPr>
          <a:spLocks/>
        </xdr:cNvSpPr>
      </xdr:nvSpPr>
      <xdr:spPr>
        <a:xfrm>
          <a:off x="28575" y="220218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2692" name="Line 648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227</xdr:row>
      <xdr:rowOff>0</xdr:rowOff>
    </xdr:from>
    <xdr:to>
      <xdr:col>2</xdr:col>
      <xdr:colOff>0</xdr:colOff>
      <xdr:row>227</xdr:row>
      <xdr:rowOff>0</xdr:rowOff>
    </xdr:to>
    <xdr:sp>
      <xdr:nvSpPr>
        <xdr:cNvPr id="2693" name="Line 649"/>
        <xdr:cNvSpPr>
          <a:spLocks/>
        </xdr:cNvSpPr>
      </xdr:nvSpPr>
      <xdr:spPr>
        <a:xfrm>
          <a:off x="28575" y="220218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288</xdr:row>
      <xdr:rowOff>0</xdr:rowOff>
    </xdr:from>
    <xdr:to>
      <xdr:col>2</xdr:col>
      <xdr:colOff>0</xdr:colOff>
      <xdr:row>288</xdr:row>
      <xdr:rowOff>0</xdr:rowOff>
    </xdr:to>
    <xdr:sp>
      <xdr:nvSpPr>
        <xdr:cNvPr id="2694" name="Line 650"/>
        <xdr:cNvSpPr>
          <a:spLocks/>
        </xdr:cNvSpPr>
      </xdr:nvSpPr>
      <xdr:spPr>
        <a:xfrm>
          <a:off x="28575" y="235077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2695" name="Line 651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2696" name="Line 652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2697" name="Line 653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288</xdr:row>
      <xdr:rowOff>0</xdr:rowOff>
    </xdr:from>
    <xdr:to>
      <xdr:col>2</xdr:col>
      <xdr:colOff>0</xdr:colOff>
      <xdr:row>288</xdr:row>
      <xdr:rowOff>0</xdr:rowOff>
    </xdr:to>
    <xdr:sp>
      <xdr:nvSpPr>
        <xdr:cNvPr id="2698" name="Line 654"/>
        <xdr:cNvSpPr>
          <a:spLocks/>
        </xdr:cNvSpPr>
      </xdr:nvSpPr>
      <xdr:spPr>
        <a:xfrm>
          <a:off x="28575" y="235077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288</xdr:row>
      <xdr:rowOff>0</xdr:rowOff>
    </xdr:from>
    <xdr:to>
      <xdr:col>2</xdr:col>
      <xdr:colOff>0</xdr:colOff>
      <xdr:row>288</xdr:row>
      <xdr:rowOff>0</xdr:rowOff>
    </xdr:to>
    <xdr:sp>
      <xdr:nvSpPr>
        <xdr:cNvPr id="2699" name="Line 655"/>
        <xdr:cNvSpPr>
          <a:spLocks/>
        </xdr:cNvSpPr>
      </xdr:nvSpPr>
      <xdr:spPr>
        <a:xfrm>
          <a:off x="28575" y="235077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2700" name="Line 656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2701" name="Line 657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702" name="Line 65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703" name="Line 65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704" name="Line 66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546</xdr:row>
      <xdr:rowOff>0</xdr:rowOff>
    </xdr:from>
    <xdr:to>
      <xdr:col>2</xdr:col>
      <xdr:colOff>0</xdr:colOff>
      <xdr:row>546</xdr:row>
      <xdr:rowOff>0</xdr:rowOff>
    </xdr:to>
    <xdr:sp>
      <xdr:nvSpPr>
        <xdr:cNvPr id="2705" name="Line 661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546</xdr:row>
      <xdr:rowOff>0</xdr:rowOff>
    </xdr:from>
    <xdr:to>
      <xdr:col>2</xdr:col>
      <xdr:colOff>0</xdr:colOff>
      <xdr:row>546</xdr:row>
      <xdr:rowOff>0</xdr:rowOff>
    </xdr:to>
    <xdr:sp>
      <xdr:nvSpPr>
        <xdr:cNvPr id="2706" name="Line 662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546</xdr:row>
      <xdr:rowOff>0</xdr:rowOff>
    </xdr:from>
    <xdr:to>
      <xdr:col>2</xdr:col>
      <xdr:colOff>0</xdr:colOff>
      <xdr:row>546</xdr:row>
      <xdr:rowOff>0</xdr:rowOff>
    </xdr:to>
    <xdr:sp>
      <xdr:nvSpPr>
        <xdr:cNvPr id="2707" name="Line 663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587</xdr:row>
      <xdr:rowOff>0</xdr:rowOff>
    </xdr:from>
    <xdr:to>
      <xdr:col>2</xdr:col>
      <xdr:colOff>0</xdr:colOff>
      <xdr:row>587</xdr:row>
      <xdr:rowOff>0</xdr:rowOff>
    </xdr:to>
    <xdr:sp>
      <xdr:nvSpPr>
        <xdr:cNvPr id="2708" name="Line 664"/>
        <xdr:cNvSpPr>
          <a:spLocks/>
        </xdr:cNvSpPr>
      </xdr:nvSpPr>
      <xdr:spPr>
        <a:xfrm>
          <a:off x="28575" y="66836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587</xdr:row>
      <xdr:rowOff>0</xdr:rowOff>
    </xdr:from>
    <xdr:to>
      <xdr:col>2</xdr:col>
      <xdr:colOff>0</xdr:colOff>
      <xdr:row>587</xdr:row>
      <xdr:rowOff>0</xdr:rowOff>
    </xdr:to>
    <xdr:sp>
      <xdr:nvSpPr>
        <xdr:cNvPr id="2709" name="Line 665"/>
        <xdr:cNvSpPr>
          <a:spLocks/>
        </xdr:cNvSpPr>
      </xdr:nvSpPr>
      <xdr:spPr>
        <a:xfrm>
          <a:off x="28575" y="66836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587</xdr:row>
      <xdr:rowOff>0</xdr:rowOff>
    </xdr:from>
    <xdr:to>
      <xdr:col>2</xdr:col>
      <xdr:colOff>0</xdr:colOff>
      <xdr:row>587</xdr:row>
      <xdr:rowOff>0</xdr:rowOff>
    </xdr:to>
    <xdr:sp>
      <xdr:nvSpPr>
        <xdr:cNvPr id="2710" name="Line 666"/>
        <xdr:cNvSpPr>
          <a:spLocks/>
        </xdr:cNvSpPr>
      </xdr:nvSpPr>
      <xdr:spPr>
        <a:xfrm>
          <a:off x="28575" y="66836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28575</xdr:rowOff>
    </xdr:from>
    <xdr:to>
      <xdr:col>2</xdr:col>
      <xdr:colOff>0</xdr:colOff>
      <xdr:row>10</xdr:row>
      <xdr:rowOff>0</xdr:rowOff>
    </xdr:to>
    <xdr:sp>
      <xdr:nvSpPr>
        <xdr:cNvPr id="2711" name="Line 667"/>
        <xdr:cNvSpPr>
          <a:spLocks/>
        </xdr:cNvSpPr>
      </xdr:nvSpPr>
      <xdr:spPr>
        <a:xfrm>
          <a:off x="28575" y="895350"/>
          <a:ext cx="3048000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227</xdr:row>
      <xdr:rowOff>0</xdr:rowOff>
    </xdr:from>
    <xdr:to>
      <xdr:col>2</xdr:col>
      <xdr:colOff>0</xdr:colOff>
      <xdr:row>227</xdr:row>
      <xdr:rowOff>0</xdr:rowOff>
    </xdr:to>
    <xdr:sp>
      <xdr:nvSpPr>
        <xdr:cNvPr id="2712" name="Line 668"/>
        <xdr:cNvSpPr>
          <a:spLocks/>
        </xdr:cNvSpPr>
      </xdr:nvSpPr>
      <xdr:spPr>
        <a:xfrm>
          <a:off x="28575" y="220218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2713" name="Line 669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227</xdr:row>
      <xdr:rowOff>0</xdr:rowOff>
    </xdr:from>
    <xdr:to>
      <xdr:col>2</xdr:col>
      <xdr:colOff>0</xdr:colOff>
      <xdr:row>227</xdr:row>
      <xdr:rowOff>0</xdr:rowOff>
    </xdr:to>
    <xdr:sp>
      <xdr:nvSpPr>
        <xdr:cNvPr id="2714" name="Line 670"/>
        <xdr:cNvSpPr>
          <a:spLocks/>
        </xdr:cNvSpPr>
      </xdr:nvSpPr>
      <xdr:spPr>
        <a:xfrm>
          <a:off x="28575" y="220218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288</xdr:row>
      <xdr:rowOff>0</xdr:rowOff>
    </xdr:from>
    <xdr:to>
      <xdr:col>2</xdr:col>
      <xdr:colOff>0</xdr:colOff>
      <xdr:row>288</xdr:row>
      <xdr:rowOff>0</xdr:rowOff>
    </xdr:to>
    <xdr:sp>
      <xdr:nvSpPr>
        <xdr:cNvPr id="2715" name="Line 671"/>
        <xdr:cNvSpPr>
          <a:spLocks/>
        </xdr:cNvSpPr>
      </xdr:nvSpPr>
      <xdr:spPr>
        <a:xfrm>
          <a:off x="28575" y="235077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2716" name="Line 672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2717" name="Line 673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2718" name="Line 674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288</xdr:row>
      <xdr:rowOff>0</xdr:rowOff>
    </xdr:from>
    <xdr:to>
      <xdr:col>2</xdr:col>
      <xdr:colOff>0</xdr:colOff>
      <xdr:row>288</xdr:row>
      <xdr:rowOff>0</xdr:rowOff>
    </xdr:to>
    <xdr:sp>
      <xdr:nvSpPr>
        <xdr:cNvPr id="2719" name="Line 675"/>
        <xdr:cNvSpPr>
          <a:spLocks/>
        </xdr:cNvSpPr>
      </xdr:nvSpPr>
      <xdr:spPr>
        <a:xfrm>
          <a:off x="28575" y="235077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288</xdr:row>
      <xdr:rowOff>0</xdr:rowOff>
    </xdr:from>
    <xdr:to>
      <xdr:col>2</xdr:col>
      <xdr:colOff>0</xdr:colOff>
      <xdr:row>288</xdr:row>
      <xdr:rowOff>0</xdr:rowOff>
    </xdr:to>
    <xdr:sp>
      <xdr:nvSpPr>
        <xdr:cNvPr id="2720" name="Line 676"/>
        <xdr:cNvSpPr>
          <a:spLocks/>
        </xdr:cNvSpPr>
      </xdr:nvSpPr>
      <xdr:spPr>
        <a:xfrm>
          <a:off x="28575" y="235077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2721" name="Line 677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356</xdr:row>
      <xdr:rowOff>0</xdr:rowOff>
    </xdr:from>
    <xdr:to>
      <xdr:col>2</xdr:col>
      <xdr:colOff>0</xdr:colOff>
      <xdr:row>356</xdr:row>
      <xdr:rowOff>0</xdr:rowOff>
    </xdr:to>
    <xdr:sp>
      <xdr:nvSpPr>
        <xdr:cNvPr id="2722" name="Line 678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723" name="Line 67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724" name="Line 68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725" name="Line 68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546</xdr:row>
      <xdr:rowOff>0</xdr:rowOff>
    </xdr:from>
    <xdr:to>
      <xdr:col>2</xdr:col>
      <xdr:colOff>0</xdr:colOff>
      <xdr:row>546</xdr:row>
      <xdr:rowOff>0</xdr:rowOff>
    </xdr:to>
    <xdr:sp>
      <xdr:nvSpPr>
        <xdr:cNvPr id="2726" name="Line 682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546</xdr:row>
      <xdr:rowOff>0</xdr:rowOff>
    </xdr:from>
    <xdr:to>
      <xdr:col>2</xdr:col>
      <xdr:colOff>0</xdr:colOff>
      <xdr:row>546</xdr:row>
      <xdr:rowOff>0</xdr:rowOff>
    </xdr:to>
    <xdr:sp>
      <xdr:nvSpPr>
        <xdr:cNvPr id="2727" name="Line 683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546</xdr:row>
      <xdr:rowOff>0</xdr:rowOff>
    </xdr:from>
    <xdr:to>
      <xdr:col>2</xdr:col>
      <xdr:colOff>0</xdr:colOff>
      <xdr:row>546</xdr:row>
      <xdr:rowOff>0</xdr:rowOff>
    </xdr:to>
    <xdr:sp>
      <xdr:nvSpPr>
        <xdr:cNvPr id="2728" name="Line 684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587</xdr:row>
      <xdr:rowOff>0</xdr:rowOff>
    </xdr:from>
    <xdr:to>
      <xdr:col>2</xdr:col>
      <xdr:colOff>0</xdr:colOff>
      <xdr:row>587</xdr:row>
      <xdr:rowOff>0</xdr:rowOff>
    </xdr:to>
    <xdr:sp>
      <xdr:nvSpPr>
        <xdr:cNvPr id="2729" name="Line 685"/>
        <xdr:cNvSpPr>
          <a:spLocks/>
        </xdr:cNvSpPr>
      </xdr:nvSpPr>
      <xdr:spPr>
        <a:xfrm>
          <a:off x="28575" y="66836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587</xdr:row>
      <xdr:rowOff>0</xdr:rowOff>
    </xdr:from>
    <xdr:to>
      <xdr:col>2</xdr:col>
      <xdr:colOff>0</xdr:colOff>
      <xdr:row>587</xdr:row>
      <xdr:rowOff>0</xdr:rowOff>
    </xdr:to>
    <xdr:sp>
      <xdr:nvSpPr>
        <xdr:cNvPr id="2730" name="Line 686"/>
        <xdr:cNvSpPr>
          <a:spLocks/>
        </xdr:cNvSpPr>
      </xdr:nvSpPr>
      <xdr:spPr>
        <a:xfrm>
          <a:off x="28575" y="66836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587</xdr:row>
      <xdr:rowOff>0</xdr:rowOff>
    </xdr:from>
    <xdr:to>
      <xdr:col>2</xdr:col>
      <xdr:colOff>0</xdr:colOff>
      <xdr:row>587</xdr:row>
      <xdr:rowOff>0</xdr:rowOff>
    </xdr:to>
    <xdr:sp>
      <xdr:nvSpPr>
        <xdr:cNvPr id="2731" name="Line 687"/>
        <xdr:cNvSpPr>
          <a:spLocks/>
        </xdr:cNvSpPr>
      </xdr:nvSpPr>
      <xdr:spPr>
        <a:xfrm>
          <a:off x="28575" y="66836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28575</xdr:rowOff>
    </xdr:from>
    <xdr:to>
      <xdr:col>2</xdr:col>
      <xdr:colOff>0</xdr:colOff>
      <xdr:row>10</xdr:row>
      <xdr:rowOff>0</xdr:rowOff>
    </xdr:to>
    <xdr:sp>
      <xdr:nvSpPr>
        <xdr:cNvPr id="2732" name="Line 688"/>
        <xdr:cNvSpPr>
          <a:spLocks/>
        </xdr:cNvSpPr>
      </xdr:nvSpPr>
      <xdr:spPr>
        <a:xfrm>
          <a:off x="28575" y="895350"/>
          <a:ext cx="3048000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733" name="Line 689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734" name="Line 690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735" name="Line 691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2736" name="Line 692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737" name="Line 693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349</xdr:row>
      <xdr:rowOff>0</xdr:rowOff>
    </xdr:from>
    <xdr:to>
      <xdr:col>2</xdr:col>
      <xdr:colOff>0</xdr:colOff>
      <xdr:row>349</xdr:row>
      <xdr:rowOff>0</xdr:rowOff>
    </xdr:to>
    <xdr:sp>
      <xdr:nvSpPr>
        <xdr:cNvPr id="2738" name="Line 694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739" name="Line 695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2740" name="Line 696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2741" name="Line 697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349</xdr:row>
      <xdr:rowOff>0</xdr:rowOff>
    </xdr:from>
    <xdr:to>
      <xdr:col>2</xdr:col>
      <xdr:colOff>0</xdr:colOff>
      <xdr:row>349</xdr:row>
      <xdr:rowOff>0</xdr:rowOff>
    </xdr:to>
    <xdr:sp>
      <xdr:nvSpPr>
        <xdr:cNvPr id="2742" name="Line 698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349</xdr:row>
      <xdr:rowOff>0</xdr:rowOff>
    </xdr:from>
    <xdr:to>
      <xdr:col>2</xdr:col>
      <xdr:colOff>0</xdr:colOff>
      <xdr:row>349</xdr:row>
      <xdr:rowOff>0</xdr:rowOff>
    </xdr:to>
    <xdr:sp>
      <xdr:nvSpPr>
        <xdr:cNvPr id="2743" name="Line 699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744" name="Line 70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745" name="Line 70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746" name="Line 70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747" name="Line 70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748" name="Line 70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749" name="Line 70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750" name="Line 70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751" name="Line 70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752" name="Line 70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28575</xdr:rowOff>
    </xdr:from>
    <xdr:to>
      <xdr:col>2</xdr:col>
      <xdr:colOff>0</xdr:colOff>
      <xdr:row>10</xdr:row>
      <xdr:rowOff>0</xdr:rowOff>
    </xdr:to>
    <xdr:sp>
      <xdr:nvSpPr>
        <xdr:cNvPr id="2753" name="Line 709"/>
        <xdr:cNvSpPr>
          <a:spLocks/>
        </xdr:cNvSpPr>
      </xdr:nvSpPr>
      <xdr:spPr>
        <a:xfrm>
          <a:off x="28575" y="895350"/>
          <a:ext cx="3048000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754" name="Line 710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755" name="Line 711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756" name="Line 712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2757" name="Line 713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758" name="Line 714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349</xdr:row>
      <xdr:rowOff>0</xdr:rowOff>
    </xdr:from>
    <xdr:to>
      <xdr:col>2</xdr:col>
      <xdr:colOff>0</xdr:colOff>
      <xdr:row>349</xdr:row>
      <xdr:rowOff>0</xdr:rowOff>
    </xdr:to>
    <xdr:sp>
      <xdr:nvSpPr>
        <xdr:cNvPr id="2759" name="Line 715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760" name="Line 716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2761" name="Line 717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2762" name="Line 718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349</xdr:row>
      <xdr:rowOff>0</xdr:rowOff>
    </xdr:from>
    <xdr:to>
      <xdr:col>2</xdr:col>
      <xdr:colOff>0</xdr:colOff>
      <xdr:row>349</xdr:row>
      <xdr:rowOff>0</xdr:rowOff>
    </xdr:to>
    <xdr:sp>
      <xdr:nvSpPr>
        <xdr:cNvPr id="2763" name="Line 719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349</xdr:row>
      <xdr:rowOff>0</xdr:rowOff>
    </xdr:from>
    <xdr:to>
      <xdr:col>2</xdr:col>
      <xdr:colOff>0</xdr:colOff>
      <xdr:row>349</xdr:row>
      <xdr:rowOff>0</xdr:rowOff>
    </xdr:to>
    <xdr:sp>
      <xdr:nvSpPr>
        <xdr:cNvPr id="2764" name="Line 720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765" name="Line 72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766" name="Line 72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767" name="Line 72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768" name="Line 72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769" name="Line 72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770" name="Line 72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771" name="Line 72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772" name="Line 72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773" name="Line 72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28575</xdr:rowOff>
    </xdr:from>
    <xdr:to>
      <xdr:col>2</xdr:col>
      <xdr:colOff>0</xdr:colOff>
      <xdr:row>10</xdr:row>
      <xdr:rowOff>0</xdr:rowOff>
    </xdr:to>
    <xdr:sp>
      <xdr:nvSpPr>
        <xdr:cNvPr id="2774" name="Line 730"/>
        <xdr:cNvSpPr>
          <a:spLocks/>
        </xdr:cNvSpPr>
      </xdr:nvSpPr>
      <xdr:spPr>
        <a:xfrm>
          <a:off x="28575" y="895350"/>
          <a:ext cx="3048000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775" name="Line 731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776" name="Line 732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777" name="Line 733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2778" name="Line 734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779" name="Line 735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349</xdr:row>
      <xdr:rowOff>0</xdr:rowOff>
    </xdr:from>
    <xdr:to>
      <xdr:col>2</xdr:col>
      <xdr:colOff>0</xdr:colOff>
      <xdr:row>349</xdr:row>
      <xdr:rowOff>0</xdr:rowOff>
    </xdr:to>
    <xdr:sp>
      <xdr:nvSpPr>
        <xdr:cNvPr id="2780" name="Line 736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781" name="Line 737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2782" name="Line 738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2783" name="Line 739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349</xdr:row>
      <xdr:rowOff>0</xdr:rowOff>
    </xdr:from>
    <xdr:to>
      <xdr:col>2</xdr:col>
      <xdr:colOff>0</xdr:colOff>
      <xdr:row>349</xdr:row>
      <xdr:rowOff>0</xdr:rowOff>
    </xdr:to>
    <xdr:sp>
      <xdr:nvSpPr>
        <xdr:cNvPr id="2784" name="Line 740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349</xdr:row>
      <xdr:rowOff>0</xdr:rowOff>
    </xdr:from>
    <xdr:to>
      <xdr:col>2</xdr:col>
      <xdr:colOff>0</xdr:colOff>
      <xdr:row>349</xdr:row>
      <xdr:rowOff>0</xdr:rowOff>
    </xdr:to>
    <xdr:sp>
      <xdr:nvSpPr>
        <xdr:cNvPr id="2785" name="Line 741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786" name="Line 74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787" name="Line 74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788" name="Line 74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789" name="Line 74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790" name="Line 74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791" name="Line 74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792" name="Line 74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793" name="Line 74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794" name="Line 75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28575</xdr:rowOff>
    </xdr:from>
    <xdr:to>
      <xdr:col>2</xdr:col>
      <xdr:colOff>0</xdr:colOff>
      <xdr:row>10</xdr:row>
      <xdr:rowOff>0</xdr:rowOff>
    </xdr:to>
    <xdr:sp>
      <xdr:nvSpPr>
        <xdr:cNvPr id="2795" name="Line 751"/>
        <xdr:cNvSpPr>
          <a:spLocks/>
        </xdr:cNvSpPr>
      </xdr:nvSpPr>
      <xdr:spPr>
        <a:xfrm>
          <a:off x="28575" y="895350"/>
          <a:ext cx="3048000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796" name="Line 752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797" name="Line 753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798" name="Line 754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2799" name="Line 755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800" name="Line 756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349</xdr:row>
      <xdr:rowOff>0</xdr:rowOff>
    </xdr:from>
    <xdr:to>
      <xdr:col>2</xdr:col>
      <xdr:colOff>0</xdr:colOff>
      <xdr:row>349</xdr:row>
      <xdr:rowOff>0</xdr:rowOff>
    </xdr:to>
    <xdr:sp>
      <xdr:nvSpPr>
        <xdr:cNvPr id="2801" name="Line 757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802" name="Line 758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2803" name="Line 759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2804" name="Line 760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349</xdr:row>
      <xdr:rowOff>0</xdr:rowOff>
    </xdr:from>
    <xdr:to>
      <xdr:col>2</xdr:col>
      <xdr:colOff>0</xdr:colOff>
      <xdr:row>349</xdr:row>
      <xdr:rowOff>0</xdr:rowOff>
    </xdr:to>
    <xdr:sp>
      <xdr:nvSpPr>
        <xdr:cNvPr id="2805" name="Line 761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349</xdr:row>
      <xdr:rowOff>0</xdr:rowOff>
    </xdr:from>
    <xdr:to>
      <xdr:col>2</xdr:col>
      <xdr:colOff>0</xdr:colOff>
      <xdr:row>349</xdr:row>
      <xdr:rowOff>0</xdr:rowOff>
    </xdr:to>
    <xdr:sp>
      <xdr:nvSpPr>
        <xdr:cNvPr id="2806" name="Line 762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807" name="Line 76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808" name="Line 76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809" name="Line 76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810" name="Line 76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811" name="Line 76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812" name="Line 76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813" name="Line 76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814" name="Line 77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815" name="Line 77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28575</xdr:rowOff>
    </xdr:from>
    <xdr:to>
      <xdr:col>2</xdr:col>
      <xdr:colOff>0</xdr:colOff>
      <xdr:row>10</xdr:row>
      <xdr:rowOff>0</xdr:rowOff>
    </xdr:to>
    <xdr:sp>
      <xdr:nvSpPr>
        <xdr:cNvPr id="2816" name="Line 772"/>
        <xdr:cNvSpPr>
          <a:spLocks/>
        </xdr:cNvSpPr>
      </xdr:nvSpPr>
      <xdr:spPr>
        <a:xfrm>
          <a:off x="28575" y="895350"/>
          <a:ext cx="3048000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817" name="Line 773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818" name="Line 774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2819" name="Line 775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2820" name="Line 776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821" name="Line 777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349</xdr:row>
      <xdr:rowOff>0</xdr:rowOff>
    </xdr:from>
    <xdr:to>
      <xdr:col>2</xdr:col>
      <xdr:colOff>0</xdr:colOff>
      <xdr:row>349</xdr:row>
      <xdr:rowOff>0</xdr:rowOff>
    </xdr:to>
    <xdr:sp>
      <xdr:nvSpPr>
        <xdr:cNvPr id="2822" name="Line 778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2823" name="Line 779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2824" name="Line 780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2825" name="Line 781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349</xdr:row>
      <xdr:rowOff>0</xdr:rowOff>
    </xdr:from>
    <xdr:to>
      <xdr:col>2</xdr:col>
      <xdr:colOff>0</xdr:colOff>
      <xdr:row>349</xdr:row>
      <xdr:rowOff>0</xdr:rowOff>
    </xdr:to>
    <xdr:sp>
      <xdr:nvSpPr>
        <xdr:cNvPr id="2826" name="Line 782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349</xdr:row>
      <xdr:rowOff>0</xdr:rowOff>
    </xdr:from>
    <xdr:to>
      <xdr:col>2</xdr:col>
      <xdr:colOff>0</xdr:colOff>
      <xdr:row>349</xdr:row>
      <xdr:rowOff>0</xdr:rowOff>
    </xdr:to>
    <xdr:sp>
      <xdr:nvSpPr>
        <xdr:cNvPr id="2827" name="Line 783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828" name="Line 78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829" name="Line 78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830" name="Line 78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831" name="Line 78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832" name="Line 78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833" name="Line 78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834" name="Line 79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835" name="Line 79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836" name="Line 79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28575</xdr:rowOff>
    </xdr:from>
    <xdr:to>
      <xdr:col>2</xdr:col>
      <xdr:colOff>0</xdr:colOff>
      <xdr:row>10</xdr:row>
      <xdr:rowOff>0</xdr:rowOff>
    </xdr:to>
    <xdr:sp>
      <xdr:nvSpPr>
        <xdr:cNvPr id="2837" name="Line 793"/>
        <xdr:cNvSpPr>
          <a:spLocks/>
        </xdr:cNvSpPr>
      </xdr:nvSpPr>
      <xdr:spPr>
        <a:xfrm>
          <a:off x="28575" y="895350"/>
          <a:ext cx="3048000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838" name="Line 794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39" name="Line 795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840" name="Line 796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841" name="Line 79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42" name="Line 798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845</xdr:row>
      <xdr:rowOff>0</xdr:rowOff>
    </xdr:from>
    <xdr:to>
      <xdr:col>2</xdr:col>
      <xdr:colOff>0</xdr:colOff>
      <xdr:row>845</xdr:row>
      <xdr:rowOff>0</xdr:rowOff>
    </xdr:to>
    <xdr:sp>
      <xdr:nvSpPr>
        <xdr:cNvPr id="2843" name="Line 799"/>
        <xdr:cNvSpPr>
          <a:spLocks/>
        </xdr:cNvSpPr>
      </xdr:nvSpPr>
      <xdr:spPr>
        <a:xfrm>
          <a:off x="28575" y="86648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44" name="Line 800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845" name="Line 80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846" name="Line 80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845</xdr:row>
      <xdr:rowOff>0</xdr:rowOff>
    </xdr:from>
    <xdr:to>
      <xdr:col>2</xdr:col>
      <xdr:colOff>0</xdr:colOff>
      <xdr:row>845</xdr:row>
      <xdr:rowOff>0</xdr:rowOff>
    </xdr:to>
    <xdr:sp>
      <xdr:nvSpPr>
        <xdr:cNvPr id="2847" name="Line 803"/>
        <xdr:cNvSpPr>
          <a:spLocks/>
        </xdr:cNvSpPr>
      </xdr:nvSpPr>
      <xdr:spPr>
        <a:xfrm>
          <a:off x="28575" y="86648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845</xdr:row>
      <xdr:rowOff>0</xdr:rowOff>
    </xdr:from>
    <xdr:to>
      <xdr:col>2</xdr:col>
      <xdr:colOff>0</xdr:colOff>
      <xdr:row>845</xdr:row>
      <xdr:rowOff>0</xdr:rowOff>
    </xdr:to>
    <xdr:sp>
      <xdr:nvSpPr>
        <xdr:cNvPr id="2848" name="Line 804"/>
        <xdr:cNvSpPr>
          <a:spLocks/>
        </xdr:cNvSpPr>
      </xdr:nvSpPr>
      <xdr:spPr>
        <a:xfrm>
          <a:off x="28575" y="86648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851</xdr:row>
      <xdr:rowOff>0</xdr:rowOff>
    </xdr:from>
    <xdr:to>
      <xdr:col>2</xdr:col>
      <xdr:colOff>0</xdr:colOff>
      <xdr:row>851</xdr:row>
      <xdr:rowOff>0</xdr:rowOff>
    </xdr:to>
    <xdr:sp>
      <xdr:nvSpPr>
        <xdr:cNvPr id="2849" name="Line 805"/>
        <xdr:cNvSpPr>
          <a:spLocks/>
        </xdr:cNvSpPr>
      </xdr:nvSpPr>
      <xdr:spPr>
        <a:xfrm>
          <a:off x="28575" y="87106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851</xdr:row>
      <xdr:rowOff>0</xdr:rowOff>
    </xdr:from>
    <xdr:to>
      <xdr:col>2</xdr:col>
      <xdr:colOff>0</xdr:colOff>
      <xdr:row>851</xdr:row>
      <xdr:rowOff>0</xdr:rowOff>
    </xdr:to>
    <xdr:sp>
      <xdr:nvSpPr>
        <xdr:cNvPr id="2850" name="Line 806"/>
        <xdr:cNvSpPr>
          <a:spLocks/>
        </xdr:cNvSpPr>
      </xdr:nvSpPr>
      <xdr:spPr>
        <a:xfrm>
          <a:off x="28575" y="87106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851</xdr:row>
      <xdr:rowOff>0</xdr:rowOff>
    </xdr:from>
    <xdr:to>
      <xdr:col>2</xdr:col>
      <xdr:colOff>0</xdr:colOff>
      <xdr:row>851</xdr:row>
      <xdr:rowOff>0</xdr:rowOff>
    </xdr:to>
    <xdr:sp>
      <xdr:nvSpPr>
        <xdr:cNvPr id="2851" name="Line 807"/>
        <xdr:cNvSpPr>
          <a:spLocks/>
        </xdr:cNvSpPr>
      </xdr:nvSpPr>
      <xdr:spPr>
        <a:xfrm>
          <a:off x="28575" y="87106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852" name="Line 808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853" name="Line 809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854" name="Line 810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855" name="Line 811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856" name="Line 812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857" name="Line 813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28575</xdr:rowOff>
    </xdr:from>
    <xdr:to>
      <xdr:col>2</xdr:col>
      <xdr:colOff>0</xdr:colOff>
      <xdr:row>10</xdr:row>
      <xdr:rowOff>0</xdr:rowOff>
    </xdr:to>
    <xdr:sp>
      <xdr:nvSpPr>
        <xdr:cNvPr id="2858" name="Line 814"/>
        <xdr:cNvSpPr>
          <a:spLocks/>
        </xdr:cNvSpPr>
      </xdr:nvSpPr>
      <xdr:spPr>
        <a:xfrm>
          <a:off x="28575" y="895350"/>
          <a:ext cx="3048000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859" name="Line 815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60" name="Line 816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861" name="Line 817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862" name="Line 81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63" name="Line 819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845</xdr:row>
      <xdr:rowOff>0</xdr:rowOff>
    </xdr:from>
    <xdr:to>
      <xdr:col>2</xdr:col>
      <xdr:colOff>0</xdr:colOff>
      <xdr:row>845</xdr:row>
      <xdr:rowOff>0</xdr:rowOff>
    </xdr:to>
    <xdr:sp>
      <xdr:nvSpPr>
        <xdr:cNvPr id="2864" name="Line 820"/>
        <xdr:cNvSpPr>
          <a:spLocks/>
        </xdr:cNvSpPr>
      </xdr:nvSpPr>
      <xdr:spPr>
        <a:xfrm>
          <a:off x="28575" y="86648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65" name="Line 821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866" name="Line 82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867" name="Line 82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845</xdr:row>
      <xdr:rowOff>0</xdr:rowOff>
    </xdr:from>
    <xdr:to>
      <xdr:col>2</xdr:col>
      <xdr:colOff>0</xdr:colOff>
      <xdr:row>845</xdr:row>
      <xdr:rowOff>0</xdr:rowOff>
    </xdr:to>
    <xdr:sp>
      <xdr:nvSpPr>
        <xdr:cNvPr id="2868" name="Line 824"/>
        <xdr:cNvSpPr>
          <a:spLocks/>
        </xdr:cNvSpPr>
      </xdr:nvSpPr>
      <xdr:spPr>
        <a:xfrm>
          <a:off x="28575" y="86648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845</xdr:row>
      <xdr:rowOff>0</xdr:rowOff>
    </xdr:from>
    <xdr:to>
      <xdr:col>2</xdr:col>
      <xdr:colOff>0</xdr:colOff>
      <xdr:row>845</xdr:row>
      <xdr:rowOff>0</xdr:rowOff>
    </xdr:to>
    <xdr:sp>
      <xdr:nvSpPr>
        <xdr:cNvPr id="2869" name="Line 825"/>
        <xdr:cNvSpPr>
          <a:spLocks/>
        </xdr:cNvSpPr>
      </xdr:nvSpPr>
      <xdr:spPr>
        <a:xfrm>
          <a:off x="28575" y="86648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851</xdr:row>
      <xdr:rowOff>0</xdr:rowOff>
    </xdr:from>
    <xdr:to>
      <xdr:col>2</xdr:col>
      <xdr:colOff>0</xdr:colOff>
      <xdr:row>851</xdr:row>
      <xdr:rowOff>0</xdr:rowOff>
    </xdr:to>
    <xdr:sp>
      <xdr:nvSpPr>
        <xdr:cNvPr id="2870" name="Line 826"/>
        <xdr:cNvSpPr>
          <a:spLocks/>
        </xdr:cNvSpPr>
      </xdr:nvSpPr>
      <xdr:spPr>
        <a:xfrm>
          <a:off x="28575" y="87106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851</xdr:row>
      <xdr:rowOff>0</xdr:rowOff>
    </xdr:from>
    <xdr:to>
      <xdr:col>2</xdr:col>
      <xdr:colOff>0</xdr:colOff>
      <xdr:row>851</xdr:row>
      <xdr:rowOff>0</xdr:rowOff>
    </xdr:to>
    <xdr:sp>
      <xdr:nvSpPr>
        <xdr:cNvPr id="2871" name="Line 827"/>
        <xdr:cNvSpPr>
          <a:spLocks/>
        </xdr:cNvSpPr>
      </xdr:nvSpPr>
      <xdr:spPr>
        <a:xfrm>
          <a:off x="28575" y="87106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851</xdr:row>
      <xdr:rowOff>0</xdr:rowOff>
    </xdr:from>
    <xdr:to>
      <xdr:col>2</xdr:col>
      <xdr:colOff>0</xdr:colOff>
      <xdr:row>851</xdr:row>
      <xdr:rowOff>0</xdr:rowOff>
    </xdr:to>
    <xdr:sp>
      <xdr:nvSpPr>
        <xdr:cNvPr id="2872" name="Line 828"/>
        <xdr:cNvSpPr>
          <a:spLocks/>
        </xdr:cNvSpPr>
      </xdr:nvSpPr>
      <xdr:spPr>
        <a:xfrm>
          <a:off x="28575" y="87106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873" name="Line 829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874" name="Line 830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875" name="Line 831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876" name="Line 832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877" name="Line 833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878" name="Line 834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28575</xdr:rowOff>
    </xdr:from>
    <xdr:to>
      <xdr:col>2</xdr:col>
      <xdr:colOff>0</xdr:colOff>
      <xdr:row>10</xdr:row>
      <xdr:rowOff>0</xdr:rowOff>
    </xdr:to>
    <xdr:sp>
      <xdr:nvSpPr>
        <xdr:cNvPr id="2879" name="Line 835"/>
        <xdr:cNvSpPr>
          <a:spLocks/>
        </xdr:cNvSpPr>
      </xdr:nvSpPr>
      <xdr:spPr>
        <a:xfrm>
          <a:off x="28575" y="895350"/>
          <a:ext cx="3048000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880" name="Line 836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81" name="Line 837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882" name="Line 838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883" name="Line 83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84" name="Line 840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845</xdr:row>
      <xdr:rowOff>0</xdr:rowOff>
    </xdr:from>
    <xdr:to>
      <xdr:col>2</xdr:col>
      <xdr:colOff>0</xdr:colOff>
      <xdr:row>845</xdr:row>
      <xdr:rowOff>0</xdr:rowOff>
    </xdr:to>
    <xdr:sp>
      <xdr:nvSpPr>
        <xdr:cNvPr id="2885" name="Line 841"/>
        <xdr:cNvSpPr>
          <a:spLocks/>
        </xdr:cNvSpPr>
      </xdr:nvSpPr>
      <xdr:spPr>
        <a:xfrm>
          <a:off x="28575" y="86648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886" name="Line 842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887" name="Line 84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888" name="Line 84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845</xdr:row>
      <xdr:rowOff>0</xdr:rowOff>
    </xdr:from>
    <xdr:to>
      <xdr:col>2</xdr:col>
      <xdr:colOff>0</xdr:colOff>
      <xdr:row>845</xdr:row>
      <xdr:rowOff>0</xdr:rowOff>
    </xdr:to>
    <xdr:sp>
      <xdr:nvSpPr>
        <xdr:cNvPr id="2889" name="Line 845"/>
        <xdr:cNvSpPr>
          <a:spLocks/>
        </xdr:cNvSpPr>
      </xdr:nvSpPr>
      <xdr:spPr>
        <a:xfrm>
          <a:off x="28575" y="86648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845</xdr:row>
      <xdr:rowOff>0</xdr:rowOff>
    </xdr:from>
    <xdr:to>
      <xdr:col>2</xdr:col>
      <xdr:colOff>0</xdr:colOff>
      <xdr:row>845</xdr:row>
      <xdr:rowOff>0</xdr:rowOff>
    </xdr:to>
    <xdr:sp>
      <xdr:nvSpPr>
        <xdr:cNvPr id="2890" name="Line 846"/>
        <xdr:cNvSpPr>
          <a:spLocks/>
        </xdr:cNvSpPr>
      </xdr:nvSpPr>
      <xdr:spPr>
        <a:xfrm>
          <a:off x="28575" y="86648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851</xdr:row>
      <xdr:rowOff>0</xdr:rowOff>
    </xdr:from>
    <xdr:to>
      <xdr:col>2</xdr:col>
      <xdr:colOff>0</xdr:colOff>
      <xdr:row>851</xdr:row>
      <xdr:rowOff>0</xdr:rowOff>
    </xdr:to>
    <xdr:sp>
      <xdr:nvSpPr>
        <xdr:cNvPr id="2891" name="Line 847"/>
        <xdr:cNvSpPr>
          <a:spLocks/>
        </xdr:cNvSpPr>
      </xdr:nvSpPr>
      <xdr:spPr>
        <a:xfrm>
          <a:off x="28575" y="87106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851</xdr:row>
      <xdr:rowOff>0</xdr:rowOff>
    </xdr:from>
    <xdr:to>
      <xdr:col>2</xdr:col>
      <xdr:colOff>0</xdr:colOff>
      <xdr:row>851</xdr:row>
      <xdr:rowOff>0</xdr:rowOff>
    </xdr:to>
    <xdr:sp>
      <xdr:nvSpPr>
        <xdr:cNvPr id="2892" name="Line 848"/>
        <xdr:cNvSpPr>
          <a:spLocks/>
        </xdr:cNvSpPr>
      </xdr:nvSpPr>
      <xdr:spPr>
        <a:xfrm>
          <a:off x="28575" y="87106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851</xdr:row>
      <xdr:rowOff>0</xdr:rowOff>
    </xdr:from>
    <xdr:to>
      <xdr:col>2</xdr:col>
      <xdr:colOff>0</xdr:colOff>
      <xdr:row>851</xdr:row>
      <xdr:rowOff>0</xdr:rowOff>
    </xdr:to>
    <xdr:sp>
      <xdr:nvSpPr>
        <xdr:cNvPr id="2893" name="Line 849"/>
        <xdr:cNvSpPr>
          <a:spLocks/>
        </xdr:cNvSpPr>
      </xdr:nvSpPr>
      <xdr:spPr>
        <a:xfrm>
          <a:off x="28575" y="87106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894" name="Line 850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895" name="Line 851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896" name="Line 852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897" name="Line 853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898" name="Line 854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899" name="Line 855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28575</xdr:rowOff>
    </xdr:from>
    <xdr:to>
      <xdr:col>2</xdr:col>
      <xdr:colOff>0</xdr:colOff>
      <xdr:row>10</xdr:row>
      <xdr:rowOff>0</xdr:rowOff>
    </xdr:to>
    <xdr:sp>
      <xdr:nvSpPr>
        <xdr:cNvPr id="2900" name="Line 856"/>
        <xdr:cNvSpPr>
          <a:spLocks/>
        </xdr:cNvSpPr>
      </xdr:nvSpPr>
      <xdr:spPr>
        <a:xfrm>
          <a:off x="28575" y="895350"/>
          <a:ext cx="3048000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901" name="Line 857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902" name="Line 858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903" name="Line 859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04" name="Line 86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905" name="Line 861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845</xdr:row>
      <xdr:rowOff>0</xdr:rowOff>
    </xdr:from>
    <xdr:to>
      <xdr:col>2</xdr:col>
      <xdr:colOff>0</xdr:colOff>
      <xdr:row>845</xdr:row>
      <xdr:rowOff>0</xdr:rowOff>
    </xdr:to>
    <xdr:sp>
      <xdr:nvSpPr>
        <xdr:cNvPr id="2906" name="Line 862"/>
        <xdr:cNvSpPr>
          <a:spLocks/>
        </xdr:cNvSpPr>
      </xdr:nvSpPr>
      <xdr:spPr>
        <a:xfrm>
          <a:off x="28575" y="86648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907" name="Line 863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08" name="Line 86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09" name="Line 86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845</xdr:row>
      <xdr:rowOff>0</xdr:rowOff>
    </xdr:from>
    <xdr:to>
      <xdr:col>2</xdr:col>
      <xdr:colOff>0</xdr:colOff>
      <xdr:row>845</xdr:row>
      <xdr:rowOff>0</xdr:rowOff>
    </xdr:to>
    <xdr:sp>
      <xdr:nvSpPr>
        <xdr:cNvPr id="2910" name="Line 866"/>
        <xdr:cNvSpPr>
          <a:spLocks/>
        </xdr:cNvSpPr>
      </xdr:nvSpPr>
      <xdr:spPr>
        <a:xfrm>
          <a:off x="28575" y="86648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845</xdr:row>
      <xdr:rowOff>0</xdr:rowOff>
    </xdr:from>
    <xdr:to>
      <xdr:col>2</xdr:col>
      <xdr:colOff>0</xdr:colOff>
      <xdr:row>845</xdr:row>
      <xdr:rowOff>0</xdr:rowOff>
    </xdr:to>
    <xdr:sp>
      <xdr:nvSpPr>
        <xdr:cNvPr id="2911" name="Line 867"/>
        <xdr:cNvSpPr>
          <a:spLocks/>
        </xdr:cNvSpPr>
      </xdr:nvSpPr>
      <xdr:spPr>
        <a:xfrm>
          <a:off x="28575" y="86648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851</xdr:row>
      <xdr:rowOff>0</xdr:rowOff>
    </xdr:from>
    <xdr:to>
      <xdr:col>2</xdr:col>
      <xdr:colOff>0</xdr:colOff>
      <xdr:row>851</xdr:row>
      <xdr:rowOff>0</xdr:rowOff>
    </xdr:to>
    <xdr:sp>
      <xdr:nvSpPr>
        <xdr:cNvPr id="2912" name="Line 868"/>
        <xdr:cNvSpPr>
          <a:spLocks/>
        </xdr:cNvSpPr>
      </xdr:nvSpPr>
      <xdr:spPr>
        <a:xfrm>
          <a:off x="28575" y="87106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851</xdr:row>
      <xdr:rowOff>0</xdr:rowOff>
    </xdr:from>
    <xdr:to>
      <xdr:col>2</xdr:col>
      <xdr:colOff>0</xdr:colOff>
      <xdr:row>851</xdr:row>
      <xdr:rowOff>0</xdr:rowOff>
    </xdr:to>
    <xdr:sp>
      <xdr:nvSpPr>
        <xdr:cNvPr id="2913" name="Line 869"/>
        <xdr:cNvSpPr>
          <a:spLocks/>
        </xdr:cNvSpPr>
      </xdr:nvSpPr>
      <xdr:spPr>
        <a:xfrm>
          <a:off x="28575" y="87106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851</xdr:row>
      <xdr:rowOff>0</xdr:rowOff>
    </xdr:from>
    <xdr:to>
      <xdr:col>2</xdr:col>
      <xdr:colOff>0</xdr:colOff>
      <xdr:row>851</xdr:row>
      <xdr:rowOff>0</xdr:rowOff>
    </xdr:to>
    <xdr:sp>
      <xdr:nvSpPr>
        <xdr:cNvPr id="2914" name="Line 870"/>
        <xdr:cNvSpPr>
          <a:spLocks/>
        </xdr:cNvSpPr>
      </xdr:nvSpPr>
      <xdr:spPr>
        <a:xfrm>
          <a:off x="28575" y="87106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915" name="Line 871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916" name="Line 872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917" name="Line 873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918" name="Line 874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919" name="Line 875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920" name="Line 876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28575</xdr:rowOff>
    </xdr:from>
    <xdr:to>
      <xdr:col>2</xdr:col>
      <xdr:colOff>0</xdr:colOff>
      <xdr:row>10</xdr:row>
      <xdr:rowOff>0</xdr:rowOff>
    </xdr:to>
    <xdr:sp>
      <xdr:nvSpPr>
        <xdr:cNvPr id="2921" name="Line 877"/>
        <xdr:cNvSpPr>
          <a:spLocks/>
        </xdr:cNvSpPr>
      </xdr:nvSpPr>
      <xdr:spPr>
        <a:xfrm>
          <a:off x="28575" y="895350"/>
          <a:ext cx="3048000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922" name="Line 878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923" name="Line 879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2924" name="Line 880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25" name="Line 88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926" name="Line 882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845</xdr:row>
      <xdr:rowOff>0</xdr:rowOff>
    </xdr:from>
    <xdr:to>
      <xdr:col>2</xdr:col>
      <xdr:colOff>0</xdr:colOff>
      <xdr:row>845</xdr:row>
      <xdr:rowOff>0</xdr:rowOff>
    </xdr:to>
    <xdr:sp>
      <xdr:nvSpPr>
        <xdr:cNvPr id="2927" name="Line 883"/>
        <xdr:cNvSpPr>
          <a:spLocks/>
        </xdr:cNvSpPr>
      </xdr:nvSpPr>
      <xdr:spPr>
        <a:xfrm>
          <a:off x="28575" y="86648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2928" name="Line 884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29" name="Line 88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30" name="Line 88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845</xdr:row>
      <xdr:rowOff>0</xdr:rowOff>
    </xdr:from>
    <xdr:to>
      <xdr:col>2</xdr:col>
      <xdr:colOff>0</xdr:colOff>
      <xdr:row>845</xdr:row>
      <xdr:rowOff>0</xdr:rowOff>
    </xdr:to>
    <xdr:sp>
      <xdr:nvSpPr>
        <xdr:cNvPr id="2931" name="Line 887"/>
        <xdr:cNvSpPr>
          <a:spLocks/>
        </xdr:cNvSpPr>
      </xdr:nvSpPr>
      <xdr:spPr>
        <a:xfrm>
          <a:off x="28575" y="86648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845</xdr:row>
      <xdr:rowOff>0</xdr:rowOff>
    </xdr:from>
    <xdr:to>
      <xdr:col>2</xdr:col>
      <xdr:colOff>0</xdr:colOff>
      <xdr:row>845</xdr:row>
      <xdr:rowOff>0</xdr:rowOff>
    </xdr:to>
    <xdr:sp>
      <xdr:nvSpPr>
        <xdr:cNvPr id="2932" name="Line 888"/>
        <xdr:cNvSpPr>
          <a:spLocks/>
        </xdr:cNvSpPr>
      </xdr:nvSpPr>
      <xdr:spPr>
        <a:xfrm>
          <a:off x="28575" y="86648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851</xdr:row>
      <xdr:rowOff>0</xdr:rowOff>
    </xdr:from>
    <xdr:to>
      <xdr:col>2</xdr:col>
      <xdr:colOff>0</xdr:colOff>
      <xdr:row>851</xdr:row>
      <xdr:rowOff>0</xdr:rowOff>
    </xdr:to>
    <xdr:sp>
      <xdr:nvSpPr>
        <xdr:cNvPr id="2933" name="Line 889"/>
        <xdr:cNvSpPr>
          <a:spLocks/>
        </xdr:cNvSpPr>
      </xdr:nvSpPr>
      <xdr:spPr>
        <a:xfrm>
          <a:off x="28575" y="87106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851</xdr:row>
      <xdr:rowOff>0</xdr:rowOff>
    </xdr:from>
    <xdr:to>
      <xdr:col>2</xdr:col>
      <xdr:colOff>0</xdr:colOff>
      <xdr:row>851</xdr:row>
      <xdr:rowOff>0</xdr:rowOff>
    </xdr:to>
    <xdr:sp>
      <xdr:nvSpPr>
        <xdr:cNvPr id="2934" name="Line 890"/>
        <xdr:cNvSpPr>
          <a:spLocks/>
        </xdr:cNvSpPr>
      </xdr:nvSpPr>
      <xdr:spPr>
        <a:xfrm>
          <a:off x="28575" y="87106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851</xdr:row>
      <xdr:rowOff>0</xdr:rowOff>
    </xdr:from>
    <xdr:to>
      <xdr:col>2</xdr:col>
      <xdr:colOff>0</xdr:colOff>
      <xdr:row>851</xdr:row>
      <xdr:rowOff>0</xdr:rowOff>
    </xdr:to>
    <xdr:sp>
      <xdr:nvSpPr>
        <xdr:cNvPr id="2935" name="Line 891"/>
        <xdr:cNvSpPr>
          <a:spLocks/>
        </xdr:cNvSpPr>
      </xdr:nvSpPr>
      <xdr:spPr>
        <a:xfrm>
          <a:off x="28575" y="87106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936" name="Line 892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937" name="Line 893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938" name="Line 894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939" name="Line 895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940" name="Line 896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941" name="Line 897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942" name="Line 898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943" name="Line 899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944" name="Line 900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945" name="Line 901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946" name="Line 902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947" name="Line 903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948" name="Line 904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949" name="Line 905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950" name="Line 906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951" name="Line 907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952" name="Line 908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953" name="Line 909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954" name="Line 910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955" name="Line 911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868</xdr:row>
      <xdr:rowOff>0</xdr:rowOff>
    </xdr:from>
    <xdr:to>
      <xdr:col>2</xdr:col>
      <xdr:colOff>0</xdr:colOff>
      <xdr:row>868</xdr:row>
      <xdr:rowOff>0</xdr:rowOff>
    </xdr:to>
    <xdr:sp>
      <xdr:nvSpPr>
        <xdr:cNvPr id="2956" name="Line 912"/>
        <xdr:cNvSpPr>
          <a:spLocks/>
        </xdr:cNvSpPr>
      </xdr:nvSpPr>
      <xdr:spPr>
        <a:xfrm>
          <a:off x="28575" y="89782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57" name="Line 91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58" name="Line 91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59" name="Line 91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60" name="Line 91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61" name="Line 91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62" name="Line 91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63" name="Line 91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64" name="Line 92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65" name="Line 92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66" name="Line 92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67" name="Line 92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68" name="Line 92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69" name="Line 92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70" name="Line 92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71" name="Line 92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72" name="Line 92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73" name="Line 92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74" name="Line 93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75" name="Line 93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76" name="Line 93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77" name="Line 93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78" name="Line 93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79" name="Line 93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80" name="Line 93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81" name="Line 93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82" name="Line 93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83" name="Line 93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84" name="Line 94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85" name="Line 94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86" name="Line 94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87" name="Line 94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88" name="Line 94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89" name="Line 94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90" name="Line 94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91" name="Line 94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92" name="Line 94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93" name="Line 94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94" name="Line 95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95" name="Line 95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2996" name="Line 95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392</xdr:row>
      <xdr:rowOff>0</xdr:rowOff>
    </xdr:from>
    <xdr:to>
      <xdr:col>2</xdr:col>
      <xdr:colOff>0</xdr:colOff>
      <xdr:row>392</xdr:row>
      <xdr:rowOff>0</xdr:rowOff>
    </xdr:to>
    <xdr:sp>
      <xdr:nvSpPr>
        <xdr:cNvPr id="2997" name="Line 953"/>
        <xdr:cNvSpPr>
          <a:spLocks/>
        </xdr:cNvSpPr>
      </xdr:nvSpPr>
      <xdr:spPr>
        <a:xfrm>
          <a:off x="28575" y="33394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392</xdr:row>
      <xdr:rowOff>0</xdr:rowOff>
    </xdr:from>
    <xdr:to>
      <xdr:col>2</xdr:col>
      <xdr:colOff>0</xdr:colOff>
      <xdr:row>392</xdr:row>
      <xdr:rowOff>0</xdr:rowOff>
    </xdr:to>
    <xdr:sp>
      <xdr:nvSpPr>
        <xdr:cNvPr id="2998" name="Line 954"/>
        <xdr:cNvSpPr>
          <a:spLocks/>
        </xdr:cNvSpPr>
      </xdr:nvSpPr>
      <xdr:spPr>
        <a:xfrm>
          <a:off x="28575" y="33394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392</xdr:row>
      <xdr:rowOff>0</xdr:rowOff>
    </xdr:from>
    <xdr:to>
      <xdr:col>2</xdr:col>
      <xdr:colOff>0</xdr:colOff>
      <xdr:row>392</xdr:row>
      <xdr:rowOff>0</xdr:rowOff>
    </xdr:to>
    <xdr:sp>
      <xdr:nvSpPr>
        <xdr:cNvPr id="2999" name="Line 955"/>
        <xdr:cNvSpPr>
          <a:spLocks/>
        </xdr:cNvSpPr>
      </xdr:nvSpPr>
      <xdr:spPr>
        <a:xfrm>
          <a:off x="28575" y="33394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392</xdr:row>
      <xdr:rowOff>0</xdr:rowOff>
    </xdr:from>
    <xdr:to>
      <xdr:col>2</xdr:col>
      <xdr:colOff>0</xdr:colOff>
      <xdr:row>392</xdr:row>
      <xdr:rowOff>0</xdr:rowOff>
    </xdr:to>
    <xdr:sp>
      <xdr:nvSpPr>
        <xdr:cNvPr id="3000" name="Line 956"/>
        <xdr:cNvSpPr>
          <a:spLocks/>
        </xdr:cNvSpPr>
      </xdr:nvSpPr>
      <xdr:spPr>
        <a:xfrm>
          <a:off x="28575" y="33394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392</xdr:row>
      <xdr:rowOff>0</xdr:rowOff>
    </xdr:from>
    <xdr:to>
      <xdr:col>2</xdr:col>
      <xdr:colOff>0</xdr:colOff>
      <xdr:row>392</xdr:row>
      <xdr:rowOff>0</xdr:rowOff>
    </xdr:to>
    <xdr:sp>
      <xdr:nvSpPr>
        <xdr:cNvPr id="3001" name="Line 957"/>
        <xdr:cNvSpPr>
          <a:spLocks/>
        </xdr:cNvSpPr>
      </xdr:nvSpPr>
      <xdr:spPr>
        <a:xfrm>
          <a:off x="28575" y="33394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392</xdr:row>
      <xdr:rowOff>0</xdr:rowOff>
    </xdr:from>
    <xdr:to>
      <xdr:col>2</xdr:col>
      <xdr:colOff>0</xdr:colOff>
      <xdr:row>392</xdr:row>
      <xdr:rowOff>0</xdr:rowOff>
    </xdr:to>
    <xdr:sp>
      <xdr:nvSpPr>
        <xdr:cNvPr id="3002" name="Line 958"/>
        <xdr:cNvSpPr>
          <a:spLocks/>
        </xdr:cNvSpPr>
      </xdr:nvSpPr>
      <xdr:spPr>
        <a:xfrm>
          <a:off x="28575" y="33394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392</xdr:row>
      <xdr:rowOff>0</xdr:rowOff>
    </xdr:from>
    <xdr:to>
      <xdr:col>2</xdr:col>
      <xdr:colOff>0</xdr:colOff>
      <xdr:row>392</xdr:row>
      <xdr:rowOff>0</xdr:rowOff>
    </xdr:to>
    <xdr:sp>
      <xdr:nvSpPr>
        <xdr:cNvPr id="3003" name="Line 959"/>
        <xdr:cNvSpPr>
          <a:spLocks/>
        </xdr:cNvSpPr>
      </xdr:nvSpPr>
      <xdr:spPr>
        <a:xfrm>
          <a:off x="28575" y="33394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392</xdr:row>
      <xdr:rowOff>0</xdr:rowOff>
    </xdr:from>
    <xdr:to>
      <xdr:col>2</xdr:col>
      <xdr:colOff>0</xdr:colOff>
      <xdr:row>392</xdr:row>
      <xdr:rowOff>0</xdr:rowOff>
    </xdr:to>
    <xdr:sp>
      <xdr:nvSpPr>
        <xdr:cNvPr id="3004" name="Line 960"/>
        <xdr:cNvSpPr>
          <a:spLocks/>
        </xdr:cNvSpPr>
      </xdr:nvSpPr>
      <xdr:spPr>
        <a:xfrm>
          <a:off x="28575" y="33394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392</xdr:row>
      <xdr:rowOff>0</xdr:rowOff>
    </xdr:from>
    <xdr:to>
      <xdr:col>2</xdr:col>
      <xdr:colOff>0</xdr:colOff>
      <xdr:row>392</xdr:row>
      <xdr:rowOff>0</xdr:rowOff>
    </xdr:to>
    <xdr:sp>
      <xdr:nvSpPr>
        <xdr:cNvPr id="3005" name="Line 961"/>
        <xdr:cNvSpPr>
          <a:spLocks/>
        </xdr:cNvSpPr>
      </xdr:nvSpPr>
      <xdr:spPr>
        <a:xfrm>
          <a:off x="28575" y="33394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392</xdr:row>
      <xdr:rowOff>0</xdr:rowOff>
    </xdr:from>
    <xdr:to>
      <xdr:col>2</xdr:col>
      <xdr:colOff>0</xdr:colOff>
      <xdr:row>392</xdr:row>
      <xdr:rowOff>0</xdr:rowOff>
    </xdr:to>
    <xdr:sp>
      <xdr:nvSpPr>
        <xdr:cNvPr id="3006" name="Line 962"/>
        <xdr:cNvSpPr>
          <a:spLocks/>
        </xdr:cNvSpPr>
      </xdr:nvSpPr>
      <xdr:spPr>
        <a:xfrm>
          <a:off x="28575" y="33394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392</xdr:row>
      <xdr:rowOff>0</xdr:rowOff>
    </xdr:from>
    <xdr:to>
      <xdr:col>2</xdr:col>
      <xdr:colOff>0</xdr:colOff>
      <xdr:row>392</xdr:row>
      <xdr:rowOff>0</xdr:rowOff>
    </xdr:to>
    <xdr:sp>
      <xdr:nvSpPr>
        <xdr:cNvPr id="3007" name="Line 963"/>
        <xdr:cNvSpPr>
          <a:spLocks/>
        </xdr:cNvSpPr>
      </xdr:nvSpPr>
      <xdr:spPr>
        <a:xfrm>
          <a:off x="28575" y="33394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392</xdr:row>
      <xdr:rowOff>0</xdr:rowOff>
    </xdr:from>
    <xdr:to>
      <xdr:col>2</xdr:col>
      <xdr:colOff>0</xdr:colOff>
      <xdr:row>392</xdr:row>
      <xdr:rowOff>0</xdr:rowOff>
    </xdr:to>
    <xdr:sp>
      <xdr:nvSpPr>
        <xdr:cNvPr id="3008" name="Line 964"/>
        <xdr:cNvSpPr>
          <a:spLocks/>
        </xdr:cNvSpPr>
      </xdr:nvSpPr>
      <xdr:spPr>
        <a:xfrm>
          <a:off x="28575" y="33394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392</xdr:row>
      <xdr:rowOff>0</xdr:rowOff>
    </xdr:from>
    <xdr:to>
      <xdr:col>2</xdr:col>
      <xdr:colOff>0</xdr:colOff>
      <xdr:row>392</xdr:row>
      <xdr:rowOff>0</xdr:rowOff>
    </xdr:to>
    <xdr:sp>
      <xdr:nvSpPr>
        <xdr:cNvPr id="3009" name="Line 965"/>
        <xdr:cNvSpPr>
          <a:spLocks/>
        </xdr:cNvSpPr>
      </xdr:nvSpPr>
      <xdr:spPr>
        <a:xfrm>
          <a:off x="28575" y="33394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392</xdr:row>
      <xdr:rowOff>0</xdr:rowOff>
    </xdr:from>
    <xdr:to>
      <xdr:col>2</xdr:col>
      <xdr:colOff>0</xdr:colOff>
      <xdr:row>392</xdr:row>
      <xdr:rowOff>0</xdr:rowOff>
    </xdr:to>
    <xdr:sp>
      <xdr:nvSpPr>
        <xdr:cNvPr id="3010" name="Line 966"/>
        <xdr:cNvSpPr>
          <a:spLocks/>
        </xdr:cNvSpPr>
      </xdr:nvSpPr>
      <xdr:spPr>
        <a:xfrm>
          <a:off x="28575" y="33394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392</xdr:row>
      <xdr:rowOff>0</xdr:rowOff>
    </xdr:from>
    <xdr:to>
      <xdr:col>2</xdr:col>
      <xdr:colOff>0</xdr:colOff>
      <xdr:row>392</xdr:row>
      <xdr:rowOff>0</xdr:rowOff>
    </xdr:to>
    <xdr:sp>
      <xdr:nvSpPr>
        <xdr:cNvPr id="3011" name="Line 967"/>
        <xdr:cNvSpPr>
          <a:spLocks/>
        </xdr:cNvSpPr>
      </xdr:nvSpPr>
      <xdr:spPr>
        <a:xfrm>
          <a:off x="28575" y="333946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3012" name="Line 968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3013" name="Line 969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3014" name="Line 970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3015" name="Line 971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3016" name="Line 972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3017" name="Line 973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3018" name="Line 974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3019" name="Line 975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3020" name="Line 976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3021" name="Line 977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3022" name="Line 978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3023" name="Line 979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3024" name="Line 980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3025" name="Line 981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3026" name="Line 982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027" name="Line 98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028" name="Line 98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029" name="Line 98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030" name="Line 98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031" name="Line 98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032" name="Line 98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28575</xdr:rowOff>
    </xdr:from>
    <xdr:to>
      <xdr:col>2</xdr:col>
      <xdr:colOff>0</xdr:colOff>
      <xdr:row>10</xdr:row>
      <xdr:rowOff>0</xdr:rowOff>
    </xdr:to>
    <xdr:sp>
      <xdr:nvSpPr>
        <xdr:cNvPr id="3033" name="Line 989"/>
        <xdr:cNvSpPr>
          <a:spLocks/>
        </xdr:cNvSpPr>
      </xdr:nvSpPr>
      <xdr:spPr>
        <a:xfrm>
          <a:off x="28575" y="895350"/>
          <a:ext cx="3048000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227</xdr:row>
      <xdr:rowOff>0</xdr:rowOff>
    </xdr:from>
    <xdr:to>
      <xdr:col>2</xdr:col>
      <xdr:colOff>0</xdr:colOff>
      <xdr:row>227</xdr:row>
      <xdr:rowOff>0</xdr:rowOff>
    </xdr:to>
    <xdr:sp>
      <xdr:nvSpPr>
        <xdr:cNvPr id="3034" name="Line 990"/>
        <xdr:cNvSpPr>
          <a:spLocks/>
        </xdr:cNvSpPr>
      </xdr:nvSpPr>
      <xdr:spPr>
        <a:xfrm>
          <a:off x="28575" y="220218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035" name="Line 991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227</xdr:row>
      <xdr:rowOff>0</xdr:rowOff>
    </xdr:from>
    <xdr:to>
      <xdr:col>2</xdr:col>
      <xdr:colOff>0</xdr:colOff>
      <xdr:row>227</xdr:row>
      <xdr:rowOff>0</xdr:rowOff>
    </xdr:to>
    <xdr:sp>
      <xdr:nvSpPr>
        <xdr:cNvPr id="3036" name="Line 992"/>
        <xdr:cNvSpPr>
          <a:spLocks/>
        </xdr:cNvSpPr>
      </xdr:nvSpPr>
      <xdr:spPr>
        <a:xfrm>
          <a:off x="28575" y="220218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288</xdr:row>
      <xdr:rowOff>0</xdr:rowOff>
    </xdr:from>
    <xdr:to>
      <xdr:col>2</xdr:col>
      <xdr:colOff>0</xdr:colOff>
      <xdr:row>288</xdr:row>
      <xdr:rowOff>0</xdr:rowOff>
    </xdr:to>
    <xdr:sp>
      <xdr:nvSpPr>
        <xdr:cNvPr id="3037" name="Line 993"/>
        <xdr:cNvSpPr>
          <a:spLocks/>
        </xdr:cNvSpPr>
      </xdr:nvSpPr>
      <xdr:spPr>
        <a:xfrm>
          <a:off x="28575" y="235077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038" name="Line 994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359</xdr:row>
      <xdr:rowOff>0</xdr:rowOff>
    </xdr:from>
    <xdr:to>
      <xdr:col>2</xdr:col>
      <xdr:colOff>0</xdr:colOff>
      <xdr:row>359</xdr:row>
      <xdr:rowOff>0</xdr:rowOff>
    </xdr:to>
    <xdr:sp>
      <xdr:nvSpPr>
        <xdr:cNvPr id="3039" name="Line 995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040" name="Line 996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288</xdr:row>
      <xdr:rowOff>0</xdr:rowOff>
    </xdr:from>
    <xdr:to>
      <xdr:col>2</xdr:col>
      <xdr:colOff>0</xdr:colOff>
      <xdr:row>288</xdr:row>
      <xdr:rowOff>0</xdr:rowOff>
    </xdr:to>
    <xdr:sp>
      <xdr:nvSpPr>
        <xdr:cNvPr id="3041" name="Line 997"/>
        <xdr:cNvSpPr>
          <a:spLocks/>
        </xdr:cNvSpPr>
      </xdr:nvSpPr>
      <xdr:spPr>
        <a:xfrm>
          <a:off x="28575" y="235077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288</xdr:row>
      <xdr:rowOff>0</xdr:rowOff>
    </xdr:from>
    <xdr:to>
      <xdr:col>2</xdr:col>
      <xdr:colOff>0</xdr:colOff>
      <xdr:row>288</xdr:row>
      <xdr:rowOff>0</xdr:rowOff>
    </xdr:to>
    <xdr:sp>
      <xdr:nvSpPr>
        <xdr:cNvPr id="3042" name="Line 998"/>
        <xdr:cNvSpPr>
          <a:spLocks/>
        </xdr:cNvSpPr>
      </xdr:nvSpPr>
      <xdr:spPr>
        <a:xfrm>
          <a:off x="28575" y="235077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359</xdr:row>
      <xdr:rowOff>0</xdr:rowOff>
    </xdr:from>
    <xdr:to>
      <xdr:col>2</xdr:col>
      <xdr:colOff>0</xdr:colOff>
      <xdr:row>359</xdr:row>
      <xdr:rowOff>0</xdr:rowOff>
    </xdr:to>
    <xdr:sp>
      <xdr:nvSpPr>
        <xdr:cNvPr id="3043" name="Line 999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359</xdr:row>
      <xdr:rowOff>0</xdr:rowOff>
    </xdr:from>
    <xdr:to>
      <xdr:col>2</xdr:col>
      <xdr:colOff>0</xdr:colOff>
      <xdr:row>359</xdr:row>
      <xdr:rowOff>0</xdr:rowOff>
    </xdr:to>
    <xdr:sp>
      <xdr:nvSpPr>
        <xdr:cNvPr id="3044" name="Line 1000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045" name="Line 100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046" name="Line 100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047" name="Line 100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547</xdr:row>
      <xdr:rowOff>0</xdr:rowOff>
    </xdr:from>
    <xdr:to>
      <xdr:col>2</xdr:col>
      <xdr:colOff>0</xdr:colOff>
      <xdr:row>547</xdr:row>
      <xdr:rowOff>0</xdr:rowOff>
    </xdr:to>
    <xdr:sp>
      <xdr:nvSpPr>
        <xdr:cNvPr id="3048" name="Line 1004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547</xdr:row>
      <xdr:rowOff>0</xdr:rowOff>
    </xdr:from>
    <xdr:to>
      <xdr:col>2</xdr:col>
      <xdr:colOff>0</xdr:colOff>
      <xdr:row>547</xdr:row>
      <xdr:rowOff>0</xdr:rowOff>
    </xdr:to>
    <xdr:sp>
      <xdr:nvSpPr>
        <xdr:cNvPr id="3049" name="Line 1005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547</xdr:row>
      <xdr:rowOff>0</xdr:rowOff>
    </xdr:from>
    <xdr:to>
      <xdr:col>2</xdr:col>
      <xdr:colOff>0</xdr:colOff>
      <xdr:row>547</xdr:row>
      <xdr:rowOff>0</xdr:rowOff>
    </xdr:to>
    <xdr:sp>
      <xdr:nvSpPr>
        <xdr:cNvPr id="3050" name="Line 1006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588</xdr:row>
      <xdr:rowOff>0</xdr:rowOff>
    </xdr:from>
    <xdr:to>
      <xdr:col>2</xdr:col>
      <xdr:colOff>0</xdr:colOff>
      <xdr:row>588</xdr:row>
      <xdr:rowOff>0</xdr:rowOff>
    </xdr:to>
    <xdr:sp>
      <xdr:nvSpPr>
        <xdr:cNvPr id="3051" name="Line 1007"/>
        <xdr:cNvSpPr>
          <a:spLocks/>
        </xdr:cNvSpPr>
      </xdr:nvSpPr>
      <xdr:spPr>
        <a:xfrm>
          <a:off x="28575" y="66836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588</xdr:row>
      <xdr:rowOff>0</xdr:rowOff>
    </xdr:from>
    <xdr:to>
      <xdr:col>2</xdr:col>
      <xdr:colOff>0</xdr:colOff>
      <xdr:row>588</xdr:row>
      <xdr:rowOff>0</xdr:rowOff>
    </xdr:to>
    <xdr:sp>
      <xdr:nvSpPr>
        <xdr:cNvPr id="3052" name="Line 1008"/>
        <xdr:cNvSpPr>
          <a:spLocks/>
        </xdr:cNvSpPr>
      </xdr:nvSpPr>
      <xdr:spPr>
        <a:xfrm>
          <a:off x="28575" y="66836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588</xdr:row>
      <xdr:rowOff>0</xdr:rowOff>
    </xdr:from>
    <xdr:to>
      <xdr:col>2</xdr:col>
      <xdr:colOff>0</xdr:colOff>
      <xdr:row>588</xdr:row>
      <xdr:rowOff>0</xdr:rowOff>
    </xdr:to>
    <xdr:sp>
      <xdr:nvSpPr>
        <xdr:cNvPr id="3053" name="Line 1009"/>
        <xdr:cNvSpPr>
          <a:spLocks/>
        </xdr:cNvSpPr>
      </xdr:nvSpPr>
      <xdr:spPr>
        <a:xfrm>
          <a:off x="28575" y="66836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28575</xdr:rowOff>
    </xdr:from>
    <xdr:to>
      <xdr:col>2</xdr:col>
      <xdr:colOff>0</xdr:colOff>
      <xdr:row>10</xdr:row>
      <xdr:rowOff>0</xdr:rowOff>
    </xdr:to>
    <xdr:sp>
      <xdr:nvSpPr>
        <xdr:cNvPr id="3054" name="Line 1010"/>
        <xdr:cNvSpPr>
          <a:spLocks/>
        </xdr:cNvSpPr>
      </xdr:nvSpPr>
      <xdr:spPr>
        <a:xfrm>
          <a:off x="28575" y="895350"/>
          <a:ext cx="3048000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227</xdr:row>
      <xdr:rowOff>0</xdr:rowOff>
    </xdr:from>
    <xdr:to>
      <xdr:col>2</xdr:col>
      <xdr:colOff>0</xdr:colOff>
      <xdr:row>227</xdr:row>
      <xdr:rowOff>0</xdr:rowOff>
    </xdr:to>
    <xdr:sp>
      <xdr:nvSpPr>
        <xdr:cNvPr id="3055" name="Line 1011"/>
        <xdr:cNvSpPr>
          <a:spLocks/>
        </xdr:cNvSpPr>
      </xdr:nvSpPr>
      <xdr:spPr>
        <a:xfrm>
          <a:off x="28575" y="220218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056" name="Line 1012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227</xdr:row>
      <xdr:rowOff>0</xdr:rowOff>
    </xdr:from>
    <xdr:to>
      <xdr:col>2</xdr:col>
      <xdr:colOff>0</xdr:colOff>
      <xdr:row>227</xdr:row>
      <xdr:rowOff>0</xdr:rowOff>
    </xdr:to>
    <xdr:sp>
      <xdr:nvSpPr>
        <xdr:cNvPr id="3057" name="Line 1013"/>
        <xdr:cNvSpPr>
          <a:spLocks/>
        </xdr:cNvSpPr>
      </xdr:nvSpPr>
      <xdr:spPr>
        <a:xfrm>
          <a:off x="28575" y="220218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288</xdr:row>
      <xdr:rowOff>0</xdr:rowOff>
    </xdr:from>
    <xdr:to>
      <xdr:col>2</xdr:col>
      <xdr:colOff>0</xdr:colOff>
      <xdr:row>288</xdr:row>
      <xdr:rowOff>0</xdr:rowOff>
    </xdr:to>
    <xdr:sp>
      <xdr:nvSpPr>
        <xdr:cNvPr id="3058" name="Line 1014"/>
        <xdr:cNvSpPr>
          <a:spLocks/>
        </xdr:cNvSpPr>
      </xdr:nvSpPr>
      <xdr:spPr>
        <a:xfrm>
          <a:off x="28575" y="235077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059" name="Line 1015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359</xdr:row>
      <xdr:rowOff>0</xdr:rowOff>
    </xdr:from>
    <xdr:to>
      <xdr:col>2</xdr:col>
      <xdr:colOff>0</xdr:colOff>
      <xdr:row>359</xdr:row>
      <xdr:rowOff>0</xdr:rowOff>
    </xdr:to>
    <xdr:sp>
      <xdr:nvSpPr>
        <xdr:cNvPr id="3060" name="Line 1016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65</xdr:row>
      <xdr:rowOff>0</xdr:rowOff>
    </xdr:from>
    <xdr:to>
      <xdr:col>2</xdr:col>
      <xdr:colOff>0</xdr:colOff>
      <xdr:row>65</xdr:row>
      <xdr:rowOff>0</xdr:rowOff>
    </xdr:to>
    <xdr:sp>
      <xdr:nvSpPr>
        <xdr:cNvPr id="3061" name="Line 1017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288</xdr:row>
      <xdr:rowOff>0</xdr:rowOff>
    </xdr:from>
    <xdr:to>
      <xdr:col>2</xdr:col>
      <xdr:colOff>0</xdr:colOff>
      <xdr:row>288</xdr:row>
      <xdr:rowOff>0</xdr:rowOff>
    </xdr:to>
    <xdr:sp>
      <xdr:nvSpPr>
        <xdr:cNvPr id="3062" name="Line 1018"/>
        <xdr:cNvSpPr>
          <a:spLocks/>
        </xdr:cNvSpPr>
      </xdr:nvSpPr>
      <xdr:spPr>
        <a:xfrm>
          <a:off x="28575" y="235077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288</xdr:row>
      <xdr:rowOff>0</xdr:rowOff>
    </xdr:from>
    <xdr:to>
      <xdr:col>2</xdr:col>
      <xdr:colOff>0</xdr:colOff>
      <xdr:row>288</xdr:row>
      <xdr:rowOff>0</xdr:rowOff>
    </xdr:to>
    <xdr:sp>
      <xdr:nvSpPr>
        <xdr:cNvPr id="3063" name="Line 1019"/>
        <xdr:cNvSpPr>
          <a:spLocks/>
        </xdr:cNvSpPr>
      </xdr:nvSpPr>
      <xdr:spPr>
        <a:xfrm>
          <a:off x="28575" y="2350770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359</xdr:row>
      <xdr:rowOff>0</xdr:rowOff>
    </xdr:from>
    <xdr:to>
      <xdr:col>2</xdr:col>
      <xdr:colOff>0</xdr:colOff>
      <xdr:row>359</xdr:row>
      <xdr:rowOff>0</xdr:rowOff>
    </xdr:to>
    <xdr:sp>
      <xdr:nvSpPr>
        <xdr:cNvPr id="3064" name="Line 1020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359</xdr:row>
      <xdr:rowOff>0</xdr:rowOff>
    </xdr:from>
    <xdr:to>
      <xdr:col>2</xdr:col>
      <xdr:colOff>0</xdr:colOff>
      <xdr:row>359</xdr:row>
      <xdr:rowOff>0</xdr:rowOff>
    </xdr:to>
    <xdr:sp>
      <xdr:nvSpPr>
        <xdr:cNvPr id="3065" name="Line 1021"/>
        <xdr:cNvSpPr>
          <a:spLocks/>
        </xdr:cNvSpPr>
      </xdr:nvSpPr>
      <xdr:spPr>
        <a:xfrm>
          <a:off x="28575" y="273462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066" name="Line 102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067" name="Line 102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068" name="Line 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547</xdr:row>
      <xdr:rowOff>0</xdr:rowOff>
    </xdr:from>
    <xdr:to>
      <xdr:col>2</xdr:col>
      <xdr:colOff>0</xdr:colOff>
      <xdr:row>547</xdr:row>
      <xdr:rowOff>0</xdr:rowOff>
    </xdr:to>
    <xdr:sp>
      <xdr:nvSpPr>
        <xdr:cNvPr id="3069" name="Line 1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547</xdr:row>
      <xdr:rowOff>0</xdr:rowOff>
    </xdr:from>
    <xdr:to>
      <xdr:col>2</xdr:col>
      <xdr:colOff>0</xdr:colOff>
      <xdr:row>547</xdr:row>
      <xdr:rowOff>0</xdr:rowOff>
    </xdr:to>
    <xdr:sp>
      <xdr:nvSpPr>
        <xdr:cNvPr id="3070" name="Line 2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547</xdr:row>
      <xdr:rowOff>0</xdr:rowOff>
    </xdr:from>
    <xdr:to>
      <xdr:col>2</xdr:col>
      <xdr:colOff>0</xdr:colOff>
      <xdr:row>547</xdr:row>
      <xdr:rowOff>0</xdr:rowOff>
    </xdr:to>
    <xdr:sp>
      <xdr:nvSpPr>
        <xdr:cNvPr id="3071" name="Line 3"/>
        <xdr:cNvSpPr>
          <a:spLocks/>
        </xdr:cNvSpPr>
      </xdr:nvSpPr>
      <xdr:spPr>
        <a:xfrm>
          <a:off x="28575" y="63769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588</xdr:row>
      <xdr:rowOff>0</xdr:rowOff>
    </xdr:from>
    <xdr:to>
      <xdr:col>2</xdr:col>
      <xdr:colOff>0</xdr:colOff>
      <xdr:row>588</xdr:row>
      <xdr:rowOff>0</xdr:rowOff>
    </xdr:to>
    <xdr:sp>
      <xdr:nvSpPr>
        <xdr:cNvPr id="3072" name="Line 4"/>
        <xdr:cNvSpPr>
          <a:spLocks/>
        </xdr:cNvSpPr>
      </xdr:nvSpPr>
      <xdr:spPr>
        <a:xfrm>
          <a:off x="28575" y="66836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588</xdr:row>
      <xdr:rowOff>0</xdr:rowOff>
    </xdr:from>
    <xdr:to>
      <xdr:col>2</xdr:col>
      <xdr:colOff>0</xdr:colOff>
      <xdr:row>588</xdr:row>
      <xdr:rowOff>0</xdr:rowOff>
    </xdr:to>
    <xdr:sp>
      <xdr:nvSpPr>
        <xdr:cNvPr id="3073" name="Line 5"/>
        <xdr:cNvSpPr>
          <a:spLocks/>
        </xdr:cNvSpPr>
      </xdr:nvSpPr>
      <xdr:spPr>
        <a:xfrm>
          <a:off x="28575" y="66836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588</xdr:row>
      <xdr:rowOff>0</xdr:rowOff>
    </xdr:from>
    <xdr:to>
      <xdr:col>2</xdr:col>
      <xdr:colOff>0</xdr:colOff>
      <xdr:row>588</xdr:row>
      <xdr:rowOff>0</xdr:rowOff>
    </xdr:to>
    <xdr:sp>
      <xdr:nvSpPr>
        <xdr:cNvPr id="3074" name="Line 6"/>
        <xdr:cNvSpPr>
          <a:spLocks/>
        </xdr:cNvSpPr>
      </xdr:nvSpPr>
      <xdr:spPr>
        <a:xfrm>
          <a:off x="28575" y="668369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28575</xdr:rowOff>
    </xdr:from>
    <xdr:to>
      <xdr:col>2</xdr:col>
      <xdr:colOff>0</xdr:colOff>
      <xdr:row>10</xdr:row>
      <xdr:rowOff>0</xdr:rowOff>
    </xdr:to>
    <xdr:sp>
      <xdr:nvSpPr>
        <xdr:cNvPr id="3075" name="Line 7"/>
        <xdr:cNvSpPr>
          <a:spLocks/>
        </xdr:cNvSpPr>
      </xdr:nvSpPr>
      <xdr:spPr>
        <a:xfrm>
          <a:off x="28575" y="895350"/>
          <a:ext cx="3048000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3076" name="Line 8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077" name="Line 9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3078" name="Line 10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3079" name="Line 11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080" name="Line 12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350</xdr:row>
      <xdr:rowOff>0</xdr:rowOff>
    </xdr:from>
    <xdr:to>
      <xdr:col>2</xdr:col>
      <xdr:colOff>0</xdr:colOff>
      <xdr:row>350</xdr:row>
      <xdr:rowOff>0</xdr:rowOff>
    </xdr:to>
    <xdr:sp>
      <xdr:nvSpPr>
        <xdr:cNvPr id="3081" name="Line 13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082" name="Line 14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3083" name="Line 15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3084" name="Line 16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350</xdr:row>
      <xdr:rowOff>0</xdr:rowOff>
    </xdr:from>
    <xdr:to>
      <xdr:col>2</xdr:col>
      <xdr:colOff>0</xdr:colOff>
      <xdr:row>350</xdr:row>
      <xdr:rowOff>0</xdr:rowOff>
    </xdr:to>
    <xdr:sp>
      <xdr:nvSpPr>
        <xdr:cNvPr id="3085" name="Line 17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350</xdr:row>
      <xdr:rowOff>0</xdr:rowOff>
    </xdr:from>
    <xdr:to>
      <xdr:col>2</xdr:col>
      <xdr:colOff>0</xdr:colOff>
      <xdr:row>350</xdr:row>
      <xdr:rowOff>0</xdr:rowOff>
    </xdr:to>
    <xdr:sp>
      <xdr:nvSpPr>
        <xdr:cNvPr id="3086" name="Line 18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087" name="Line 1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088" name="Line 2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089" name="Line 2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090" name="Line 2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091" name="Line 2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092" name="Line 2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093" name="Line 2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094" name="Line 2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095" name="Line 2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28575</xdr:rowOff>
    </xdr:from>
    <xdr:to>
      <xdr:col>2</xdr:col>
      <xdr:colOff>0</xdr:colOff>
      <xdr:row>10</xdr:row>
      <xdr:rowOff>0</xdr:rowOff>
    </xdr:to>
    <xdr:sp>
      <xdr:nvSpPr>
        <xdr:cNvPr id="3096" name="Line 28"/>
        <xdr:cNvSpPr>
          <a:spLocks/>
        </xdr:cNvSpPr>
      </xdr:nvSpPr>
      <xdr:spPr>
        <a:xfrm>
          <a:off x="28575" y="895350"/>
          <a:ext cx="3048000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3097" name="Line 29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098" name="Line 30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3099" name="Line 31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3100" name="Line 32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101" name="Line 33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350</xdr:row>
      <xdr:rowOff>0</xdr:rowOff>
    </xdr:from>
    <xdr:to>
      <xdr:col>2</xdr:col>
      <xdr:colOff>0</xdr:colOff>
      <xdr:row>350</xdr:row>
      <xdr:rowOff>0</xdr:rowOff>
    </xdr:to>
    <xdr:sp>
      <xdr:nvSpPr>
        <xdr:cNvPr id="3102" name="Line 34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103" name="Line 35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3104" name="Line 36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3105" name="Line 37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350</xdr:row>
      <xdr:rowOff>0</xdr:rowOff>
    </xdr:from>
    <xdr:to>
      <xdr:col>2</xdr:col>
      <xdr:colOff>0</xdr:colOff>
      <xdr:row>350</xdr:row>
      <xdr:rowOff>0</xdr:rowOff>
    </xdr:to>
    <xdr:sp>
      <xdr:nvSpPr>
        <xdr:cNvPr id="3106" name="Line 38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350</xdr:row>
      <xdr:rowOff>0</xdr:rowOff>
    </xdr:from>
    <xdr:to>
      <xdr:col>2</xdr:col>
      <xdr:colOff>0</xdr:colOff>
      <xdr:row>350</xdr:row>
      <xdr:rowOff>0</xdr:rowOff>
    </xdr:to>
    <xdr:sp>
      <xdr:nvSpPr>
        <xdr:cNvPr id="3107" name="Line 39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108" name="Line 4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109" name="Line 4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110" name="Line 4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111" name="Line 4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112" name="Line 4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113" name="Line 4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114" name="Line 4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115" name="Line 4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116" name="Line 4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28575</xdr:rowOff>
    </xdr:from>
    <xdr:to>
      <xdr:col>2</xdr:col>
      <xdr:colOff>0</xdr:colOff>
      <xdr:row>10</xdr:row>
      <xdr:rowOff>0</xdr:rowOff>
    </xdr:to>
    <xdr:sp>
      <xdr:nvSpPr>
        <xdr:cNvPr id="3117" name="Line 49"/>
        <xdr:cNvSpPr>
          <a:spLocks/>
        </xdr:cNvSpPr>
      </xdr:nvSpPr>
      <xdr:spPr>
        <a:xfrm>
          <a:off x="28575" y="895350"/>
          <a:ext cx="3048000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3118" name="Line 50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119" name="Line 51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3120" name="Line 52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3121" name="Line 53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122" name="Line 54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350</xdr:row>
      <xdr:rowOff>0</xdr:rowOff>
    </xdr:from>
    <xdr:to>
      <xdr:col>2</xdr:col>
      <xdr:colOff>0</xdr:colOff>
      <xdr:row>350</xdr:row>
      <xdr:rowOff>0</xdr:rowOff>
    </xdr:to>
    <xdr:sp>
      <xdr:nvSpPr>
        <xdr:cNvPr id="3123" name="Line 55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124" name="Line 56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3125" name="Line 57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3126" name="Line 58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350</xdr:row>
      <xdr:rowOff>0</xdr:rowOff>
    </xdr:from>
    <xdr:to>
      <xdr:col>2</xdr:col>
      <xdr:colOff>0</xdr:colOff>
      <xdr:row>350</xdr:row>
      <xdr:rowOff>0</xdr:rowOff>
    </xdr:to>
    <xdr:sp>
      <xdr:nvSpPr>
        <xdr:cNvPr id="3127" name="Line 59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350</xdr:row>
      <xdr:rowOff>0</xdr:rowOff>
    </xdr:from>
    <xdr:to>
      <xdr:col>2</xdr:col>
      <xdr:colOff>0</xdr:colOff>
      <xdr:row>350</xdr:row>
      <xdr:rowOff>0</xdr:rowOff>
    </xdr:to>
    <xdr:sp>
      <xdr:nvSpPr>
        <xdr:cNvPr id="3128" name="Line 60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129" name="Line 6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130" name="Line 6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131" name="Line 6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132" name="Line 6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133" name="Line 6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134" name="Line 6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135" name="Line 6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136" name="Line 6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137" name="Line 6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28575</xdr:rowOff>
    </xdr:from>
    <xdr:to>
      <xdr:col>2</xdr:col>
      <xdr:colOff>0</xdr:colOff>
      <xdr:row>10</xdr:row>
      <xdr:rowOff>0</xdr:rowOff>
    </xdr:to>
    <xdr:sp>
      <xdr:nvSpPr>
        <xdr:cNvPr id="3138" name="Line 70"/>
        <xdr:cNvSpPr>
          <a:spLocks/>
        </xdr:cNvSpPr>
      </xdr:nvSpPr>
      <xdr:spPr>
        <a:xfrm>
          <a:off x="28575" y="895350"/>
          <a:ext cx="3048000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3139" name="Line 71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140" name="Line 72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3141" name="Line 73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3142" name="Line 74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143" name="Line 75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350</xdr:row>
      <xdr:rowOff>0</xdr:rowOff>
    </xdr:from>
    <xdr:to>
      <xdr:col>2</xdr:col>
      <xdr:colOff>0</xdr:colOff>
      <xdr:row>350</xdr:row>
      <xdr:rowOff>0</xdr:rowOff>
    </xdr:to>
    <xdr:sp>
      <xdr:nvSpPr>
        <xdr:cNvPr id="3144" name="Line 76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145" name="Line 77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3146" name="Line 78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3147" name="Line 79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350</xdr:row>
      <xdr:rowOff>0</xdr:rowOff>
    </xdr:from>
    <xdr:to>
      <xdr:col>2</xdr:col>
      <xdr:colOff>0</xdr:colOff>
      <xdr:row>350</xdr:row>
      <xdr:rowOff>0</xdr:rowOff>
    </xdr:to>
    <xdr:sp>
      <xdr:nvSpPr>
        <xdr:cNvPr id="3148" name="Line 80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350</xdr:row>
      <xdr:rowOff>0</xdr:rowOff>
    </xdr:from>
    <xdr:to>
      <xdr:col>2</xdr:col>
      <xdr:colOff>0</xdr:colOff>
      <xdr:row>350</xdr:row>
      <xdr:rowOff>0</xdr:rowOff>
    </xdr:to>
    <xdr:sp>
      <xdr:nvSpPr>
        <xdr:cNvPr id="3149" name="Line 81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150" name="Line 8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151" name="Line 8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152" name="Line 8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153" name="Line 8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154" name="Line 8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155" name="Line 8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156" name="Line 8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157" name="Line 8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158" name="Line 9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28575</xdr:rowOff>
    </xdr:from>
    <xdr:to>
      <xdr:col>2</xdr:col>
      <xdr:colOff>0</xdr:colOff>
      <xdr:row>10</xdr:row>
      <xdr:rowOff>0</xdr:rowOff>
    </xdr:to>
    <xdr:sp>
      <xdr:nvSpPr>
        <xdr:cNvPr id="3159" name="Line 91"/>
        <xdr:cNvSpPr>
          <a:spLocks/>
        </xdr:cNvSpPr>
      </xdr:nvSpPr>
      <xdr:spPr>
        <a:xfrm>
          <a:off x="28575" y="895350"/>
          <a:ext cx="3048000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3160" name="Line 92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161" name="Line 93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68</xdr:row>
      <xdr:rowOff>0</xdr:rowOff>
    </xdr:from>
    <xdr:to>
      <xdr:col>2</xdr:col>
      <xdr:colOff>0</xdr:colOff>
      <xdr:row>68</xdr:row>
      <xdr:rowOff>0</xdr:rowOff>
    </xdr:to>
    <xdr:sp>
      <xdr:nvSpPr>
        <xdr:cNvPr id="3162" name="Line 94"/>
        <xdr:cNvSpPr>
          <a:spLocks/>
        </xdr:cNvSpPr>
      </xdr:nvSpPr>
      <xdr:spPr>
        <a:xfrm>
          <a:off x="28575" y="59912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3163" name="Line 95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164" name="Line 96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350</xdr:row>
      <xdr:rowOff>0</xdr:rowOff>
    </xdr:from>
    <xdr:to>
      <xdr:col>2</xdr:col>
      <xdr:colOff>0</xdr:colOff>
      <xdr:row>350</xdr:row>
      <xdr:rowOff>0</xdr:rowOff>
    </xdr:to>
    <xdr:sp>
      <xdr:nvSpPr>
        <xdr:cNvPr id="3165" name="Line 97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0</xdr:rowOff>
    </xdr:from>
    <xdr:to>
      <xdr:col>2</xdr:col>
      <xdr:colOff>0</xdr:colOff>
      <xdr:row>40</xdr:row>
      <xdr:rowOff>0</xdr:rowOff>
    </xdr:to>
    <xdr:sp>
      <xdr:nvSpPr>
        <xdr:cNvPr id="3166" name="Line 98"/>
        <xdr:cNvSpPr>
          <a:spLocks/>
        </xdr:cNvSpPr>
      </xdr:nvSpPr>
      <xdr:spPr>
        <a:xfrm>
          <a:off x="28575" y="50768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3167" name="Line 99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137</xdr:row>
      <xdr:rowOff>0</xdr:rowOff>
    </xdr:from>
    <xdr:to>
      <xdr:col>2</xdr:col>
      <xdr:colOff>0</xdr:colOff>
      <xdr:row>137</xdr:row>
      <xdr:rowOff>0</xdr:rowOff>
    </xdr:to>
    <xdr:sp>
      <xdr:nvSpPr>
        <xdr:cNvPr id="3168" name="Line 100"/>
        <xdr:cNvSpPr>
          <a:spLocks/>
        </xdr:cNvSpPr>
      </xdr:nvSpPr>
      <xdr:spPr>
        <a:xfrm>
          <a:off x="28575" y="66960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350</xdr:row>
      <xdr:rowOff>0</xdr:rowOff>
    </xdr:from>
    <xdr:to>
      <xdr:col>2</xdr:col>
      <xdr:colOff>0</xdr:colOff>
      <xdr:row>350</xdr:row>
      <xdr:rowOff>0</xdr:rowOff>
    </xdr:to>
    <xdr:sp>
      <xdr:nvSpPr>
        <xdr:cNvPr id="3169" name="Line 101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350</xdr:row>
      <xdr:rowOff>0</xdr:rowOff>
    </xdr:from>
    <xdr:to>
      <xdr:col>2</xdr:col>
      <xdr:colOff>0</xdr:colOff>
      <xdr:row>350</xdr:row>
      <xdr:rowOff>0</xdr:rowOff>
    </xdr:to>
    <xdr:sp>
      <xdr:nvSpPr>
        <xdr:cNvPr id="3170" name="Line 102"/>
        <xdr:cNvSpPr>
          <a:spLocks/>
        </xdr:cNvSpPr>
      </xdr:nvSpPr>
      <xdr:spPr>
        <a:xfrm>
          <a:off x="28575" y="261937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171" name="Line 10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172" name="Line 10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173" name="Line 10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174" name="Line 10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175" name="Line 10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176" name="Line 10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177" name="Line 10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178" name="Line 11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179" name="Line 11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28575</xdr:rowOff>
    </xdr:from>
    <xdr:to>
      <xdr:col>2</xdr:col>
      <xdr:colOff>0</xdr:colOff>
      <xdr:row>10</xdr:row>
      <xdr:rowOff>0</xdr:rowOff>
    </xdr:to>
    <xdr:sp>
      <xdr:nvSpPr>
        <xdr:cNvPr id="3180" name="Line 112"/>
        <xdr:cNvSpPr>
          <a:spLocks/>
        </xdr:cNvSpPr>
      </xdr:nvSpPr>
      <xdr:spPr>
        <a:xfrm>
          <a:off x="28575" y="895350"/>
          <a:ext cx="3048000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3181" name="Line 113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182" name="Line 114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3183" name="Line 115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184" name="Line 11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185" name="Line 117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846</xdr:row>
      <xdr:rowOff>0</xdr:rowOff>
    </xdr:from>
    <xdr:to>
      <xdr:col>2</xdr:col>
      <xdr:colOff>0</xdr:colOff>
      <xdr:row>846</xdr:row>
      <xdr:rowOff>0</xdr:rowOff>
    </xdr:to>
    <xdr:sp>
      <xdr:nvSpPr>
        <xdr:cNvPr id="3186" name="Line 118"/>
        <xdr:cNvSpPr>
          <a:spLocks/>
        </xdr:cNvSpPr>
      </xdr:nvSpPr>
      <xdr:spPr>
        <a:xfrm>
          <a:off x="28575" y="86877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187" name="Line 119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188" name="Line 12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189" name="Line 12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846</xdr:row>
      <xdr:rowOff>0</xdr:rowOff>
    </xdr:from>
    <xdr:to>
      <xdr:col>2</xdr:col>
      <xdr:colOff>0</xdr:colOff>
      <xdr:row>846</xdr:row>
      <xdr:rowOff>0</xdr:rowOff>
    </xdr:to>
    <xdr:sp>
      <xdr:nvSpPr>
        <xdr:cNvPr id="3190" name="Line 122"/>
        <xdr:cNvSpPr>
          <a:spLocks/>
        </xdr:cNvSpPr>
      </xdr:nvSpPr>
      <xdr:spPr>
        <a:xfrm>
          <a:off x="28575" y="86877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846</xdr:row>
      <xdr:rowOff>0</xdr:rowOff>
    </xdr:from>
    <xdr:to>
      <xdr:col>2</xdr:col>
      <xdr:colOff>0</xdr:colOff>
      <xdr:row>846</xdr:row>
      <xdr:rowOff>0</xdr:rowOff>
    </xdr:to>
    <xdr:sp>
      <xdr:nvSpPr>
        <xdr:cNvPr id="3191" name="Line 123"/>
        <xdr:cNvSpPr>
          <a:spLocks/>
        </xdr:cNvSpPr>
      </xdr:nvSpPr>
      <xdr:spPr>
        <a:xfrm>
          <a:off x="28575" y="86877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852</xdr:row>
      <xdr:rowOff>0</xdr:rowOff>
    </xdr:from>
    <xdr:to>
      <xdr:col>2</xdr:col>
      <xdr:colOff>0</xdr:colOff>
      <xdr:row>852</xdr:row>
      <xdr:rowOff>0</xdr:rowOff>
    </xdr:to>
    <xdr:sp>
      <xdr:nvSpPr>
        <xdr:cNvPr id="3192" name="Line 124"/>
        <xdr:cNvSpPr>
          <a:spLocks/>
        </xdr:cNvSpPr>
      </xdr:nvSpPr>
      <xdr:spPr>
        <a:xfrm>
          <a:off x="28575" y="87106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852</xdr:row>
      <xdr:rowOff>0</xdr:rowOff>
    </xdr:from>
    <xdr:to>
      <xdr:col>2</xdr:col>
      <xdr:colOff>0</xdr:colOff>
      <xdr:row>852</xdr:row>
      <xdr:rowOff>0</xdr:rowOff>
    </xdr:to>
    <xdr:sp>
      <xdr:nvSpPr>
        <xdr:cNvPr id="3193" name="Line 125"/>
        <xdr:cNvSpPr>
          <a:spLocks/>
        </xdr:cNvSpPr>
      </xdr:nvSpPr>
      <xdr:spPr>
        <a:xfrm>
          <a:off x="28575" y="87106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852</xdr:row>
      <xdr:rowOff>0</xdr:rowOff>
    </xdr:from>
    <xdr:to>
      <xdr:col>2</xdr:col>
      <xdr:colOff>0</xdr:colOff>
      <xdr:row>852</xdr:row>
      <xdr:rowOff>0</xdr:rowOff>
    </xdr:to>
    <xdr:sp>
      <xdr:nvSpPr>
        <xdr:cNvPr id="3194" name="Line 126"/>
        <xdr:cNvSpPr>
          <a:spLocks/>
        </xdr:cNvSpPr>
      </xdr:nvSpPr>
      <xdr:spPr>
        <a:xfrm>
          <a:off x="28575" y="87106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195" name="Line 127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196" name="Line 128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197" name="Line 129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198" name="Line 130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199" name="Line 131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200" name="Line 132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28575</xdr:rowOff>
    </xdr:from>
    <xdr:to>
      <xdr:col>2</xdr:col>
      <xdr:colOff>0</xdr:colOff>
      <xdr:row>10</xdr:row>
      <xdr:rowOff>0</xdr:rowOff>
    </xdr:to>
    <xdr:sp>
      <xdr:nvSpPr>
        <xdr:cNvPr id="3201" name="Line 133"/>
        <xdr:cNvSpPr>
          <a:spLocks/>
        </xdr:cNvSpPr>
      </xdr:nvSpPr>
      <xdr:spPr>
        <a:xfrm>
          <a:off x="28575" y="895350"/>
          <a:ext cx="3048000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3202" name="Line 134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203" name="Line 135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3204" name="Line 136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205" name="Line 13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206" name="Line 138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846</xdr:row>
      <xdr:rowOff>0</xdr:rowOff>
    </xdr:from>
    <xdr:to>
      <xdr:col>2</xdr:col>
      <xdr:colOff>0</xdr:colOff>
      <xdr:row>846</xdr:row>
      <xdr:rowOff>0</xdr:rowOff>
    </xdr:to>
    <xdr:sp>
      <xdr:nvSpPr>
        <xdr:cNvPr id="3207" name="Line 139"/>
        <xdr:cNvSpPr>
          <a:spLocks/>
        </xdr:cNvSpPr>
      </xdr:nvSpPr>
      <xdr:spPr>
        <a:xfrm>
          <a:off x="28575" y="86877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208" name="Line 140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209" name="Line 14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210" name="Line 14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846</xdr:row>
      <xdr:rowOff>0</xdr:rowOff>
    </xdr:from>
    <xdr:to>
      <xdr:col>2</xdr:col>
      <xdr:colOff>0</xdr:colOff>
      <xdr:row>846</xdr:row>
      <xdr:rowOff>0</xdr:rowOff>
    </xdr:to>
    <xdr:sp>
      <xdr:nvSpPr>
        <xdr:cNvPr id="3211" name="Line 143"/>
        <xdr:cNvSpPr>
          <a:spLocks/>
        </xdr:cNvSpPr>
      </xdr:nvSpPr>
      <xdr:spPr>
        <a:xfrm>
          <a:off x="28575" y="86877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846</xdr:row>
      <xdr:rowOff>0</xdr:rowOff>
    </xdr:from>
    <xdr:to>
      <xdr:col>2</xdr:col>
      <xdr:colOff>0</xdr:colOff>
      <xdr:row>846</xdr:row>
      <xdr:rowOff>0</xdr:rowOff>
    </xdr:to>
    <xdr:sp>
      <xdr:nvSpPr>
        <xdr:cNvPr id="3212" name="Line 144"/>
        <xdr:cNvSpPr>
          <a:spLocks/>
        </xdr:cNvSpPr>
      </xdr:nvSpPr>
      <xdr:spPr>
        <a:xfrm>
          <a:off x="28575" y="86877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852</xdr:row>
      <xdr:rowOff>0</xdr:rowOff>
    </xdr:from>
    <xdr:to>
      <xdr:col>2</xdr:col>
      <xdr:colOff>0</xdr:colOff>
      <xdr:row>852</xdr:row>
      <xdr:rowOff>0</xdr:rowOff>
    </xdr:to>
    <xdr:sp>
      <xdr:nvSpPr>
        <xdr:cNvPr id="3213" name="Line 145"/>
        <xdr:cNvSpPr>
          <a:spLocks/>
        </xdr:cNvSpPr>
      </xdr:nvSpPr>
      <xdr:spPr>
        <a:xfrm>
          <a:off x="28575" y="87106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852</xdr:row>
      <xdr:rowOff>0</xdr:rowOff>
    </xdr:from>
    <xdr:to>
      <xdr:col>2</xdr:col>
      <xdr:colOff>0</xdr:colOff>
      <xdr:row>852</xdr:row>
      <xdr:rowOff>0</xdr:rowOff>
    </xdr:to>
    <xdr:sp>
      <xdr:nvSpPr>
        <xdr:cNvPr id="3214" name="Line 146"/>
        <xdr:cNvSpPr>
          <a:spLocks/>
        </xdr:cNvSpPr>
      </xdr:nvSpPr>
      <xdr:spPr>
        <a:xfrm>
          <a:off x="28575" y="87106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852</xdr:row>
      <xdr:rowOff>0</xdr:rowOff>
    </xdr:from>
    <xdr:to>
      <xdr:col>2</xdr:col>
      <xdr:colOff>0</xdr:colOff>
      <xdr:row>852</xdr:row>
      <xdr:rowOff>0</xdr:rowOff>
    </xdr:to>
    <xdr:sp>
      <xdr:nvSpPr>
        <xdr:cNvPr id="3215" name="Line 147"/>
        <xdr:cNvSpPr>
          <a:spLocks/>
        </xdr:cNvSpPr>
      </xdr:nvSpPr>
      <xdr:spPr>
        <a:xfrm>
          <a:off x="28575" y="87106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216" name="Line 148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217" name="Line 149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218" name="Line 150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219" name="Line 151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220" name="Line 152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221" name="Line 153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</xdr:row>
      <xdr:rowOff>28575</xdr:rowOff>
    </xdr:from>
    <xdr:to>
      <xdr:col>2</xdr:col>
      <xdr:colOff>0</xdr:colOff>
      <xdr:row>10</xdr:row>
      <xdr:rowOff>0</xdr:rowOff>
    </xdr:to>
    <xdr:sp>
      <xdr:nvSpPr>
        <xdr:cNvPr id="3222" name="Line 154"/>
        <xdr:cNvSpPr>
          <a:spLocks/>
        </xdr:cNvSpPr>
      </xdr:nvSpPr>
      <xdr:spPr>
        <a:xfrm>
          <a:off x="28575" y="895350"/>
          <a:ext cx="3048000" cy="1038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3223" name="Line 155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224" name="Line 156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3225" name="Line 157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226" name="Line 15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227" name="Line 159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846</xdr:row>
      <xdr:rowOff>0</xdr:rowOff>
    </xdr:from>
    <xdr:to>
      <xdr:col>2</xdr:col>
      <xdr:colOff>0</xdr:colOff>
      <xdr:row>846</xdr:row>
      <xdr:rowOff>0</xdr:rowOff>
    </xdr:to>
    <xdr:sp>
      <xdr:nvSpPr>
        <xdr:cNvPr id="3228" name="Line 160"/>
        <xdr:cNvSpPr>
          <a:spLocks/>
        </xdr:cNvSpPr>
      </xdr:nvSpPr>
      <xdr:spPr>
        <a:xfrm>
          <a:off x="28575" y="86877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229" name="Line 161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230" name="Line 16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231" name="Line 16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846</xdr:row>
      <xdr:rowOff>0</xdr:rowOff>
    </xdr:from>
    <xdr:to>
      <xdr:col>2</xdr:col>
      <xdr:colOff>0</xdr:colOff>
      <xdr:row>846</xdr:row>
      <xdr:rowOff>0</xdr:rowOff>
    </xdr:to>
    <xdr:sp>
      <xdr:nvSpPr>
        <xdr:cNvPr id="3232" name="Line 164"/>
        <xdr:cNvSpPr>
          <a:spLocks/>
        </xdr:cNvSpPr>
      </xdr:nvSpPr>
      <xdr:spPr>
        <a:xfrm>
          <a:off x="28575" y="86877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846</xdr:row>
      <xdr:rowOff>0</xdr:rowOff>
    </xdr:from>
    <xdr:to>
      <xdr:col>2</xdr:col>
      <xdr:colOff>0</xdr:colOff>
      <xdr:row>846</xdr:row>
      <xdr:rowOff>0</xdr:rowOff>
    </xdr:to>
    <xdr:sp>
      <xdr:nvSpPr>
        <xdr:cNvPr id="3233" name="Line 165"/>
        <xdr:cNvSpPr>
          <a:spLocks/>
        </xdr:cNvSpPr>
      </xdr:nvSpPr>
      <xdr:spPr>
        <a:xfrm>
          <a:off x="28575" y="86877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852</xdr:row>
      <xdr:rowOff>0</xdr:rowOff>
    </xdr:from>
    <xdr:to>
      <xdr:col>2</xdr:col>
      <xdr:colOff>0</xdr:colOff>
      <xdr:row>852</xdr:row>
      <xdr:rowOff>0</xdr:rowOff>
    </xdr:to>
    <xdr:sp>
      <xdr:nvSpPr>
        <xdr:cNvPr id="3234" name="Line 166"/>
        <xdr:cNvSpPr>
          <a:spLocks/>
        </xdr:cNvSpPr>
      </xdr:nvSpPr>
      <xdr:spPr>
        <a:xfrm>
          <a:off x="28575" y="87106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852</xdr:row>
      <xdr:rowOff>0</xdr:rowOff>
    </xdr:from>
    <xdr:to>
      <xdr:col>2</xdr:col>
      <xdr:colOff>0</xdr:colOff>
      <xdr:row>852</xdr:row>
      <xdr:rowOff>0</xdr:rowOff>
    </xdr:to>
    <xdr:sp>
      <xdr:nvSpPr>
        <xdr:cNvPr id="3235" name="Line 167"/>
        <xdr:cNvSpPr>
          <a:spLocks/>
        </xdr:cNvSpPr>
      </xdr:nvSpPr>
      <xdr:spPr>
        <a:xfrm>
          <a:off x="28575" y="87106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852</xdr:row>
      <xdr:rowOff>0</xdr:rowOff>
    </xdr:from>
    <xdr:to>
      <xdr:col>2</xdr:col>
      <xdr:colOff>0</xdr:colOff>
      <xdr:row>852</xdr:row>
      <xdr:rowOff>0</xdr:rowOff>
    </xdr:to>
    <xdr:sp>
      <xdr:nvSpPr>
        <xdr:cNvPr id="3236" name="Line 168"/>
        <xdr:cNvSpPr>
          <a:spLocks/>
        </xdr:cNvSpPr>
      </xdr:nvSpPr>
      <xdr:spPr>
        <a:xfrm>
          <a:off x="28575" y="87106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237" name="Line 169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238" name="Line 170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239" name="Line 171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240" name="Line 172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241" name="Line 173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242" name="Line 174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3243" name="Line 176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244" name="Line 177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3245" name="Line 178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246" name="Line 17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247" name="Line 180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846</xdr:row>
      <xdr:rowOff>0</xdr:rowOff>
    </xdr:from>
    <xdr:to>
      <xdr:col>2</xdr:col>
      <xdr:colOff>0</xdr:colOff>
      <xdr:row>846</xdr:row>
      <xdr:rowOff>0</xdr:rowOff>
    </xdr:to>
    <xdr:sp>
      <xdr:nvSpPr>
        <xdr:cNvPr id="3248" name="Line 181"/>
        <xdr:cNvSpPr>
          <a:spLocks/>
        </xdr:cNvSpPr>
      </xdr:nvSpPr>
      <xdr:spPr>
        <a:xfrm>
          <a:off x="28575" y="86877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249" name="Line 182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250" name="Line 18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251" name="Line 18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846</xdr:row>
      <xdr:rowOff>0</xdr:rowOff>
    </xdr:from>
    <xdr:to>
      <xdr:col>2</xdr:col>
      <xdr:colOff>0</xdr:colOff>
      <xdr:row>846</xdr:row>
      <xdr:rowOff>0</xdr:rowOff>
    </xdr:to>
    <xdr:sp>
      <xdr:nvSpPr>
        <xdr:cNvPr id="3252" name="Line 185"/>
        <xdr:cNvSpPr>
          <a:spLocks/>
        </xdr:cNvSpPr>
      </xdr:nvSpPr>
      <xdr:spPr>
        <a:xfrm>
          <a:off x="28575" y="86877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846</xdr:row>
      <xdr:rowOff>0</xdr:rowOff>
    </xdr:from>
    <xdr:to>
      <xdr:col>2</xdr:col>
      <xdr:colOff>0</xdr:colOff>
      <xdr:row>846</xdr:row>
      <xdr:rowOff>0</xdr:rowOff>
    </xdr:to>
    <xdr:sp>
      <xdr:nvSpPr>
        <xdr:cNvPr id="3253" name="Line 186"/>
        <xdr:cNvSpPr>
          <a:spLocks/>
        </xdr:cNvSpPr>
      </xdr:nvSpPr>
      <xdr:spPr>
        <a:xfrm>
          <a:off x="28575" y="86877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852</xdr:row>
      <xdr:rowOff>0</xdr:rowOff>
    </xdr:from>
    <xdr:to>
      <xdr:col>2</xdr:col>
      <xdr:colOff>0</xdr:colOff>
      <xdr:row>852</xdr:row>
      <xdr:rowOff>0</xdr:rowOff>
    </xdr:to>
    <xdr:sp>
      <xdr:nvSpPr>
        <xdr:cNvPr id="3254" name="Line 187"/>
        <xdr:cNvSpPr>
          <a:spLocks/>
        </xdr:cNvSpPr>
      </xdr:nvSpPr>
      <xdr:spPr>
        <a:xfrm>
          <a:off x="28575" y="87106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852</xdr:row>
      <xdr:rowOff>0</xdr:rowOff>
    </xdr:from>
    <xdr:to>
      <xdr:col>2</xdr:col>
      <xdr:colOff>0</xdr:colOff>
      <xdr:row>852</xdr:row>
      <xdr:rowOff>0</xdr:rowOff>
    </xdr:to>
    <xdr:sp>
      <xdr:nvSpPr>
        <xdr:cNvPr id="3255" name="Line 188"/>
        <xdr:cNvSpPr>
          <a:spLocks/>
        </xdr:cNvSpPr>
      </xdr:nvSpPr>
      <xdr:spPr>
        <a:xfrm>
          <a:off x="28575" y="87106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852</xdr:row>
      <xdr:rowOff>0</xdr:rowOff>
    </xdr:from>
    <xdr:to>
      <xdr:col>2</xdr:col>
      <xdr:colOff>0</xdr:colOff>
      <xdr:row>852</xdr:row>
      <xdr:rowOff>0</xdr:rowOff>
    </xdr:to>
    <xdr:sp>
      <xdr:nvSpPr>
        <xdr:cNvPr id="3256" name="Line 189"/>
        <xdr:cNvSpPr>
          <a:spLocks/>
        </xdr:cNvSpPr>
      </xdr:nvSpPr>
      <xdr:spPr>
        <a:xfrm>
          <a:off x="28575" y="87106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257" name="Line 190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258" name="Line 191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259" name="Line 192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260" name="Line 193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261" name="Line 194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262" name="Line 195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3263" name="Line 197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264" name="Line 198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149</xdr:row>
      <xdr:rowOff>0</xdr:rowOff>
    </xdr:from>
    <xdr:to>
      <xdr:col>2</xdr:col>
      <xdr:colOff>0</xdr:colOff>
      <xdr:row>149</xdr:row>
      <xdr:rowOff>0</xdr:rowOff>
    </xdr:to>
    <xdr:sp>
      <xdr:nvSpPr>
        <xdr:cNvPr id="3265" name="Line 199"/>
        <xdr:cNvSpPr>
          <a:spLocks/>
        </xdr:cNvSpPr>
      </xdr:nvSpPr>
      <xdr:spPr>
        <a:xfrm>
          <a:off x="28575" y="73818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266" name="Line 20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267" name="Line 201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846</xdr:row>
      <xdr:rowOff>0</xdr:rowOff>
    </xdr:from>
    <xdr:to>
      <xdr:col>2</xdr:col>
      <xdr:colOff>0</xdr:colOff>
      <xdr:row>846</xdr:row>
      <xdr:rowOff>0</xdr:rowOff>
    </xdr:to>
    <xdr:sp>
      <xdr:nvSpPr>
        <xdr:cNvPr id="3268" name="Line 202"/>
        <xdr:cNvSpPr>
          <a:spLocks/>
        </xdr:cNvSpPr>
      </xdr:nvSpPr>
      <xdr:spPr>
        <a:xfrm>
          <a:off x="28575" y="86877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46</xdr:row>
      <xdr:rowOff>0</xdr:rowOff>
    </xdr:from>
    <xdr:to>
      <xdr:col>2</xdr:col>
      <xdr:colOff>0</xdr:colOff>
      <xdr:row>46</xdr:row>
      <xdr:rowOff>0</xdr:rowOff>
    </xdr:to>
    <xdr:sp>
      <xdr:nvSpPr>
        <xdr:cNvPr id="3269" name="Line 203"/>
        <xdr:cNvSpPr>
          <a:spLocks/>
        </xdr:cNvSpPr>
      </xdr:nvSpPr>
      <xdr:spPr>
        <a:xfrm>
          <a:off x="28575" y="55340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270" name="Line 20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271" name="Line 20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846</xdr:row>
      <xdr:rowOff>0</xdr:rowOff>
    </xdr:from>
    <xdr:to>
      <xdr:col>2</xdr:col>
      <xdr:colOff>0</xdr:colOff>
      <xdr:row>846</xdr:row>
      <xdr:rowOff>0</xdr:rowOff>
    </xdr:to>
    <xdr:sp>
      <xdr:nvSpPr>
        <xdr:cNvPr id="3272" name="Line 206"/>
        <xdr:cNvSpPr>
          <a:spLocks/>
        </xdr:cNvSpPr>
      </xdr:nvSpPr>
      <xdr:spPr>
        <a:xfrm>
          <a:off x="28575" y="86877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846</xdr:row>
      <xdr:rowOff>0</xdr:rowOff>
    </xdr:from>
    <xdr:to>
      <xdr:col>2</xdr:col>
      <xdr:colOff>0</xdr:colOff>
      <xdr:row>846</xdr:row>
      <xdr:rowOff>0</xdr:rowOff>
    </xdr:to>
    <xdr:sp>
      <xdr:nvSpPr>
        <xdr:cNvPr id="3273" name="Line 207"/>
        <xdr:cNvSpPr>
          <a:spLocks/>
        </xdr:cNvSpPr>
      </xdr:nvSpPr>
      <xdr:spPr>
        <a:xfrm>
          <a:off x="28575" y="868775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852</xdr:row>
      <xdr:rowOff>0</xdr:rowOff>
    </xdr:from>
    <xdr:to>
      <xdr:col>2</xdr:col>
      <xdr:colOff>0</xdr:colOff>
      <xdr:row>852</xdr:row>
      <xdr:rowOff>0</xdr:rowOff>
    </xdr:to>
    <xdr:sp>
      <xdr:nvSpPr>
        <xdr:cNvPr id="3274" name="Line 208"/>
        <xdr:cNvSpPr>
          <a:spLocks/>
        </xdr:cNvSpPr>
      </xdr:nvSpPr>
      <xdr:spPr>
        <a:xfrm>
          <a:off x="28575" y="87106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852</xdr:row>
      <xdr:rowOff>0</xdr:rowOff>
    </xdr:from>
    <xdr:to>
      <xdr:col>2</xdr:col>
      <xdr:colOff>0</xdr:colOff>
      <xdr:row>852</xdr:row>
      <xdr:rowOff>0</xdr:rowOff>
    </xdr:to>
    <xdr:sp>
      <xdr:nvSpPr>
        <xdr:cNvPr id="3275" name="Line 209"/>
        <xdr:cNvSpPr>
          <a:spLocks/>
        </xdr:cNvSpPr>
      </xdr:nvSpPr>
      <xdr:spPr>
        <a:xfrm>
          <a:off x="28575" y="87106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852</xdr:row>
      <xdr:rowOff>0</xdr:rowOff>
    </xdr:from>
    <xdr:to>
      <xdr:col>2</xdr:col>
      <xdr:colOff>0</xdr:colOff>
      <xdr:row>852</xdr:row>
      <xdr:rowOff>0</xdr:rowOff>
    </xdr:to>
    <xdr:sp>
      <xdr:nvSpPr>
        <xdr:cNvPr id="3276" name="Line 210"/>
        <xdr:cNvSpPr>
          <a:spLocks/>
        </xdr:cNvSpPr>
      </xdr:nvSpPr>
      <xdr:spPr>
        <a:xfrm>
          <a:off x="28575" y="871061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277" name="Line 211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278" name="Line 212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279" name="Line 213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280" name="Line 214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281" name="Line 215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282" name="Line 216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283" name="Line 217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284" name="Line 218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285" name="Line 219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286" name="Line 220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287" name="Line 221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288" name="Line 222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289" name="Line 223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290" name="Line 224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291" name="Line 225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292" name="Line 226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293" name="Line 227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294" name="Line 228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295" name="Line 229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296" name="Line 230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870</xdr:row>
      <xdr:rowOff>0</xdr:rowOff>
    </xdr:from>
    <xdr:to>
      <xdr:col>2</xdr:col>
      <xdr:colOff>0</xdr:colOff>
      <xdr:row>870</xdr:row>
      <xdr:rowOff>0</xdr:rowOff>
    </xdr:to>
    <xdr:sp>
      <xdr:nvSpPr>
        <xdr:cNvPr id="3297" name="Line 231"/>
        <xdr:cNvSpPr>
          <a:spLocks/>
        </xdr:cNvSpPr>
      </xdr:nvSpPr>
      <xdr:spPr>
        <a:xfrm>
          <a:off x="28575" y="9023032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298" name="Line 23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299" name="Line 23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00" name="Line 23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01" name="Line 23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02" name="Line 23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03" name="Line 23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04" name="Line 23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05" name="Line 23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06" name="Line 24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07" name="Line 24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08" name="Line 24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09" name="Line 24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10" name="Line 24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11" name="Line 24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12" name="Line 24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13" name="Line 24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14" name="Line 24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15" name="Line 24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16" name="Line 25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17" name="Line 25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18" name="Line 25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19" name="Line 25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20" name="Line 25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21" name="Line 25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22" name="Line 25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23" name="Line 25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24" name="Line 25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25" name="Line 25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26" name="Line 26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27" name="Line 26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28" name="Line 26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29" name="Line 26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30" name="Line 26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31" name="Line 26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32" name="Line 26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33" name="Line 26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34" name="Line 268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35" name="Line 269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36" name="Line 270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37" name="Line 271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3338" name="Line 272"/>
        <xdr:cNvSpPr>
          <a:spLocks/>
        </xdr:cNvSpPr>
      </xdr:nvSpPr>
      <xdr:spPr>
        <a:xfrm>
          <a:off x="28575" y="336232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3339" name="Line 273"/>
        <xdr:cNvSpPr>
          <a:spLocks/>
        </xdr:cNvSpPr>
      </xdr:nvSpPr>
      <xdr:spPr>
        <a:xfrm>
          <a:off x="28575" y="336232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3340" name="Line 274"/>
        <xdr:cNvSpPr>
          <a:spLocks/>
        </xdr:cNvSpPr>
      </xdr:nvSpPr>
      <xdr:spPr>
        <a:xfrm>
          <a:off x="28575" y="336232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3341" name="Line 275"/>
        <xdr:cNvSpPr>
          <a:spLocks/>
        </xdr:cNvSpPr>
      </xdr:nvSpPr>
      <xdr:spPr>
        <a:xfrm>
          <a:off x="28575" y="336232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3342" name="Line 276"/>
        <xdr:cNvSpPr>
          <a:spLocks/>
        </xdr:cNvSpPr>
      </xdr:nvSpPr>
      <xdr:spPr>
        <a:xfrm>
          <a:off x="28575" y="336232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3343" name="Line 277"/>
        <xdr:cNvSpPr>
          <a:spLocks/>
        </xdr:cNvSpPr>
      </xdr:nvSpPr>
      <xdr:spPr>
        <a:xfrm>
          <a:off x="28575" y="336232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3344" name="Line 278"/>
        <xdr:cNvSpPr>
          <a:spLocks/>
        </xdr:cNvSpPr>
      </xdr:nvSpPr>
      <xdr:spPr>
        <a:xfrm>
          <a:off x="28575" y="336232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3345" name="Line 279"/>
        <xdr:cNvSpPr>
          <a:spLocks/>
        </xdr:cNvSpPr>
      </xdr:nvSpPr>
      <xdr:spPr>
        <a:xfrm>
          <a:off x="28575" y="336232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3346" name="Line 280"/>
        <xdr:cNvSpPr>
          <a:spLocks/>
        </xdr:cNvSpPr>
      </xdr:nvSpPr>
      <xdr:spPr>
        <a:xfrm>
          <a:off x="28575" y="336232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3347" name="Line 281"/>
        <xdr:cNvSpPr>
          <a:spLocks/>
        </xdr:cNvSpPr>
      </xdr:nvSpPr>
      <xdr:spPr>
        <a:xfrm>
          <a:off x="28575" y="336232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3348" name="Line 282"/>
        <xdr:cNvSpPr>
          <a:spLocks/>
        </xdr:cNvSpPr>
      </xdr:nvSpPr>
      <xdr:spPr>
        <a:xfrm>
          <a:off x="28575" y="336232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3349" name="Line 283"/>
        <xdr:cNvSpPr>
          <a:spLocks/>
        </xdr:cNvSpPr>
      </xdr:nvSpPr>
      <xdr:spPr>
        <a:xfrm>
          <a:off x="28575" y="336232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3350" name="Line 284"/>
        <xdr:cNvSpPr>
          <a:spLocks/>
        </xdr:cNvSpPr>
      </xdr:nvSpPr>
      <xdr:spPr>
        <a:xfrm>
          <a:off x="28575" y="336232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3351" name="Line 285"/>
        <xdr:cNvSpPr>
          <a:spLocks/>
        </xdr:cNvSpPr>
      </xdr:nvSpPr>
      <xdr:spPr>
        <a:xfrm>
          <a:off x="28575" y="336232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393</xdr:row>
      <xdr:rowOff>0</xdr:rowOff>
    </xdr:from>
    <xdr:to>
      <xdr:col>2</xdr:col>
      <xdr:colOff>0</xdr:colOff>
      <xdr:row>393</xdr:row>
      <xdr:rowOff>0</xdr:rowOff>
    </xdr:to>
    <xdr:sp>
      <xdr:nvSpPr>
        <xdr:cNvPr id="3352" name="Line 286"/>
        <xdr:cNvSpPr>
          <a:spLocks/>
        </xdr:cNvSpPr>
      </xdr:nvSpPr>
      <xdr:spPr>
        <a:xfrm>
          <a:off x="28575" y="336232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3353" name="Line 287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3354" name="Line 288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3355" name="Line 289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3356" name="Line 290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3357" name="Line 291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3358" name="Line 292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3359" name="Line 293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3360" name="Line 294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3361" name="Line 295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3362" name="Line 296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3363" name="Line 297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3364" name="Line 298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3365" name="Line 299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3366" name="Line 300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396</xdr:row>
      <xdr:rowOff>0</xdr:rowOff>
    </xdr:from>
    <xdr:to>
      <xdr:col>2</xdr:col>
      <xdr:colOff>0</xdr:colOff>
      <xdr:row>396</xdr:row>
      <xdr:rowOff>0</xdr:rowOff>
    </xdr:to>
    <xdr:sp>
      <xdr:nvSpPr>
        <xdr:cNvPr id="3367" name="Line 301"/>
        <xdr:cNvSpPr>
          <a:spLocks/>
        </xdr:cNvSpPr>
      </xdr:nvSpPr>
      <xdr:spPr>
        <a:xfrm>
          <a:off x="28575" y="34309050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68" name="Line 302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69" name="Line 303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70" name="Line 304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71" name="Line 305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72" name="Line 306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28575</xdr:colOff>
      <xdr:row>373</xdr:row>
      <xdr:rowOff>0</xdr:rowOff>
    </xdr:from>
    <xdr:to>
      <xdr:col>2</xdr:col>
      <xdr:colOff>0</xdr:colOff>
      <xdr:row>373</xdr:row>
      <xdr:rowOff>0</xdr:rowOff>
    </xdr:to>
    <xdr:sp>
      <xdr:nvSpPr>
        <xdr:cNvPr id="3373" name="Line 307"/>
        <xdr:cNvSpPr>
          <a:spLocks/>
        </xdr:cNvSpPr>
      </xdr:nvSpPr>
      <xdr:spPr>
        <a:xfrm>
          <a:off x="28575" y="28946475"/>
          <a:ext cx="3048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523875</xdr:colOff>
      <xdr:row>11</xdr:row>
      <xdr:rowOff>0</xdr:rowOff>
    </xdr:from>
    <xdr:to>
      <xdr:col>1</xdr:col>
      <xdr:colOff>523875</xdr:colOff>
      <xdr:row>11</xdr:row>
      <xdr:rowOff>0</xdr:rowOff>
    </xdr:to>
    <xdr:sp>
      <xdr:nvSpPr>
        <xdr:cNvPr id="1" name="Arc 1"/>
        <xdr:cNvSpPr>
          <a:spLocks/>
        </xdr:cNvSpPr>
      </xdr:nvSpPr>
      <xdr:spPr>
        <a:xfrm>
          <a:off x="1009650" y="237172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11</xdr:row>
      <xdr:rowOff>0</xdr:rowOff>
    </xdr:from>
    <xdr:to>
      <xdr:col>2</xdr:col>
      <xdr:colOff>0</xdr:colOff>
      <xdr:row>11</xdr:row>
      <xdr:rowOff>0</xdr:rowOff>
    </xdr:to>
    <xdr:sp>
      <xdr:nvSpPr>
        <xdr:cNvPr id="2" name="Rysowanie 11"/>
        <xdr:cNvSpPr>
          <a:spLocks/>
        </xdr:cNvSpPr>
      </xdr:nvSpPr>
      <xdr:spPr>
        <a:xfrm>
          <a:off x="1104900" y="237172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" name="AutoShape 3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" name="AutoShape 4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" name="AutoShape 5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" name="AutoShape 7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" name="AutoShape 8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" name="AutoShape 9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" name="AutoShape 11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" name="AutoShape 12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3" name="AutoShape 13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5" name="AutoShape 15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6" name="AutoShape 16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7" name="AutoShape 17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9" name="AutoShape 19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0" name="AutoShape 20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1" name="AutoShape 21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3" name="AutoShape 23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4" name="AutoShape 24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5" name="AutoShape 25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26" name="AutoShape 2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7" name="AutoShape 27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8" name="AutoShape 28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29" name="AutoShape 29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0" name="AutoShape 3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1" name="AutoShape 31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2" name="AutoShape 32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3" name="AutoShape 33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4" name="AutoShape 3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5" name="AutoShape 35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6" name="AutoShape 36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7" name="AutoShape 37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38" name="AutoShape 38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39" name="AutoShape 39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0" name="AutoShape 40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1" name="AutoShape 41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42" name="AutoShape 4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3" name="AutoShape 43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4" name="AutoShape 44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5" name="AutoShape 45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46" name="AutoShape 4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7" name="AutoShape 47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8" name="AutoShape 48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49" name="AutoShape 49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0" name="AutoShape 5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1" name="AutoShape 51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2" name="AutoShape 52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3" name="AutoShape 53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4" name="AutoShape 5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5" name="AutoShape 55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6" name="AutoShape 56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7" name="AutoShape 57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58" name="AutoShape 58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59" name="AutoShape 59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0" name="AutoShape 60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1" name="AutoShape 61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2" name="AutoShape 6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3" name="AutoShape 63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4" name="AutoShape 64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5" name="AutoShape 65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66" name="AutoShape 6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7" name="AutoShape 67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8" name="AutoShape 68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69" name="AutoShape 69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70" name="AutoShape 7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1" name="AutoShape 71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2" name="AutoShape 72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3" name="AutoShape 73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74" name="AutoShape 7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5" name="AutoShape 75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6" name="AutoShape 76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7" name="AutoShape 77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78" name="AutoShape 78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79" name="AutoShape 79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0" name="AutoShape 80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1" name="AutoShape 81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82" name="AutoShape 8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3" name="AutoShape 83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4" name="AutoShape 84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5" name="AutoShape 85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86" name="AutoShape 8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7" name="AutoShape 87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8" name="AutoShape 88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89" name="AutoShape 89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0" name="AutoShape 9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1" name="AutoShape 91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2" name="AutoShape 92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3" name="AutoShape 93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4" name="AutoShape 9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5" name="AutoShape 95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6" name="AutoShape 96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7" name="AutoShape 97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98" name="AutoShape 98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99" name="AutoShape 99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0" name="AutoShape 100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1" name="AutoShape 101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2" name="AutoShape 10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3" name="AutoShape 103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4" name="AutoShape 104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5" name="AutoShape 105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06" name="AutoShape 10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7" name="AutoShape 107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8" name="AutoShape 108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09" name="AutoShape 109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10" name="AutoShape 11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1" name="AutoShape 111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2" name="AutoShape 112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3" name="AutoShape 113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14" name="AutoShape 114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5" name="AutoShape 115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6" name="AutoShape 116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7" name="AutoShape 117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18" name="AutoShape 118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19" name="AutoShape 119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0" name="AutoShape 120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1" name="AutoShape 121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22" name="AutoShape 122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3" name="AutoShape 123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4" name="AutoShape 124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5" name="AutoShape 125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26" name="AutoShape 126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7" name="AutoShape 127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8" name="AutoShape 128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11</xdr:row>
      <xdr:rowOff>228600</xdr:rowOff>
    </xdr:from>
    <xdr:to>
      <xdr:col>1</xdr:col>
      <xdr:colOff>447675</xdr:colOff>
      <xdr:row>11</xdr:row>
      <xdr:rowOff>228600</xdr:rowOff>
    </xdr:to>
    <xdr:sp>
      <xdr:nvSpPr>
        <xdr:cNvPr id="129" name="AutoShape 129"/>
        <xdr:cNvSpPr>
          <a:spLocks/>
        </xdr:cNvSpPr>
      </xdr:nvSpPr>
      <xdr:spPr>
        <a:xfrm>
          <a:off x="933450" y="260032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447675</xdr:colOff>
      <xdr:row>12</xdr:row>
      <xdr:rowOff>0</xdr:rowOff>
    </xdr:from>
    <xdr:to>
      <xdr:col>1</xdr:col>
      <xdr:colOff>447675</xdr:colOff>
      <xdr:row>12</xdr:row>
      <xdr:rowOff>0</xdr:rowOff>
    </xdr:to>
    <xdr:sp>
      <xdr:nvSpPr>
        <xdr:cNvPr id="130" name="AutoShape 130"/>
        <xdr:cNvSpPr>
          <a:spLocks/>
        </xdr:cNvSpPr>
      </xdr:nvSpPr>
      <xdr:spPr>
        <a:xfrm>
          <a:off x="933450" y="2619375"/>
          <a:ext cx="0" cy="0"/>
        </a:xfrm>
        <a:custGeom>
          <a:pathLst>
            <a:path h="1" w="1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</a:path>
          </a:pathLst>
        </a:cu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12</xdr:row>
      <xdr:rowOff>0</xdr:rowOff>
    </xdr:from>
    <xdr:to>
      <xdr:col>1</xdr:col>
      <xdr:colOff>523875</xdr:colOff>
      <xdr:row>12</xdr:row>
      <xdr:rowOff>0</xdr:rowOff>
    </xdr:to>
    <xdr:sp>
      <xdr:nvSpPr>
        <xdr:cNvPr id="131" name="Arc 131"/>
        <xdr:cNvSpPr>
          <a:spLocks/>
        </xdr:cNvSpPr>
      </xdr:nvSpPr>
      <xdr:spPr>
        <a:xfrm>
          <a:off x="1009650" y="26193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32" name="Rysowanie 11"/>
        <xdr:cNvSpPr>
          <a:spLocks/>
        </xdr:cNvSpPr>
      </xdr:nvSpPr>
      <xdr:spPr>
        <a:xfrm>
          <a:off x="1104900" y="26193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12</xdr:row>
      <xdr:rowOff>0</xdr:rowOff>
    </xdr:from>
    <xdr:to>
      <xdr:col>1</xdr:col>
      <xdr:colOff>523875</xdr:colOff>
      <xdr:row>12</xdr:row>
      <xdr:rowOff>0</xdr:rowOff>
    </xdr:to>
    <xdr:sp>
      <xdr:nvSpPr>
        <xdr:cNvPr id="133" name="Arc 133"/>
        <xdr:cNvSpPr>
          <a:spLocks/>
        </xdr:cNvSpPr>
      </xdr:nvSpPr>
      <xdr:spPr>
        <a:xfrm>
          <a:off x="1009650" y="26193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34" name="Rysowanie 11"/>
        <xdr:cNvSpPr>
          <a:spLocks/>
        </xdr:cNvSpPr>
      </xdr:nvSpPr>
      <xdr:spPr>
        <a:xfrm>
          <a:off x="1104900" y="26193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523875</xdr:colOff>
      <xdr:row>12</xdr:row>
      <xdr:rowOff>0</xdr:rowOff>
    </xdr:from>
    <xdr:to>
      <xdr:col>1</xdr:col>
      <xdr:colOff>523875</xdr:colOff>
      <xdr:row>12</xdr:row>
      <xdr:rowOff>0</xdr:rowOff>
    </xdr:to>
    <xdr:sp>
      <xdr:nvSpPr>
        <xdr:cNvPr id="135" name="Arc 135"/>
        <xdr:cNvSpPr>
          <a:spLocks/>
        </xdr:cNvSpPr>
      </xdr:nvSpPr>
      <xdr:spPr>
        <a:xfrm>
          <a:off x="1009650" y="2619375"/>
          <a:ext cx="0" cy="0"/>
        </a:xfrm>
        <a:prstGeom prst="arc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12</xdr:row>
      <xdr:rowOff>0</xdr:rowOff>
    </xdr:from>
    <xdr:to>
      <xdr:col>2</xdr:col>
      <xdr:colOff>0</xdr:colOff>
      <xdr:row>12</xdr:row>
      <xdr:rowOff>0</xdr:rowOff>
    </xdr:to>
    <xdr:sp>
      <xdr:nvSpPr>
        <xdr:cNvPr id="136" name="Rysowanie 11"/>
        <xdr:cNvSpPr>
          <a:spLocks/>
        </xdr:cNvSpPr>
      </xdr:nvSpPr>
      <xdr:spPr>
        <a:xfrm>
          <a:off x="1104900" y="2619375"/>
          <a:ext cx="0" cy="0"/>
        </a:xfrm>
        <a:custGeom>
          <a:pathLst>
            <a:path h="16384" w="16384">
              <a:moveTo>
                <a:pt x="16384" y="188"/>
              </a:moveTo>
              <a:lnTo>
                <a:pt x="15056" y="188"/>
              </a:lnTo>
              <a:lnTo>
                <a:pt x="13727" y="0"/>
              </a:lnTo>
              <a:lnTo>
                <a:pt x="8413" y="0"/>
              </a:lnTo>
              <a:lnTo>
                <a:pt x="7528" y="565"/>
              </a:lnTo>
              <a:lnTo>
                <a:pt x="7085" y="1130"/>
              </a:lnTo>
              <a:lnTo>
                <a:pt x="7085" y="1695"/>
              </a:lnTo>
              <a:lnTo>
                <a:pt x="6642" y="2260"/>
              </a:lnTo>
              <a:lnTo>
                <a:pt x="6642" y="4520"/>
              </a:lnTo>
              <a:lnTo>
                <a:pt x="6199" y="5085"/>
              </a:lnTo>
              <a:lnTo>
                <a:pt x="5314" y="5650"/>
              </a:lnTo>
              <a:lnTo>
                <a:pt x="3985" y="5838"/>
              </a:lnTo>
              <a:lnTo>
                <a:pt x="2657" y="6215"/>
              </a:lnTo>
              <a:lnTo>
                <a:pt x="0" y="6591"/>
              </a:lnTo>
              <a:lnTo>
                <a:pt x="1328" y="6780"/>
              </a:lnTo>
              <a:lnTo>
                <a:pt x="2657" y="6780"/>
              </a:lnTo>
              <a:lnTo>
                <a:pt x="5314" y="7156"/>
              </a:lnTo>
              <a:lnTo>
                <a:pt x="6642" y="7533"/>
              </a:lnTo>
              <a:lnTo>
                <a:pt x="8413" y="8663"/>
              </a:lnTo>
              <a:lnTo>
                <a:pt x="8856" y="9228"/>
              </a:lnTo>
              <a:lnTo>
                <a:pt x="8856" y="10923"/>
              </a:lnTo>
              <a:lnTo>
                <a:pt x="8413" y="11488"/>
              </a:lnTo>
              <a:lnTo>
                <a:pt x="8413" y="12053"/>
              </a:lnTo>
              <a:lnTo>
                <a:pt x="7971" y="12618"/>
              </a:lnTo>
              <a:lnTo>
                <a:pt x="7971" y="14877"/>
              </a:lnTo>
              <a:lnTo>
                <a:pt x="9299" y="15442"/>
              </a:lnTo>
              <a:lnTo>
                <a:pt x="10627" y="15819"/>
              </a:lnTo>
              <a:lnTo>
                <a:pt x="11956" y="16007"/>
              </a:lnTo>
              <a:lnTo>
                <a:pt x="13284" y="16384"/>
              </a:lnTo>
              <a:lnTo>
                <a:pt x="15941" y="16384"/>
              </a:lnTo>
            </a:path>
          </a:pathLst>
        </a:cu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zoomScale="75" zoomScaleNormal="75" zoomScaleSheetLayoutView="75" workbookViewId="0" topLeftCell="A1">
      <selection activeCell="H8" sqref="H8"/>
    </sheetView>
  </sheetViews>
  <sheetFormatPr defaultColWidth="9.00390625" defaultRowHeight="12.75"/>
  <cols>
    <col min="1" max="1" width="6.625" style="1" customWidth="1"/>
    <col min="2" max="2" width="9.375" style="1" customWidth="1"/>
    <col min="3" max="3" width="67.625" style="1" customWidth="1"/>
    <col min="4" max="4" width="21.75390625" style="1" customWidth="1"/>
    <col min="5" max="5" width="14.625" style="1" hidden="1" customWidth="1"/>
    <col min="6" max="6" width="24.875" style="1" customWidth="1"/>
    <col min="7" max="7" width="21.375" style="1" customWidth="1"/>
    <col min="8" max="8" width="12.00390625" style="1" customWidth="1"/>
    <col min="9" max="9" width="11.125" style="1" customWidth="1"/>
    <col min="10" max="10" width="15.25390625" style="1" customWidth="1"/>
    <col min="11" max="16384" width="9.125" style="1" customWidth="1"/>
  </cols>
  <sheetData>
    <row r="1" spans="1:7" ht="15" customHeight="1">
      <c r="A1" s="1054"/>
      <c r="B1" s="1055"/>
      <c r="C1" s="1054"/>
      <c r="D1" s="1054"/>
      <c r="E1" s="1054"/>
      <c r="F1" s="1054" t="s">
        <v>794</v>
      </c>
      <c r="G1" s="1054"/>
    </row>
    <row r="2" spans="1:7" ht="15.75" customHeight="1">
      <c r="A2" s="1054"/>
      <c r="B2" s="1054"/>
      <c r="C2" s="1054"/>
      <c r="D2" s="1054"/>
      <c r="E2" s="1054"/>
      <c r="F2" s="1054" t="s">
        <v>870</v>
      </c>
      <c r="G2" s="1054"/>
    </row>
    <row r="3" spans="1:7" ht="17.25" customHeight="1">
      <c r="A3" s="1054"/>
      <c r="B3" s="1054"/>
      <c r="C3" s="1056" t="s">
        <v>534</v>
      </c>
      <c r="D3" s="1054"/>
      <c r="E3" s="1054"/>
      <c r="F3" s="1054" t="s">
        <v>1161</v>
      </c>
      <c r="G3" s="1054"/>
    </row>
    <row r="4" spans="1:7" ht="17.25" customHeight="1">
      <c r="A4" s="1054"/>
      <c r="B4" s="1054"/>
      <c r="C4" s="1054"/>
      <c r="D4" s="1054"/>
      <c r="E4" s="1054"/>
      <c r="F4" s="1054" t="s">
        <v>1345</v>
      </c>
      <c r="G4" s="1054"/>
    </row>
    <row r="5" spans="1:7" ht="17.25" customHeight="1" thickBot="1">
      <c r="A5" s="1054"/>
      <c r="B5" s="1054"/>
      <c r="C5" s="1054"/>
      <c r="D5" s="1054"/>
      <c r="E5" s="1054"/>
      <c r="F5" s="1054"/>
      <c r="G5" s="1057" t="s">
        <v>1163</v>
      </c>
    </row>
    <row r="6" spans="1:7" ht="88.5" customHeight="1" thickBot="1" thickTop="1">
      <c r="A6" s="1058" t="s">
        <v>1164</v>
      </c>
      <c r="B6" s="1058" t="s">
        <v>1165</v>
      </c>
      <c r="C6" s="91" t="s">
        <v>800</v>
      </c>
      <c r="D6" s="91" t="s">
        <v>533</v>
      </c>
      <c r="E6" s="91" t="s">
        <v>1168</v>
      </c>
      <c r="F6" s="1058" t="s">
        <v>500</v>
      </c>
      <c r="G6" s="91" t="s">
        <v>1169</v>
      </c>
    </row>
    <row r="7" spans="1:7" s="22" customFormat="1" ht="17.25" customHeight="1" thickBot="1" thickTop="1">
      <c r="A7" s="1059">
        <v>1</v>
      </c>
      <c r="B7" s="1059">
        <v>2</v>
      </c>
      <c r="C7" s="1059">
        <v>3</v>
      </c>
      <c r="D7" s="1059">
        <v>4</v>
      </c>
      <c r="E7" s="1059">
        <v>6</v>
      </c>
      <c r="F7" s="1059">
        <v>5</v>
      </c>
      <c r="G7" s="1059">
        <v>6</v>
      </c>
    </row>
    <row r="8" spans="1:10" ht="24" customHeight="1" thickBot="1" thickTop="1">
      <c r="A8" s="1060"/>
      <c r="B8" s="1060"/>
      <c r="C8" s="1061" t="s">
        <v>501</v>
      </c>
      <c r="D8" s="1062">
        <v>700383581</v>
      </c>
      <c r="E8" s="1062"/>
      <c r="F8" s="1062">
        <f>F10+F19</f>
        <v>1025805</v>
      </c>
      <c r="G8" s="1062">
        <f>D8+F8</f>
        <v>701409386</v>
      </c>
      <c r="H8" s="8"/>
      <c r="I8" s="8"/>
      <c r="J8" s="8"/>
    </row>
    <row r="9" spans="1:7" ht="16.5" customHeight="1" thickTop="1">
      <c r="A9" s="99"/>
      <c r="B9" s="99"/>
      <c r="C9" s="99" t="s">
        <v>1171</v>
      </c>
      <c r="D9" s="260"/>
      <c r="E9" s="260"/>
      <c r="F9" s="260"/>
      <c r="G9" s="260"/>
    </row>
    <row r="10" spans="1:10" ht="19.5" customHeight="1" thickBot="1">
      <c r="A10" s="99"/>
      <c r="B10" s="99"/>
      <c r="C10" s="1063" t="s">
        <v>502</v>
      </c>
      <c r="D10" s="1064">
        <v>486468857</v>
      </c>
      <c r="E10" s="1064"/>
      <c r="F10" s="1064">
        <f>F15</f>
        <v>1000000</v>
      </c>
      <c r="G10" s="1064">
        <f>D10+F10</f>
        <v>487468857</v>
      </c>
      <c r="H10" s="8"/>
      <c r="J10" s="8"/>
    </row>
    <row r="11" spans="1:10" ht="19.5" customHeight="1" thickBot="1">
      <c r="A11" s="99"/>
      <c r="B11" s="99"/>
      <c r="C11" s="308" t="s">
        <v>503</v>
      </c>
      <c r="D11" s="309">
        <v>333395099</v>
      </c>
      <c r="E11" s="309"/>
      <c r="F11" s="309"/>
      <c r="G11" s="309">
        <f aca="true" t="shared" si="0" ref="G11:G18">SUM(D11:F11)</f>
        <v>333395099</v>
      </c>
      <c r="H11" s="8"/>
      <c r="J11" s="8"/>
    </row>
    <row r="12" spans="1:10" ht="19.5" customHeight="1" thickBot="1" thickTop="1">
      <c r="A12" s="99"/>
      <c r="B12" s="99"/>
      <c r="C12" s="1261" t="s">
        <v>504</v>
      </c>
      <c r="D12" s="1067">
        <v>101816076</v>
      </c>
      <c r="E12" s="1067"/>
      <c r="F12" s="1067"/>
      <c r="G12" s="1067">
        <f t="shared" si="0"/>
        <v>101816076</v>
      </c>
      <c r="H12" s="8"/>
      <c r="J12" s="8"/>
    </row>
    <row r="13" spans="1:10" ht="19.5" customHeight="1" thickBot="1" thickTop="1">
      <c r="A13" s="99"/>
      <c r="B13" s="99"/>
      <c r="C13" s="1261" t="s">
        <v>505</v>
      </c>
      <c r="D13" s="1067">
        <v>5259396</v>
      </c>
      <c r="E13" s="1067"/>
      <c r="F13" s="1067"/>
      <c r="G13" s="1067">
        <f t="shared" si="0"/>
        <v>5259396</v>
      </c>
      <c r="H13" s="8"/>
      <c r="J13" s="8"/>
    </row>
    <row r="14" spans="1:10" ht="19.5" customHeight="1" thickBot="1" thickTop="1">
      <c r="A14" s="99"/>
      <c r="B14" s="99"/>
      <c r="C14" s="1261" t="s">
        <v>506</v>
      </c>
      <c r="D14" s="1067">
        <v>208159</v>
      </c>
      <c r="E14" s="1067"/>
      <c r="F14" s="1067"/>
      <c r="G14" s="1067">
        <f t="shared" si="0"/>
        <v>208159</v>
      </c>
      <c r="H14" s="8"/>
      <c r="J14" s="8"/>
    </row>
    <row r="15" spans="1:10" ht="27.75" customHeight="1" thickBot="1" thickTop="1">
      <c r="A15" s="99"/>
      <c r="B15" s="99"/>
      <c r="C15" s="1066" t="s">
        <v>795</v>
      </c>
      <c r="D15" s="1067">
        <v>45790127</v>
      </c>
      <c r="E15" s="1067"/>
      <c r="F15" s="1067">
        <f>F16</f>
        <v>1000000</v>
      </c>
      <c r="G15" s="1067">
        <f t="shared" si="0"/>
        <v>46790127</v>
      </c>
      <c r="H15" s="8"/>
      <c r="J15" s="8"/>
    </row>
    <row r="16" spans="1:10" ht="19.5" customHeight="1" thickTop="1">
      <c r="A16" s="170">
        <v>852</v>
      </c>
      <c r="B16" s="170"/>
      <c r="C16" s="192" t="s">
        <v>485</v>
      </c>
      <c r="D16" s="232">
        <v>42232982</v>
      </c>
      <c r="E16" s="232"/>
      <c r="F16" s="232">
        <f>F17</f>
        <v>1000000</v>
      </c>
      <c r="G16" s="232">
        <f t="shared" si="0"/>
        <v>43232982</v>
      </c>
      <c r="H16" s="8"/>
      <c r="J16" s="8"/>
    </row>
    <row r="17" spans="1:10" ht="24.75" customHeight="1">
      <c r="A17" s="99"/>
      <c r="B17" s="174">
        <v>85212</v>
      </c>
      <c r="C17" s="175" t="s">
        <v>797</v>
      </c>
      <c r="D17" s="233">
        <v>25693642</v>
      </c>
      <c r="E17" s="233"/>
      <c r="F17" s="233">
        <f>F18</f>
        <v>1000000</v>
      </c>
      <c r="G17" s="233">
        <f t="shared" si="0"/>
        <v>26693642</v>
      </c>
      <c r="H17" s="8"/>
      <c r="J17" s="8"/>
    </row>
    <row r="18" spans="1:10" ht="30" customHeight="1">
      <c r="A18" s="99"/>
      <c r="B18" s="99"/>
      <c r="C18" s="1117" t="s">
        <v>798</v>
      </c>
      <c r="D18" s="1020">
        <v>25520152</v>
      </c>
      <c r="E18" s="1020"/>
      <c r="F18" s="1020">
        <v>1000000</v>
      </c>
      <c r="G18" s="1020">
        <f t="shared" si="0"/>
        <v>26520152</v>
      </c>
      <c r="H18" s="8"/>
      <c r="J18" s="8"/>
    </row>
    <row r="19" spans="1:8" ht="19.5" customHeight="1" thickBot="1">
      <c r="A19" s="99"/>
      <c r="B19" s="99"/>
      <c r="C19" s="1063" t="s">
        <v>507</v>
      </c>
      <c r="D19" s="1064">
        <v>213914724</v>
      </c>
      <c r="E19" s="1064"/>
      <c r="F19" s="1064">
        <f>F20+F21+F22+F23+F25</f>
        <v>25805</v>
      </c>
      <c r="G19" s="1064">
        <f>D19+F19</f>
        <v>213940529</v>
      </c>
      <c r="H19" s="8"/>
    </row>
    <row r="20" spans="1:8" s="122" customFormat="1" ht="21" customHeight="1" thickBot="1">
      <c r="A20" s="173"/>
      <c r="B20" s="173"/>
      <c r="C20" s="1065" t="s">
        <v>503</v>
      </c>
      <c r="D20" s="309">
        <v>47457664</v>
      </c>
      <c r="E20" s="309"/>
      <c r="F20" s="309"/>
      <c r="G20" s="309">
        <f>D20+F20</f>
        <v>47457664</v>
      </c>
      <c r="H20" s="42"/>
    </row>
    <row r="21" spans="1:7" s="20" customFormat="1" ht="21" customHeight="1" thickBot="1" thickTop="1">
      <c r="A21" s="173"/>
      <c r="B21" s="173"/>
      <c r="C21" s="109" t="s">
        <v>504</v>
      </c>
      <c r="D21" s="169">
        <v>127021659</v>
      </c>
      <c r="E21" s="169"/>
      <c r="F21" s="169"/>
      <c r="G21" s="169">
        <f>D21+F21</f>
        <v>127021659</v>
      </c>
    </row>
    <row r="22" spans="1:7" s="20" customFormat="1" ht="21" customHeight="1" thickBot="1" thickTop="1">
      <c r="A22" s="173"/>
      <c r="B22" s="173"/>
      <c r="C22" s="109" t="s">
        <v>505</v>
      </c>
      <c r="D22" s="169">
        <v>19647087</v>
      </c>
      <c r="E22" s="169"/>
      <c r="F22" s="169"/>
      <c r="G22" s="169">
        <f>D22+F22</f>
        <v>19647087</v>
      </c>
    </row>
    <row r="23" spans="1:7" s="20" customFormat="1" ht="21" customHeight="1" thickTop="1">
      <c r="A23" s="168"/>
      <c r="B23" s="173"/>
      <c r="C23" s="1262" t="s">
        <v>506</v>
      </c>
      <c r="D23" s="1263">
        <v>110000</v>
      </c>
      <c r="E23" s="1263"/>
      <c r="F23" s="1264"/>
      <c r="G23" s="1263">
        <f>D23+F23</f>
        <v>110000</v>
      </c>
    </row>
    <row r="24" spans="1:7" s="20" customFormat="1" ht="54" customHeight="1">
      <c r="A24" s="1265"/>
      <c r="B24" s="1265"/>
      <c r="C24" s="1266"/>
      <c r="D24" s="1267"/>
      <c r="E24" s="1267"/>
      <c r="F24" s="1268"/>
      <c r="G24" s="1267"/>
    </row>
    <row r="25" spans="1:7" s="20" customFormat="1" ht="29.25" customHeight="1" thickBot="1">
      <c r="A25" s="168"/>
      <c r="B25" s="168"/>
      <c r="C25" s="109" t="s">
        <v>508</v>
      </c>
      <c r="D25" s="169">
        <v>19678314</v>
      </c>
      <c r="E25" s="169"/>
      <c r="F25" s="169">
        <f>F26+F30</f>
        <v>25805</v>
      </c>
      <c r="G25" s="169">
        <f>D25+F25</f>
        <v>19704119</v>
      </c>
    </row>
    <row r="26" spans="1:7" ht="19.5" customHeight="1" thickTop="1">
      <c r="A26" s="170">
        <v>754</v>
      </c>
      <c r="B26" s="170"/>
      <c r="C26" s="171" t="s">
        <v>690</v>
      </c>
      <c r="D26" s="152">
        <v>11806000</v>
      </c>
      <c r="E26" s="172"/>
      <c r="F26" s="152">
        <f>F27</f>
        <v>20000</v>
      </c>
      <c r="G26" s="152">
        <f>D26+F26</f>
        <v>11826000</v>
      </c>
    </row>
    <row r="27" spans="1:7" ht="20.25" customHeight="1">
      <c r="A27" s="173"/>
      <c r="B27" s="174">
        <v>75411</v>
      </c>
      <c r="C27" s="175" t="s">
        <v>691</v>
      </c>
      <c r="D27" s="176">
        <v>11806000</v>
      </c>
      <c r="E27" s="177"/>
      <c r="F27" s="176">
        <f>F28</f>
        <v>20000</v>
      </c>
      <c r="G27" s="176">
        <f>D27+F27</f>
        <v>11826000</v>
      </c>
    </row>
    <row r="28" spans="1:7" ht="24.75" customHeight="1">
      <c r="A28" s="99"/>
      <c r="B28" s="178"/>
      <c r="C28" s="271" t="s">
        <v>922</v>
      </c>
      <c r="D28" s="179">
        <v>11806000</v>
      </c>
      <c r="E28" s="180"/>
      <c r="F28" s="179">
        <f>F29</f>
        <v>20000</v>
      </c>
      <c r="G28" s="179">
        <f>D28+F28</f>
        <v>11826000</v>
      </c>
    </row>
    <row r="29" spans="1:7" ht="39" customHeight="1" hidden="1">
      <c r="A29" s="181"/>
      <c r="B29" s="181"/>
      <c r="C29" s="203" t="s">
        <v>1388</v>
      </c>
      <c r="D29" s="182">
        <v>11806000</v>
      </c>
      <c r="E29" s="182"/>
      <c r="F29" s="182">
        <v>20000</v>
      </c>
      <c r="G29" s="182">
        <f>D29+F29</f>
        <v>11826000</v>
      </c>
    </row>
    <row r="30" spans="1:7" ht="19.5" customHeight="1">
      <c r="A30" s="170">
        <v>853</v>
      </c>
      <c r="B30" s="170"/>
      <c r="C30" s="170" t="s">
        <v>684</v>
      </c>
      <c r="D30" s="297">
        <v>551105</v>
      </c>
      <c r="E30" s="297"/>
      <c r="F30" s="297">
        <f>F31</f>
        <v>5805</v>
      </c>
      <c r="G30" s="297">
        <f>SUM(D30:F30)</f>
        <v>556910</v>
      </c>
    </row>
    <row r="31" spans="1:7" ht="19.5" customHeight="1">
      <c r="A31" s="286"/>
      <c r="B31" s="174">
        <v>85334</v>
      </c>
      <c r="C31" s="174" t="s">
        <v>1386</v>
      </c>
      <c r="D31" s="233">
        <v>42105</v>
      </c>
      <c r="E31" s="233"/>
      <c r="F31" s="233">
        <f>F32</f>
        <v>5805</v>
      </c>
      <c r="G31" s="233">
        <f>SUM(D31:F31)</f>
        <v>47910</v>
      </c>
    </row>
    <row r="32" spans="1:7" ht="19.5" customHeight="1">
      <c r="A32" s="229"/>
      <c r="B32" s="193"/>
      <c r="C32" s="193" t="s">
        <v>1387</v>
      </c>
      <c r="D32" s="1020">
        <v>42105</v>
      </c>
      <c r="E32" s="1020"/>
      <c r="F32" s="1020">
        <f>F33</f>
        <v>5805</v>
      </c>
      <c r="G32" s="1020">
        <f>SUM(D32:F32)</f>
        <v>47910</v>
      </c>
    </row>
    <row r="33" spans="1:7" ht="41.25" customHeight="1" hidden="1">
      <c r="A33" s="229"/>
      <c r="B33" s="229"/>
      <c r="C33" s="203" t="s">
        <v>1388</v>
      </c>
      <c r="D33" s="204">
        <v>42105</v>
      </c>
      <c r="E33" s="204"/>
      <c r="F33" s="204">
        <v>5805</v>
      </c>
      <c r="G33" s="204">
        <f>SUM(D33:F33)</f>
        <v>47910</v>
      </c>
    </row>
    <row r="35" spans="3:6" ht="12.75">
      <c r="C35" s="1383" t="s">
        <v>874</v>
      </c>
      <c r="F35" s="1383" t="s">
        <v>871</v>
      </c>
    </row>
    <row r="36" spans="3:6" ht="12.75">
      <c r="C36" s="1383"/>
      <c r="F36" s="1383" t="s">
        <v>872</v>
      </c>
    </row>
    <row r="37" spans="3:6" ht="12.75">
      <c r="C37" s="1383" t="s">
        <v>875</v>
      </c>
      <c r="F37" s="1383"/>
    </row>
    <row r="38" spans="3:7" ht="12.75">
      <c r="C38" s="1383" t="s">
        <v>876</v>
      </c>
      <c r="F38" s="1383" t="s">
        <v>873</v>
      </c>
      <c r="G38" s="1383"/>
    </row>
    <row r="39" spans="6:7" ht="12.75">
      <c r="F39" s="1383"/>
      <c r="G39" s="1383"/>
    </row>
  </sheetData>
  <printOptions horizontalCentered="1"/>
  <pageMargins left="0.5905511811023623" right="0.5905511811023623" top="0.6692913385826772" bottom="0.5905511811023623" header="0.5118110236220472" footer="0.3937007874015748"/>
  <pageSetup firstPageNumber="4" useFirstPageNumber="1" horizontalDpi="300" verticalDpi="300" orientation="landscape" paperSize="9" scale="85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I75"/>
  <sheetViews>
    <sheetView zoomScale="75" zoomScaleNormal="75" zoomScaleSheetLayoutView="75" workbookViewId="0" topLeftCell="A1">
      <selection activeCell="G72" sqref="G72"/>
    </sheetView>
  </sheetViews>
  <sheetFormatPr defaultColWidth="9.125" defaultRowHeight="12.75"/>
  <cols>
    <col min="1" max="1" width="6.125" style="1" customWidth="1"/>
    <col min="2" max="2" width="8.125" style="1" customWidth="1"/>
    <col min="3" max="3" width="65.375" style="1" customWidth="1"/>
    <col min="4" max="9" width="15.75390625" style="1" customWidth="1"/>
  </cols>
  <sheetData>
    <row r="1" spans="2:8" ht="13.5" customHeight="1">
      <c r="B1" s="30"/>
      <c r="C1" s="31"/>
      <c r="D1" s="31"/>
      <c r="G1" s="32" t="s">
        <v>808</v>
      </c>
      <c r="H1" s="32"/>
    </row>
    <row r="2" spans="1:7" ht="13.5" customHeight="1">
      <c r="A2" s="117" t="s">
        <v>1136</v>
      </c>
      <c r="B2" s="117"/>
      <c r="C2" s="117"/>
      <c r="D2" s="33"/>
      <c r="G2" s="1" t="s">
        <v>877</v>
      </c>
    </row>
    <row r="3" spans="1:7" ht="13.5" customHeight="1">
      <c r="A3" s="117" t="s">
        <v>926</v>
      </c>
      <c r="C3" s="121"/>
      <c r="D3" s="34"/>
      <c r="G3" s="1" t="s">
        <v>1161</v>
      </c>
    </row>
    <row r="4" spans="1:7" ht="13.5" customHeight="1">
      <c r="A4" s="117" t="s">
        <v>927</v>
      </c>
      <c r="C4" s="121"/>
      <c r="D4" s="34"/>
      <c r="G4" s="1" t="s">
        <v>1345</v>
      </c>
    </row>
    <row r="5" spans="1:9" ht="6" customHeight="1">
      <c r="A5" s="35"/>
      <c r="B5" s="35"/>
      <c r="C5" s="35"/>
      <c r="D5" s="35"/>
      <c r="E5" s="36"/>
      <c r="F5" s="36"/>
      <c r="G5" s="36"/>
      <c r="H5" s="36"/>
      <c r="I5" s="36"/>
    </row>
    <row r="6" spans="5:9" ht="12" customHeight="1" thickBot="1">
      <c r="E6" s="37"/>
      <c r="F6" s="37"/>
      <c r="G6" s="37"/>
      <c r="H6" s="37"/>
      <c r="I6" s="3" t="s">
        <v>1163</v>
      </c>
    </row>
    <row r="7" spans="1:9" ht="15" customHeight="1" thickTop="1">
      <c r="A7" s="38"/>
      <c r="B7" s="38"/>
      <c r="C7" s="39" t="s">
        <v>517</v>
      </c>
      <c r="D7" s="1395" t="s">
        <v>925</v>
      </c>
      <c r="E7" s="1392" t="s">
        <v>1140</v>
      </c>
      <c r="F7" s="110"/>
      <c r="G7" s="1395" t="s">
        <v>924</v>
      </c>
      <c r="H7" s="1392" t="s">
        <v>1140</v>
      </c>
      <c r="I7" s="1392" t="s">
        <v>1137</v>
      </c>
    </row>
    <row r="8" spans="1:9" ht="93.75" customHeight="1" thickBot="1">
      <c r="A8" s="105" t="s">
        <v>509</v>
      </c>
      <c r="B8" s="40" t="s">
        <v>928</v>
      </c>
      <c r="C8" s="40" t="s">
        <v>1139</v>
      </c>
      <c r="D8" s="1396"/>
      <c r="E8" s="1393"/>
      <c r="F8" s="40" t="s">
        <v>527</v>
      </c>
      <c r="G8" s="1398"/>
      <c r="H8" s="1397"/>
      <c r="I8" s="1394"/>
    </row>
    <row r="9" spans="1:9" ht="14.25" customHeight="1" thickBot="1" thickTop="1">
      <c r="A9" s="6">
        <v>1</v>
      </c>
      <c r="B9" s="6">
        <v>2</v>
      </c>
      <c r="C9" s="6">
        <v>3</v>
      </c>
      <c r="D9" s="41">
        <v>4</v>
      </c>
      <c r="E9" s="41">
        <v>5</v>
      </c>
      <c r="F9" s="41">
        <v>6</v>
      </c>
      <c r="G9" s="6">
        <v>7</v>
      </c>
      <c r="H9" s="6">
        <v>8</v>
      </c>
      <c r="I9" s="6">
        <v>9</v>
      </c>
    </row>
    <row r="10" spans="1:9" ht="18" customHeight="1" thickBot="1" thickTop="1">
      <c r="A10" s="1021"/>
      <c r="B10" s="1022"/>
      <c r="C10" s="1023" t="s">
        <v>1141</v>
      </c>
      <c r="D10" s="1024">
        <v>71935441</v>
      </c>
      <c r="E10" s="1024">
        <f>E12+E33</f>
        <v>1025805</v>
      </c>
      <c r="F10" s="1025">
        <f>D10+E10</f>
        <v>72961246</v>
      </c>
      <c r="G10" s="1026">
        <v>63920852</v>
      </c>
      <c r="H10" s="1024">
        <f>H12+H33</f>
        <v>1025805</v>
      </c>
      <c r="I10" s="1024">
        <f>G10+H10</f>
        <v>64946657</v>
      </c>
    </row>
    <row r="11" spans="1:9" ht="12.75" customHeight="1">
      <c r="A11" s="353"/>
      <c r="B11" s="173"/>
      <c r="C11" s="1027" t="s">
        <v>1171</v>
      </c>
      <c r="D11" s="1028"/>
      <c r="E11" s="1029"/>
      <c r="F11" s="1030"/>
      <c r="G11" s="1031"/>
      <c r="H11" s="1032"/>
      <c r="I11" s="1033"/>
    </row>
    <row r="12" spans="1:9" s="1" customFormat="1" ht="16.5" customHeight="1" thickBot="1">
      <c r="A12" s="168"/>
      <c r="B12" s="168"/>
      <c r="C12" s="1034" t="s">
        <v>1142</v>
      </c>
      <c r="D12" s="1035">
        <v>46784127</v>
      </c>
      <c r="E12" s="1035">
        <f>E19</f>
        <v>1000000</v>
      </c>
      <c r="F12" s="1036">
        <f>SUM(D12:E12)</f>
        <v>47784127</v>
      </c>
      <c r="G12" s="1037">
        <v>44242538</v>
      </c>
      <c r="H12" s="1035">
        <f>H13+H19</f>
        <v>1000000</v>
      </c>
      <c r="I12" s="1038">
        <f aca="true" t="shared" si="0" ref="I12:I18">G12+H12</f>
        <v>45242538</v>
      </c>
    </row>
    <row r="13" spans="1:9" s="1" customFormat="1" ht="26.25" customHeight="1" thickTop="1">
      <c r="A13" s="334">
        <v>750</v>
      </c>
      <c r="B13" s="152"/>
      <c r="C13" s="171" t="s">
        <v>1175</v>
      </c>
      <c r="D13" s="346">
        <v>2385616</v>
      </c>
      <c r="E13" s="346"/>
      <c r="F13" s="347">
        <f>SUM(D13:E13)</f>
        <v>2385616</v>
      </c>
      <c r="G13" s="348">
        <v>1499616</v>
      </c>
      <c r="H13" s="152">
        <f>H14</f>
        <v>0</v>
      </c>
      <c r="I13" s="346">
        <f t="shared" si="0"/>
        <v>1499616</v>
      </c>
    </row>
    <row r="14" spans="1:9" s="1" customFormat="1" ht="18.75" customHeight="1">
      <c r="A14" s="173"/>
      <c r="B14" s="349">
        <v>75011</v>
      </c>
      <c r="C14" s="175" t="s">
        <v>539</v>
      </c>
      <c r="D14" s="350">
        <v>2385616</v>
      </c>
      <c r="E14" s="350"/>
      <c r="F14" s="351">
        <f>SUM(D14:E14)</f>
        <v>2385616</v>
      </c>
      <c r="G14" s="352">
        <v>1499616</v>
      </c>
      <c r="H14" s="176">
        <f>H15+H17</f>
        <v>0</v>
      </c>
      <c r="I14" s="350">
        <f t="shared" si="0"/>
        <v>1499616</v>
      </c>
    </row>
    <row r="15" spans="1:9" s="1" customFormat="1" ht="19.5" customHeight="1">
      <c r="A15" s="353"/>
      <c r="B15" s="178"/>
      <c r="C15" s="271" t="s">
        <v>1176</v>
      </c>
      <c r="D15" s="354"/>
      <c r="E15" s="354"/>
      <c r="F15" s="355"/>
      <c r="G15" s="356">
        <v>44116</v>
      </c>
      <c r="H15" s="179">
        <f>H16</f>
        <v>5509</v>
      </c>
      <c r="I15" s="354">
        <f t="shared" si="0"/>
        <v>49625</v>
      </c>
    </row>
    <row r="16" spans="1:9" s="1" customFormat="1" ht="19.5" customHeight="1">
      <c r="A16" s="353"/>
      <c r="B16" s="181">
        <v>4440</v>
      </c>
      <c r="C16" s="203" t="s">
        <v>630</v>
      </c>
      <c r="D16" s="357"/>
      <c r="E16" s="357"/>
      <c r="F16" s="358"/>
      <c r="G16" s="359">
        <v>44116</v>
      </c>
      <c r="H16" s="220">
        <v>5509</v>
      </c>
      <c r="I16" s="357">
        <f t="shared" si="0"/>
        <v>49625</v>
      </c>
    </row>
    <row r="17" spans="1:9" s="1" customFormat="1" ht="19.5" customHeight="1">
      <c r="A17" s="353"/>
      <c r="B17" s="300"/>
      <c r="C17" s="360" t="s">
        <v>553</v>
      </c>
      <c r="D17" s="361"/>
      <c r="E17" s="361"/>
      <c r="F17" s="362"/>
      <c r="G17" s="356">
        <v>239300</v>
      </c>
      <c r="H17" s="179">
        <f>H18</f>
        <v>-5509</v>
      </c>
      <c r="I17" s="354">
        <f t="shared" si="0"/>
        <v>233791</v>
      </c>
    </row>
    <row r="18" spans="1:9" s="1" customFormat="1" ht="19.5" customHeight="1">
      <c r="A18" s="353"/>
      <c r="B18" s="202">
        <v>4110</v>
      </c>
      <c r="C18" s="1107" t="s">
        <v>1178</v>
      </c>
      <c r="D18" s="434"/>
      <c r="E18" s="434"/>
      <c r="F18" s="1132"/>
      <c r="G18" s="1133">
        <v>210300</v>
      </c>
      <c r="H18" s="940">
        <v>-5509</v>
      </c>
      <c r="I18" s="434">
        <f t="shared" si="0"/>
        <v>204791</v>
      </c>
    </row>
    <row r="19" spans="1:9" s="1" customFormat="1" ht="19.5" customHeight="1">
      <c r="A19" s="170">
        <v>852</v>
      </c>
      <c r="B19" s="305"/>
      <c r="C19" s="170" t="s">
        <v>485</v>
      </c>
      <c r="D19" s="414">
        <v>42340982</v>
      </c>
      <c r="E19" s="414">
        <f>E20</f>
        <v>1000000</v>
      </c>
      <c r="F19" s="1281">
        <f>D19+E19</f>
        <v>43340982</v>
      </c>
      <c r="G19" s="1285">
        <v>42232982</v>
      </c>
      <c r="H19" s="316">
        <f>H20</f>
        <v>1000000</v>
      </c>
      <c r="I19" s="414">
        <f>SUM(G19:H19)</f>
        <v>43232982</v>
      </c>
    </row>
    <row r="20" spans="1:9" s="1" customFormat="1" ht="25.5" customHeight="1">
      <c r="A20" s="353"/>
      <c r="B20" s="174">
        <v>85212</v>
      </c>
      <c r="C20" s="175" t="s">
        <v>797</v>
      </c>
      <c r="D20" s="350">
        <v>25693642</v>
      </c>
      <c r="E20" s="350">
        <f>E21</f>
        <v>1000000</v>
      </c>
      <c r="F20" s="351">
        <f>D20+E20</f>
        <v>26693642</v>
      </c>
      <c r="G20" s="352">
        <v>25693642</v>
      </c>
      <c r="H20" s="176">
        <f>H23+H25+H27+H30</f>
        <v>1000000</v>
      </c>
      <c r="I20" s="350">
        <f>SUM(G20:H20)</f>
        <v>26693642</v>
      </c>
    </row>
    <row r="21" spans="1:9" s="1" customFormat="1" ht="25.5" customHeight="1">
      <c r="A21" s="353"/>
      <c r="B21" s="202"/>
      <c r="C21" s="271" t="s">
        <v>798</v>
      </c>
      <c r="D21" s="354">
        <v>25520152</v>
      </c>
      <c r="E21" s="354">
        <f>E22</f>
        <v>1000000</v>
      </c>
      <c r="F21" s="355">
        <f>D21+E21</f>
        <v>26520152</v>
      </c>
      <c r="G21" s="1280"/>
      <c r="H21" s="180"/>
      <c r="I21" s="361"/>
    </row>
    <row r="22" spans="1:9" s="1" customFormat="1" ht="25.5" customHeight="1">
      <c r="A22" s="353"/>
      <c r="B22" s="181">
        <v>2010</v>
      </c>
      <c r="C22" s="203" t="s">
        <v>799</v>
      </c>
      <c r="D22" s="357">
        <v>25520152</v>
      </c>
      <c r="E22" s="357">
        <v>1000000</v>
      </c>
      <c r="F22" s="358">
        <f>D22+E22</f>
        <v>26520152</v>
      </c>
      <c r="G22" s="359"/>
      <c r="H22" s="220"/>
      <c r="I22" s="357"/>
    </row>
    <row r="23" spans="1:9" s="1" customFormat="1" ht="19.5" customHeight="1">
      <c r="A23" s="353"/>
      <c r="B23" s="99"/>
      <c r="C23" s="271" t="s">
        <v>492</v>
      </c>
      <c r="D23" s="354"/>
      <c r="E23" s="354"/>
      <c r="F23" s="355"/>
      <c r="G23" s="356">
        <v>312618</v>
      </c>
      <c r="H23" s="179">
        <f>H24</f>
        <v>12110</v>
      </c>
      <c r="I23" s="354">
        <f aca="true" t="shared" si="1" ref="I23:I31">G23+H23</f>
        <v>324728</v>
      </c>
    </row>
    <row r="24" spans="1:9" s="1" customFormat="1" ht="19.5" customHeight="1">
      <c r="A24" s="353"/>
      <c r="B24" s="181">
        <v>4010</v>
      </c>
      <c r="C24" s="203" t="s">
        <v>896</v>
      </c>
      <c r="D24" s="357"/>
      <c r="E24" s="357"/>
      <c r="F24" s="358"/>
      <c r="G24" s="359">
        <v>312618</v>
      </c>
      <c r="H24" s="220">
        <v>12110</v>
      </c>
      <c r="I24" s="357">
        <f t="shared" si="1"/>
        <v>324728</v>
      </c>
    </row>
    <row r="25" spans="1:9" s="1" customFormat="1" ht="19.5" customHeight="1">
      <c r="A25" s="353"/>
      <c r="B25" s="202"/>
      <c r="C25" s="271" t="s">
        <v>1176</v>
      </c>
      <c r="D25" s="354"/>
      <c r="E25" s="354"/>
      <c r="F25" s="355"/>
      <c r="G25" s="356">
        <v>448215</v>
      </c>
      <c r="H25" s="179">
        <f>H26</f>
        <v>5400</v>
      </c>
      <c r="I25" s="354">
        <f t="shared" si="1"/>
        <v>453615</v>
      </c>
    </row>
    <row r="26" spans="1:9" s="1" customFormat="1" ht="19.5" customHeight="1">
      <c r="A26" s="353"/>
      <c r="B26" s="181">
        <v>4210</v>
      </c>
      <c r="C26" s="203" t="s">
        <v>1174</v>
      </c>
      <c r="D26" s="357"/>
      <c r="E26" s="357"/>
      <c r="F26" s="358"/>
      <c r="G26" s="359">
        <v>150000</v>
      </c>
      <c r="H26" s="220">
        <v>5400</v>
      </c>
      <c r="I26" s="357">
        <f t="shared" si="1"/>
        <v>155400</v>
      </c>
    </row>
    <row r="27" spans="1:9" s="1" customFormat="1" ht="19.5" customHeight="1">
      <c r="A27" s="353"/>
      <c r="B27" s="202"/>
      <c r="C27" s="271" t="s">
        <v>553</v>
      </c>
      <c r="D27" s="354"/>
      <c r="E27" s="354"/>
      <c r="F27" s="355"/>
      <c r="G27" s="356">
        <v>64322</v>
      </c>
      <c r="H27" s="179">
        <f>H29+H28</f>
        <v>2490</v>
      </c>
      <c r="I27" s="354">
        <f t="shared" si="1"/>
        <v>66812</v>
      </c>
    </row>
    <row r="28" spans="1:9" s="1" customFormat="1" ht="19.5" customHeight="1">
      <c r="A28" s="353"/>
      <c r="B28" s="181">
        <v>4110</v>
      </c>
      <c r="C28" s="203" t="s">
        <v>1178</v>
      </c>
      <c r="D28" s="357"/>
      <c r="E28" s="357"/>
      <c r="F28" s="358"/>
      <c r="G28" s="359">
        <v>57430</v>
      </c>
      <c r="H28" s="220">
        <v>2223</v>
      </c>
      <c r="I28" s="357">
        <f t="shared" si="1"/>
        <v>59653</v>
      </c>
    </row>
    <row r="29" spans="1:9" s="1" customFormat="1" ht="19.5" customHeight="1">
      <c r="A29" s="353"/>
      <c r="B29" s="205">
        <v>4120</v>
      </c>
      <c r="C29" s="206" t="s">
        <v>487</v>
      </c>
      <c r="D29" s="1277"/>
      <c r="E29" s="1277"/>
      <c r="F29" s="1278"/>
      <c r="G29" s="1279">
        <v>6892</v>
      </c>
      <c r="H29" s="222">
        <v>267</v>
      </c>
      <c r="I29" s="1277">
        <f t="shared" si="1"/>
        <v>7159</v>
      </c>
    </row>
    <row r="30" spans="1:9" s="1" customFormat="1" ht="19.5" customHeight="1">
      <c r="A30" s="353"/>
      <c r="B30" s="202"/>
      <c r="C30" s="271" t="s">
        <v>805</v>
      </c>
      <c r="D30" s="354"/>
      <c r="E30" s="354"/>
      <c r="F30" s="355"/>
      <c r="G30" s="356">
        <v>24694997</v>
      </c>
      <c r="H30" s="179">
        <f>H31</f>
        <v>980000</v>
      </c>
      <c r="I30" s="354">
        <f t="shared" si="1"/>
        <v>25674997</v>
      </c>
    </row>
    <row r="31" spans="1:9" s="1" customFormat="1" ht="19.5" customHeight="1">
      <c r="A31" s="353"/>
      <c r="B31" s="202">
        <v>3110</v>
      </c>
      <c r="C31" s="1107" t="s">
        <v>1496</v>
      </c>
      <c r="D31" s="434"/>
      <c r="E31" s="434"/>
      <c r="F31" s="1132"/>
      <c r="G31" s="1133">
        <v>24047797</v>
      </c>
      <c r="H31" s="940">
        <v>980000</v>
      </c>
      <c r="I31" s="434">
        <f t="shared" si="1"/>
        <v>25027797</v>
      </c>
    </row>
    <row r="32" spans="1:9" s="1" customFormat="1" ht="43.5" customHeight="1">
      <c r="A32" s="1265"/>
      <c r="B32" s="1109"/>
      <c r="C32" s="1110"/>
      <c r="D32" s="1288"/>
      <c r="E32" s="1288"/>
      <c r="F32" s="1288"/>
      <c r="G32" s="1288"/>
      <c r="H32" s="1111"/>
      <c r="I32" s="1288"/>
    </row>
    <row r="33" spans="1:9" ht="21" customHeight="1" thickBot="1">
      <c r="A33" s="335"/>
      <c r="B33" s="97"/>
      <c r="C33" s="109" t="s">
        <v>522</v>
      </c>
      <c r="D33" s="256">
        <v>25151314</v>
      </c>
      <c r="E33" s="256">
        <f>E44+E52</f>
        <v>25805</v>
      </c>
      <c r="F33" s="1286">
        <f>D33+E33</f>
        <v>25177119</v>
      </c>
      <c r="G33" s="1287">
        <v>19678314</v>
      </c>
      <c r="H33" s="256">
        <f>H44+H52+H39+H34</f>
        <v>25805</v>
      </c>
      <c r="I33" s="256">
        <f>SUM(G33:H33)</f>
        <v>19704119</v>
      </c>
    </row>
    <row r="34" spans="1:9" ht="21" customHeight="1" thickTop="1">
      <c r="A34" s="336">
        <v>700</v>
      </c>
      <c r="B34" s="184"/>
      <c r="C34" s="420" t="s">
        <v>1422</v>
      </c>
      <c r="D34" s="152">
        <v>5975982</v>
      </c>
      <c r="E34" s="152"/>
      <c r="F34" s="224">
        <f>SUM(D34:E34)</f>
        <v>5975982</v>
      </c>
      <c r="G34" s="232">
        <v>539982</v>
      </c>
      <c r="H34" s="152">
        <f>H35</f>
        <v>0</v>
      </c>
      <c r="I34" s="152">
        <f aca="true" t="shared" si="2" ref="I34:I43">G34+H34</f>
        <v>539982</v>
      </c>
    </row>
    <row r="35" spans="1:9" ht="21" customHeight="1">
      <c r="A35" s="337"/>
      <c r="B35" s="338">
        <v>70005</v>
      </c>
      <c r="C35" s="168" t="s">
        <v>1427</v>
      </c>
      <c r="D35" s="176">
        <v>5975982</v>
      </c>
      <c r="E35" s="176"/>
      <c r="F35" s="339">
        <f>SUM(D35:E35)</f>
        <v>5975982</v>
      </c>
      <c r="G35" s="211">
        <v>539982</v>
      </c>
      <c r="H35" s="176">
        <f>H36</f>
        <v>0</v>
      </c>
      <c r="I35" s="176">
        <f t="shared" si="2"/>
        <v>539982</v>
      </c>
    </row>
    <row r="36" spans="1:9" ht="21" customHeight="1">
      <c r="A36" s="335"/>
      <c r="B36" s="187"/>
      <c r="C36" s="271" t="s">
        <v>942</v>
      </c>
      <c r="D36" s="179"/>
      <c r="E36" s="179"/>
      <c r="F36" s="341"/>
      <c r="G36" s="197">
        <v>539982</v>
      </c>
      <c r="H36" s="179">
        <f>SUM(H37:H38)</f>
        <v>0</v>
      </c>
      <c r="I36" s="179">
        <f t="shared" si="2"/>
        <v>539982</v>
      </c>
    </row>
    <row r="37" spans="1:9" ht="21" customHeight="1">
      <c r="A37" s="210"/>
      <c r="B37" s="255">
        <v>4480</v>
      </c>
      <c r="C37" s="436" t="s">
        <v>943</v>
      </c>
      <c r="D37" s="342"/>
      <c r="E37" s="342"/>
      <c r="F37" s="343"/>
      <c r="G37" s="204">
        <v>3200</v>
      </c>
      <c r="H37" s="220">
        <v>-702</v>
      </c>
      <c r="I37" s="220">
        <f t="shared" si="2"/>
        <v>2498</v>
      </c>
    </row>
    <row r="38" spans="1:9" ht="21" customHeight="1">
      <c r="A38" s="335"/>
      <c r="B38" s="344">
        <v>4590</v>
      </c>
      <c r="C38" s="203" t="s">
        <v>944</v>
      </c>
      <c r="D38" s="222"/>
      <c r="E38" s="222"/>
      <c r="F38" s="223"/>
      <c r="G38" s="204">
        <v>403432</v>
      </c>
      <c r="H38" s="222">
        <v>702</v>
      </c>
      <c r="I38" s="222">
        <f t="shared" si="2"/>
        <v>404134</v>
      </c>
    </row>
    <row r="39" spans="1:9" ht="21" customHeight="1">
      <c r="A39" s="336">
        <v>750</v>
      </c>
      <c r="B39" s="184"/>
      <c r="C39" s="171" t="s">
        <v>1175</v>
      </c>
      <c r="D39" s="152">
        <v>926945</v>
      </c>
      <c r="E39" s="152"/>
      <c r="F39" s="224">
        <f>SUM(D39:E39)</f>
        <v>926945</v>
      </c>
      <c r="G39" s="225">
        <v>926945</v>
      </c>
      <c r="H39" s="152">
        <f>H40</f>
        <v>0</v>
      </c>
      <c r="I39" s="152">
        <f t="shared" si="2"/>
        <v>926945</v>
      </c>
    </row>
    <row r="40" spans="1:9" ht="21" customHeight="1">
      <c r="A40" s="337"/>
      <c r="B40" s="338">
        <v>75011</v>
      </c>
      <c r="C40" s="175" t="s">
        <v>539</v>
      </c>
      <c r="D40" s="176">
        <v>809945</v>
      </c>
      <c r="E40" s="176"/>
      <c r="F40" s="339">
        <f>SUM(D40:E40)</f>
        <v>809945</v>
      </c>
      <c r="G40" s="340">
        <v>809945</v>
      </c>
      <c r="H40" s="176">
        <f>H41</f>
        <v>0</v>
      </c>
      <c r="I40" s="176">
        <f t="shared" si="2"/>
        <v>809945</v>
      </c>
    </row>
    <row r="41" spans="1:9" ht="21" customHeight="1">
      <c r="A41" s="335"/>
      <c r="B41" s="187"/>
      <c r="C41" s="271" t="s">
        <v>1176</v>
      </c>
      <c r="D41" s="179"/>
      <c r="E41" s="179"/>
      <c r="F41" s="341"/>
      <c r="G41" s="290">
        <v>34145</v>
      </c>
      <c r="H41" s="179">
        <f>SUM(H42:H43)</f>
        <v>0</v>
      </c>
      <c r="I41" s="179">
        <f t="shared" si="2"/>
        <v>34145</v>
      </c>
    </row>
    <row r="42" spans="1:9" ht="21" customHeight="1">
      <c r="A42" s="210"/>
      <c r="B42" s="255">
        <v>4300</v>
      </c>
      <c r="C42" s="203" t="s">
        <v>1173</v>
      </c>
      <c r="D42" s="342"/>
      <c r="E42" s="342"/>
      <c r="F42" s="343"/>
      <c r="G42" s="1284">
        <v>7445</v>
      </c>
      <c r="H42" s="220">
        <v>264</v>
      </c>
      <c r="I42" s="220">
        <f t="shared" si="2"/>
        <v>7709</v>
      </c>
    </row>
    <row r="43" spans="1:9" ht="21" customHeight="1">
      <c r="A43" s="335"/>
      <c r="B43" s="344">
        <v>4440</v>
      </c>
      <c r="C43" s="206" t="s">
        <v>630</v>
      </c>
      <c r="D43" s="222"/>
      <c r="E43" s="222"/>
      <c r="F43" s="223"/>
      <c r="G43" s="345">
        <v>26700</v>
      </c>
      <c r="H43" s="222">
        <v>-264</v>
      </c>
      <c r="I43" s="222">
        <f t="shared" si="2"/>
        <v>26436</v>
      </c>
    </row>
    <row r="44" spans="1:9" s="1" customFormat="1" ht="21" customHeight="1">
      <c r="A44" s="333">
        <v>754</v>
      </c>
      <c r="B44" s="191"/>
      <c r="C44" s="171" t="s">
        <v>690</v>
      </c>
      <c r="D44" s="152">
        <v>11810000</v>
      </c>
      <c r="E44" s="152">
        <f>E45</f>
        <v>20000</v>
      </c>
      <c r="F44" s="224">
        <f>D44+E44</f>
        <v>11830000</v>
      </c>
      <c r="G44" s="225">
        <v>11806000</v>
      </c>
      <c r="H44" s="152">
        <f>H45</f>
        <v>20000</v>
      </c>
      <c r="I44" s="152">
        <f aca="true" t="shared" si="3" ref="I44:I49">SUM(G44:H44)</f>
        <v>11826000</v>
      </c>
    </row>
    <row r="45" spans="1:9" s="1" customFormat="1" ht="21" customHeight="1">
      <c r="A45" s="210"/>
      <c r="B45" s="254">
        <v>75411</v>
      </c>
      <c r="C45" s="208" t="s">
        <v>691</v>
      </c>
      <c r="D45" s="211">
        <v>11810000</v>
      </c>
      <c r="E45" s="211">
        <f>E46</f>
        <v>20000</v>
      </c>
      <c r="F45" s="318">
        <f>D45+E45</f>
        <v>11830000</v>
      </c>
      <c r="G45" s="212">
        <v>11806000</v>
      </c>
      <c r="H45" s="211">
        <f>H48</f>
        <v>20000</v>
      </c>
      <c r="I45" s="211">
        <f t="shared" si="3"/>
        <v>11826000</v>
      </c>
    </row>
    <row r="46" spans="1:9" s="1" customFormat="1" ht="27.75" customHeight="1">
      <c r="A46" s="99"/>
      <c r="B46" s="99"/>
      <c r="C46" s="319" t="s">
        <v>922</v>
      </c>
      <c r="D46" s="197">
        <v>11806000</v>
      </c>
      <c r="E46" s="197">
        <f>E47</f>
        <v>20000</v>
      </c>
      <c r="F46" s="320">
        <f>D46+E46</f>
        <v>11826000</v>
      </c>
      <c r="G46" s="321"/>
      <c r="H46" s="197"/>
      <c r="I46" s="197"/>
    </row>
    <row r="47" spans="1:9" s="1" customFormat="1" ht="39" customHeight="1">
      <c r="A47" s="202"/>
      <c r="B47" s="181">
        <v>2110</v>
      </c>
      <c r="C47" s="203" t="s">
        <v>1418</v>
      </c>
      <c r="D47" s="204">
        <v>11806000</v>
      </c>
      <c r="E47" s="204">
        <v>20000</v>
      </c>
      <c r="F47" s="322">
        <f>D47+E47</f>
        <v>11826000</v>
      </c>
      <c r="G47" s="323"/>
      <c r="H47" s="204"/>
      <c r="I47" s="204"/>
    </row>
    <row r="48" spans="1:9" s="1" customFormat="1" ht="21" customHeight="1">
      <c r="A48" s="99"/>
      <c r="B48" s="99"/>
      <c r="C48" s="324" t="s">
        <v>1176</v>
      </c>
      <c r="D48" s="237"/>
      <c r="E48" s="237"/>
      <c r="F48" s="325"/>
      <c r="G48" s="326">
        <v>2927200</v>
      </c>
      <c r="H48" s="237">
        <f>SUM(H49:H51)</f>
        <v>20000</v>
      </c>
      <c r="I48" s="237">
        <f t="shared" si="3"/>
        <v>2947200</v>
      </c>
    </row>
    <row r="49" spans="1:9" s="1" customFormat="1" ht="21" customHeight="1">
      <c r="A49" s="202"/>
      <c r="B49" s="202">
        <v>4210</v>
      </c>
      <c r="C49" s="327" t="s">
        <v>1174</v>
      </c>
      <c r="D49" s="328"/>
      <c r="E49" s="328"/>
      <c r="F49" s="329"/>
      <c r="G49" s="330">
        <v>300000</v>
      </c>
      <c r="H49" s="328">
        <v>9000</v>
      </c>
      <c r="I49" s="328">
        <f t="shared" si="3"/>
        <v>309000</v>
      </c>
    </row>
    <row r="50" spans="1:9" s="143" customFormat="1" ht="21" customHeight="1">
      <c r="A50" s="202"/>
      <c r="B50" s="205">
        <v>4300</v>
      </c>
      <c r="C50" s="205" t="s">
        <v>1173</v>
      </c>
      <c r="D50" s="207"/>
      <c r="E50" s="207"/>
      <c r="F50" s="331"/>
      <c r="G50" s="332">
        <v>137000</v>
      </c>
      <c r="H50" s="207">
        <v>7000</v>
      </c>
      <c r="I50" s="207">
        <f>G50+H50</f>
        <v>144000</v>
      </c>
    </row>
    <row r="51" spans="1:9" s="19" customFormat="1" ht="21" customHeight="1">
      <c r="A51" s="181"/>
      <c r="B51" s="205">
        <v>4410</v>
      </c>
      <c r="C51" s="205" t="s">
        <v>1006</v>
      </c>
      <c r="D51" s="207"/>
      <c r="E51" s="207"/>
      <c r="F51" s="331"/>
      <c r="G51" s="332">
        <v>20000</v>
      </c>
      <c r="H51" s="207">
        <v>4000</v>
      </c>
      <c r="I51" s="207">
        <f>G51+H51</f>
        <v>24000</v>
      </c>
    </row>
    <row r="52" spans="1:9" ht="21" customHeight="1">
      <c r="A52" s="192">
        <v>853</v>
      </c>
      <c r="B52" s="192"/>
      <c r="C52" s="171" t="s">
        <v>684</v>
      </c>
      <c r="D52" s="152">
        <v>551105</v>
      </c>
      <c r="E52" s="152">
        <f>E61</f>
        <v>5805</v>
      </c>
      <c r="F52" s="224">
        <f>D52+E52</f>
        <v>556910</v>
      </c>
      <c r="G52" s="152">
        <v>551105</v>
      </c>
      <c r="H52" s="152">
        <f>H53+H61</f>
        <v>5805</v>
      </c>
      <c r="I52" s="152">
        <f aca="true" t="shared" si="4" ref="I52:I59">SUM(G52:H52)</f>
        <v>556910</v>
      </c>
    </row>
    <row r="53" spans="1:9" ht="21" customHeight="1">
      <c r="A53" s="173"/>
      <c r="B53" s="174">
        <v>85321</v>
      </c>
      <c r="C53" s="168" t="s">
        <v>685</v>
      </c>
      <c r="D53" s="213">
        <v>509000</v>
      </c>
      <c r="E53" s="213"/>
      <c r="F53" s="214">
        <f>SUM(D53:E53)</f>
        <v>509000</v>
      </c>
      <c r="G53" s="194">
        <v>509000</v>
      </c>
      <c r="H53" s="213">
        <f>H54+H56</f>
        <v>0</v>
      </c>
      <c r="I53" s="213">
        <f>SUM(G53:H53)</f>
        <v>509000</v>
      </c>
    </row>
    <row r="54" spans="1:9" ht="21" customHeight="1">
      <c r="A54" s="173"/>
      <c r="B54" s="173"/>
      <c r="C54" s="196" t="s">
        <v>492</v>
      </c>
      <c r="D54" s="215"/>
      <c r="E54" s="215"/>
      <c r="F54" s="216"/>
      <c r="G54" s="197">
        <v>259389</v>
      </c>
      <c r="H54" s="179">
        <f>H55</f>
        <v>-1015</v>
      </c>
      <c r="I54" s="179">
        <f>SUM(G54:H54)</f>
        <v>258374</v>
      </c>
    </row>
    <row r="55" spans="1:9" ht="19.5" customHeight="1">
      <c r="A55" s="210"/>
      <c r="B55" s="181">
        <v>4010</v>
      </c>
      <c r="C55" s="202" t="s">
        <v>896</v>
      </c>
      <c r="D55" s="217"/>
      <c r="E55" s="217"/>
      <c r="F55" s="218"/>
      <c r="G55" s="242">
        <v>240702</v>
      </c>
      <c r="H55" s="226">
        <v>-1015</v>
      </c>
      <c r="I55" s="226">
        <f t="shared" si="4"/>
        <v>239687</v>
      </c>
    </row>
    <row r="56" spans="1:9" ht="21" customHeight="1">
      <c r="A56" s="210"/>
      <c r="B56" s="202"/>
      <c r="C56" s="209" t="s">
        <v>1176</v>
      </c>
      <c r="D56" s="180"/>
      <c r="E56" s="180"/>
      <c r="F56" s="219"/>
      <c r="G56" s="197">
        <v>186311</v>
      </c>
      <c r="H56" s="179">
        <f>SUM(H57:H59)</f>
        <v>1015</v>
      </c>
      <c r="I56" s="180">
        <f t="shared" si="4"/>
        <v>187326</v>
      </c>
    </row>
    <row r="57" spans="1:9" ht="21" customHeight="1">
      <c r="A57" s="210"/>
      <c r="B57" s="181">
        <v>4210</v>
      </c>
      <c r="C57" s="203" t="s">
        <v>1174</v>
      </c>
      <c r="D57" s="220"/>
      <c r="E57" s="220"/>
      <c r="F57" s="221"/>
      <c r="G57" s="204">
        <v>6191</v>
      </c>
      <c r="H57" s="220">
        <v>500</v>
      </c>
      <c r="I57" s="220">
        <f t="shared" si="4"/>
        <v>6691</v>
      </c>
    </row>
    <row r="58" spans="1:9" ht="21" customHeight="1">
      <c r="A58" s="210"/>
      <c r="B58" s="205">
        <v>4300</v>
      </c>
      <c r="C58" s="206" t="s">
        <v>1173</v>
      </c>
      <c r="D58" s="222"/>
      <c r="E58" s="222"/>
      <c r="F58" s="223"/>
      <c r="G58" s="207">
        <v>171722</v>
      </c>
      <c r="H58" s="222">
        <v>500</v>
      </c>
      <c r="I58" s="222">
        <f>SUM(G58:H58)</f>
        <v>172222</v>
      </c>
    </row>
    <row r="59" spans="1:9" ht="21" customHeight="1">
      <c r="A59" s="210"/>
      <c r="B59" s="300">
        <v>4440</v>
      </c>
      <c r="C59" s="369" t="s">
        <v>630</v>
      </c>
      <c r="D59" s="370"/>
      <c r="E59" s="370"/>
      <c r="F59" s="371"/>
      <c r="G59" s="372">
        <v>6398</v>
      </c>
      <c r="H59" s="370">
        <v>15</v>
      </c>
      <c r="I59" s="370">
        <f t="shared" si="4"/>
        <v>6413</v>
      </c>
    </row>
    <row r="60" spans="1:9" ht="79.5" customHeight="1">
      <c r="A60" s="1289"/>
      <c r="B60" s="1109"/>
      <c r="C60" s="1110"/>
      <c r="D60" s="1111"/>
      <c r="E60" s="1111"/>
      <c r="F60" s="1111"/>
      <c r="G60" s="1276"/>
      <c r="H60" s="1111"/>
      <c r="I60" s="1111"/>
    </row>
    <row r="61" spans="1:9" ht="21" customHeight="1">
      <c r="A61" s="210"/>
      <c r="B61" s="168">
        <v>85334</v>
      </c>
      <c r="C61" s="275" t="s">
        <v>1386</v>
      </c>
      <c r="D61" s="211">
        <v>42105</v>
      </c>
      <c r="E61" s="211">
        <f>E62</f>
        <v>5805</v>
      </c>
      <c r="F61" s="318">
        <f>SUM(D61:E61)</f>
        <v>47910</v>
      </c>
      <c r="G61" s="963">
        <v>42105</v>
      </c>
      <c r="H61" s="211">
        <f>H64</f>
        <v>5805</v>
      </c>
      <c r="I61" s="211">
        <f>SUM(G61:H61)</f>
        <v>47910</v>
      </c>
    </row>
    <row r="62" spans="1:9" ht="21" customHeight="1">
      <c r="A62" s="210"/>
      <c r="B62" s="300"/>
      <c r="C62" s="367" t="s">
        <v>1387</v>
      </c>
      <c r="D62" s="179">
        <v>42105</v>
      </c>
      <c r="E62" s="179">
        <f>E63</f>
        <v>5805</v>
      </c>
      <c r="F62" s="341">
        <f>SUM(D62:E62)</f>
        <v>47910</v>
      </c>
      <c r="G62" s="321"/>
      <c r="H62" s="179"/>
      <c r="I62" s="179"/>
    </row>
    <row r="63" spans="1:9" ht="42" customHeight="1">
      <c r="A63" s="210"/>
      <c r="B63" s="181">
        <v>2110</v>
      </c>
      <c r="C63" s="203" t="s">
        <v>1388</v>
      </c>
      <c r="D63" s="220">
        <v>42105</v>
      </c>
      <c r="E63" s="220">
        <v>5805</v>
      </c>
      <c r="F63" s="221">
        <f>SUM(D63:E63)</f>
        <v>47910</v>
      </c>
      <c r="G63" s="323"/>
      <c r="H63" s="220"/>
      <c r="I63" s="220"/>
    </row>
    <row r="64" spans="1:9" ht="21" customHeight="1">
      <c r="A64" s="210"/>
      <c r="B64" s="300"/>
      <c r="C64" s="271" t="s">
        <v>1389</v>
      </c>
      <c r="D64" s="179"/>
      <c r="E64" s="179"/>
      <c r="F64" s="341"/>
      <c r="G64" s="368">
        <v>42105</v>
      </c>
      <c r="H64" s="179">
        <f>H65</f>
        <v>5805</v>
      </c>
      <c r="I64" s="179">
        <f>SUM(G64:H64)</f>
        <v>47910</v>
      </c>
    </row>
    <row r="65" spans="1:9" ht="21" customHeight="1">
      <c r="A65" s="373"/>
      <c r="B65" s="181">
        <v>3110</v>
      </c>
      <c r="C65" s="11" t="s">
        <v>1496</v>
      </c>
      <c r="D65" s="220"/>
      <c r="E65" s="220"/>
      <c r="F65" s="221"/>
      <c r="G65" s="12">
        <v>22865</v>
      </c>
      <c r="H65" s="220">
        <v>5805</v>
      </c>
      <c r="I65" s="220">
        <f>SUM(G65:H65)</f>
        <v>28670</v>
      </c>
    </row>
    <row r="66" spans="1:9" ht="15.75" customHeight="1">
      <c r="A66" s="1017"/>
      <c r="B66" s="1017"/>
      <c r="C66" s="1017" t="s">
        <v>550</v>
      </c>
      <c r="D66" s="1018"/>
      <c r="E66" s="1018"/>
      <c r="F66" s="1018"/>
      <c r="G66" s="1019"/>
      <c r="H66" s="1019"/>
      <c r="I66" s="1018"/>
    </row>
    <row r="67" spans="1:9" ht="26.25" customHeight="1">
      <c r="A67" s="193"/>
      <c r="B67" s="205">
        <v>2350</v>
      </c>
      <c r="C67" s="206" t="s">
        <v>546</v>
      </c>
      <c r="D67" s="207">
        <v>6467000</v>
      </c>
      <c r="E67" s="207"/>
      <c r="F67" s="331">
        <f>D67</f>
        <v>6467000</v>
      </c>
      <c r="G67" s="332"/>
      <c r="H67" s="1020"/>
      <c r="I67" s="1020"/>
    </row>
    <row r="69" spans="3:6" ht="12.75">
      <c r="C69" s="1383" t="s">
        <v>874</v>
      </c>
      <c r="E69" s="1383" t="s">
        <v>871</v>
      </c>
      <c r="F69" s="1383"/>
    </row>
    <row r="70" spans="3:6" ht="12.75">
      <c r="C70" s="1383"/>
      <c r="E70" s="1383" t="s">
        <v>872</v>
      </c>
      <c r="F70" s="1383"/>
    </row>
    <row r="71" spans="3:6" ht="12.75">
      <c r="C71" s="1383" t="s">
        <v>875</v>
      </c>
      <c r="E71" s="1383"/>
      <c r="F71" s="1383"/>
    </row>
    <row r="72" spans="3:6" ht="12.75">
      <c r="C72" s="1383" t="s">
        <v>876</v>
      </c>
      <c r="E72" s="1383" t="s">
        <v>873</v>
      </c>
      <c r="F72" s="1383"/>
    </row>
    <row r="73" spans="3:6" ht="12.75">
      <c r="C73" s="1383"/>
      <c r="E73" s="1383"/>
      <c r="F73" s="1383"/>
    </row>
    <row r="74" spans="3:6" ht="12.75">
      <c r="C74" s="1383"/>
      <c r="E74" s="1383"/>
      <c r="F74" s="1383"/>
    </row>
    <row r="75" ht="12.75">
      <c r="C75" s="1383"/>
    </row>
  </sheetData>
  <mergeCells count="5">
    <mergeCell ref="E7:E8"/>
    <mergeCell ref="I7:I8"/>
    <mergeCell ref="D7:D8"/>
    <mergeCell ref="H7:H8"/>
    <mergeCell ref="G7:G8"/>
  </mergeCells>
  <printOptions horizontalCentered="1"/>
  <pageMargins left="0.5905511811023623" right="0.5905511811023623" top="0.5511811023622047" bottom="0.5511811023622047" header="0.5118110236220472" footer="0.3937007874015748"/>
  <pageSetup firstPageNumber="54" useFirstPageNumber="1" horizontalDpi="300" verticalDpi="300" orientation="landscape" paperSize="9" scale="75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1"/>
  <sheetViews>
    <sheetView zoomScale="75" zoomScaleNormal="75" zoomScaleSheetLayoutView="75" workbookViewId="0" topLeftCell="A1">
      <selection activeCell="F29" sqref="F29"/>
    </sheetView>
  </sheetViews>
  <sheetFormatPr defaultColWidth="9.00390625" defaultRowHeight="12.75"/>
  <cols>
    <col min="1" max="1" width="6.25390625" style="0" customWidth="1"/>
    <col min="2" max="2" width="8.00390625" style="0" customWidth="1"/>
    <col min="3" max="3" width="52.75390625" style="0" customWidth="1"/>
    <col min="4" max="4" width="16.75390625" style="0" customWidth="1"/>
    <col min="5" max="8" width="13.75390625" style="0" customWidth="1"/>
    <col min="9" max="16384" width="11.375" style="0" customWidth="1"/>
  </cols>
  <sheetData>
    <row r="1" spans="1:8" ht="15.75" customHeight="1">
      <c r="A1" s="43"/>
      <c r="B1" s="43"/>
      <c r="C1" s="43"/>
      <c r="D1" s="43"/>
      <c r="E1" s="44"/>
      <c r="F1" s="44"/>
      <c r="G1" s="45" t="s">
        <v>1346</v>
      </c>
      <c r="H1" s="44"/>
    </row>
    <row r="2" spans="1:8" ht="15.75" customHeight="1">
      <c r="A2" s="43"/>
      <c r="B2" s="46"/>
      <c r="C2" s="43"/>
      <c r="D2" s="43"/>
      <c r="E2" s="44"/>
      <c r="F2" s="44"/>
      <c r="G2" s="1" t="s">
        <v>877</v>
      </c>
      <c r="H2" s="44"/>
    </row>
    <row r="3" spans="1:8" ht="15.75" customHeight="1">
      <c r="A3" s="43"/>
      <c r="B3" s="43"/>
      <c r="C3" s="47" t="s">
        <v>529</v>
      </c>
      <c r="D3" s="43"/>
      <c r="E3" s="44"/>
      <c r="F3" s="43"/>
      <c r="G3" s="1" t="s">
        <v>1161</v>
      </c>
      <c r="H3" s="44"/>
    </row>
    <row r="4" spans="1:8" ht="15.75" customHeight="1">
      <c r="A4" s="43"/>
      <c r="B4" s="43"/>
      <c r="C4" s="43"/>
      <c r="D4" s="43"/>
      <c r="E4" s="44"/>
      <c r="F4" s="43"/>
      <c r="G4" s="1" t="s">
        <v>1345</v>
      </c>
      <c r="H4" s="44"/>
    </row>
    <row r="5" spans="1:8" ht="10.5" customHeight="1">
      <c r="A5" s="43"/>
      <c r="B5" s="43"/>
      <c r="C5" s="46"/>
      <c r="D5" s="44"/>
      <c r="E5" s="44"/>
      <c r="F5" s="44"/>
      <c r="G5" s="44"/>
      <c r="H5" s="44"/>
    </row>
    <row r="6" spans="1:8" ht="13.5" thickBot="1">
      <c r="A6" s="43"/>
      <c r="B6" s="43"/>
      <c r="C6" s="46"/>
      <c r="D6" s="44"/>
      <c r="E6" s="48"/>
      <c r="F6" s="48"/>
      <c r="G6" s="48"/>
      <c r="H6" s="49" t="s">
        <v>1163</v>
      </c>
    </row>
    <row r="7" spans="1:8" ht="44.25" customHeight="1" thickBot="1" thickTop="1">
      <c r="A7" s="50" t="s">
        <v>509</v>
      </c>
      <c r="B7" s="119" t="s">
        <v>1138</v>
      </c>
      <c r="C7" s="118" t="s">
        <v>1143</v>
      </c>
      <c r="D7" s="51" t="s">
        <v>528</v>
      </c>
      <c r="E7" s="52" t="s">
        <v>1144</v>
      </c>
      <c r="F7" s="52" t="s">
        <v>1145</v>
      </c>
      <c r="G7" s="52" t="s">
        <v>1146</v>
      </c>
      <c r="H7" s="52" t="s">
        <v>1147</v>
      </c>
    </row>
    <row r="8" spans="1:8" ht="18" customHeight="1" thickBot="1" thickTop="1">
      <c r="A8" s="53">
        <v>1</v>
      </c>
      <c r="B8" s="54">
        <v>2</v>
      </c>
      <c r="C8" s="120">
        <v>3</v>
      </c>
      <c r="D8" s="55">
        <v>4</v>
      </c>
      <c r="E8" s="55">
        <v>5</v>
      </c>
      <c r="F8" s="55">
        <v>6</v>
      </c>
      <c r="G8" s="55">
        <v>7</v>
      </c>
      <c r="H8" s="55">
        <v>8</v>
      </c>
    </row>
    <row r="9" spans="1:8" ht="24" customHeight="1" thickBot="1" thickTop="1">
      <c r="A9" s="1049"/>
      <c r="B9" s="1050"/>
      <c r="C9" s="1051" t="s">
        <v>1148</v>
      </c>
      <c r="D9" s="1052">
        <f>SUM(E9:H9)</f>
        <v>701409386</v>
      </c>
      <c r="E9" s="1053">
        <v>173036852</v>
      </c>
      <c r="F9" s="1053">
        <v>167042942</v>
      </c>
      <c r="G9" s="1053">
        <f>178944248+G21+G24+G16</f>
        <v>179433818</v>
      </c>
      <c r="H9" s="1053">
        <f>181359539+H16</f>
        <v>181895774</v>
      </c>
    </row>
    <row r="10" spans="1:8" ht="22.5" customHeight="1" thickBot="1" thickTop="1">
      <c r="A10" s="1045"/>
      <c r="B10" s="1046"/>
      <c r="C10" s="1047" t="s">
        <v>520</v>
      </c>
      <c r="D10" s="1048">
        <f aca="true" t="shared" si="0" ref="D10:D20">SUM(E10:H10)</f>
        <v>688140388</v>
      </c>
      <c r="E10" s="1048">
        <v>169382789</v>
      </c>
      <c r="F10" s="1048">
        <v>163506891</v>
      </c>
      <c r="G10" s="1048">
        <f>176446916+G21+G24+G16</f>
        <v>176936486</v>
      </c>
      <c r="H10" s="1048">
        <f>177777987+H16</f>
        <v>178314222</v>
      </c>
    </row>
    <row r="11" spans="1:8" ht="20.25" customHeight="1" thickTop="1">
      <c r="A11" s="1041"/>
      <c r="B11" s="1042"/>
      <c r="C11" s="1043" t="s">
        <v>521</v>
      </c>
      <c r="D11" s="1044">
        <f t="shared" si="0"/>
        <v>620006278</v>
      </c>
      <c r="E11" s="1044">
        <v>154236639</v>
      </c>
      <c r="F11" s="1044">
        <v>141149281</v>
      </c>
      <c r="G11" s="1044">
        <f>161179816+G21+G24+G16</f>
        <v>161669386</v>
      </c>
      <c r="H11" s="1044">
        <f>162414737+H16</f>
        <v>162950972</v>
      </c>
    </row>
    <row r="12" spans="1:8" ht="20.25" customHeight="1">
      <c r="A12" s="1041"/>
      <c r="B12" s="1292"/>
      <c r="C12" s="1306" t="s">
        <v>817</v>
      </c>
      <c r="D12" s="1293">
        <f>SUM(E12:H12)</f>
        <v>416450621</v>
      </c>
      <c r="E12" s="1293">
        <v>97985236</v>
      </c>
      <c r="F12" s="1293">
        <v>96359655</v>
      </c>
      <c r="G12" s="1293">
        <f>107274706+G16</f>
        <v>107738471</v>
      </c>
      <c r="H12" s="1293">
        <f>113831024+H16</f>
        <v>114367259</v>
      </c>
    </row>
    <row r="13" spans="1:8" ht="26.25" customHeight="1" thickBot="1">
      <c r="A13" s="1041"/>
      <c r="B13" s="1292"/>
      <c r="C13" s="1305" t="s">
        <v>816</v>
      </c>
      <c r="D13" s="1294">
        <f>SUM(E13:H13)</f>
        <v>46790127</v>
      </c>
      <c r="E13" s="1294">
        <v>7403894</v>
      </c>
      <c r="F13" s="1294">
        <v>13686995</v>
      </c>
      <c r="G13" s="1294">
        <f>12472668+G16</f>
        <v>12936433</v>
      </c>
      <c r="H13" s="1294">
        <f>12226570+H16</f>
        <v>12762805</v>
      </c>
    </row>
    <row r="14" spans="1:8" ht="20.25" customHeight="1" thickTop="1">
      <c r="A14" s="1295">
        <v>852</v>
      </c>
      <c r="B14" s="1296"/>
      <c r="C14" s="1298" t="s">
        <v>485</v>
      </c>
      <c r="D14" s="1297">
        <f>SUM(E14:H14)</f>
        <v>43232982</v>
      </c>
      <c r="E14" s="1297">
        <v>5520389</v>
      </c>
      <c r="F14" s="1297">
        <v>12872495</v>
      </c>
      <c r="G14" s="1297">
        <f>11967428+G16</f>
        <v>12431193</v>
      </c>
      <c r="H14" s="1297">
        <f>11872670+H16</f>
        <v>12408905</v>
      </c>
    </row>
    <row r="15" spans="1:8" ht="25.5" customHeight="1">
      <c r="A15" s="1041"/>
      <c r="B15" s="1299">
        <v>85212</v>
      </c>
      <c r="C15" s="1300" t="s">
        <v>796</v>
      </c>
      <c r="D15" s="1304">
        <f>SUM(E15:H15)</f>
        <v>25693642</v>
      </c>
      <c r="E15" s="1304"/>
      <c r="F15" s="1304">
        <v>8864204</v>
      </c>
      <c r="G15" s="1304">
        <v>8429438</v>
      </c>
      <c r="H15" s="1304">
        <v>8400000</v>
      </c>
    </row>
    <row r="16" spans="1:8" ht="21" customHeight="1">
      <c r="A16" s="1041"/>
      <c r="B16" s="1301"/>
      <c r="C16" s="1302"/>
      <c r="D16" s="1303">
        <f>SUM(E16:H16)</f>
        <v>1000000</v>
      </c>
      <c r="E16" s="1303"/>
      <c r="F16" s="1303"/>
      <c r="G16" s="1303">
        <v>463765</v>
      </c>
      <c r="H16" s="1303">
        <f>1000000-463765</f>
        <v>536235</v>
      </c>
    </row>
    <row r="17" spans="1:8" ht="19.5" customHeight="1">
      <c r="A17" s="97"/>
      <c r="B17" s="97"/>
      <c r="C17" s="1039" t="s">
        <v>848</v>
      </c>
      <c r="D17" s="1040">
        <f t="shared" si="0"/>
        <v>203555657</v>
      </c>
      <c r="E17" s="1040">
        <v>56251403</v>
      </c>
      <c r="F17" s="1040">
        <v>44789626</v>
      </c>
      <c r="G17" s="1040">
        <f>53905110+G21+G24</f>
        <v>53930915</v>
      </c>
      <c r="H17" s="1040">
        <f>48583713</f>
        <v>48583713</v>
      </c>
    </row>
    <row r="18" spans="1:8" s="20" customFormat="1" ht="28.5" customHeight="1" thickBot="1">
      <c r="A18" s="189"/>
      <c r="B18" s="189"/>
      <c r="C18" s="109" t="s">
        <v>945</v>
      </c>
      <c r="D18" s="190">
        <f t="shared" si="0"/>
        <v>19704119</v>
      </c>
      <c r="E18" s="190">
        <f>6175881</f>
        <v>6175881</v>
      </c>
      <c r="F18" s="190">
        <f>4514172</f>
        <v>4514172</v>
      </c>
      <c r="G18" s="190">
        <f>4602705+G21+G24</f>
        <v>4628510</v>
      </c>
      <c r="H18" s="190">
        <f>4385556+H21</f>
        <v>4385556</v>
      </c>
    </row>
    <row r="19" spans="1:8" ht="19.5" customHeight="1" thickTop="1">
      <c r="A19" s="184">
        <v>754</v>
      </c>
      <c r="B19" s="184"/>
      <c r="C19" s="171" t="s">
        <v>690</v>
      </c>
      <c r="D19" s="185">
        <f t="shared" si="0"/>
        <v>11826000</v>
      </c>
      <c r="E19" s="185">
        <f>E20</f>
        <v>4242600</v>
      </c>
      <c r="F19" s="185">
        <f>F20</f>
        <v>2521500</v>
      </c>
      <c r="G19" s="185">
        <f>G20+G21</f>
        <v>2541500</v>
      </c>
      <c r="H19" s="185">
        <f>H20+H21</f>
        <v>2520400</v>
      </c>
    </row>
    <row r="20" spans="1:8" s="13" customFormat="1" ht="22.5" customHeight="1">
      <c r="A20" s="186"/>
      <c r="B20" s="187">
        <v>75411</v>
      </c>
      <c r="C20" s="100" t="s">
        <v>691</v>
      </c>
      <c r="D20" s="188">
        <f t="shared" si="0"/>
        <v>11806000</v>
      </c>
      <c r="E20" s="188">
        <v>4242600</v>
      </c>
      <c r="F20" s="188">
        <v>2521500</v>
      </c>
      <c r="G20" s="188">
        <v>2521500</v>
      </c>
      <c r="H20" s="188">
        <v>2520400</v>
      </c>
    </row>
    <row r="21" spans="1:8" ht="19.5" customHeight="1">
      <c r="A21" s="183"/>
      <c r="B21" s="183"/>
      <c r="C21" s="183"/>
      <c r="D21" s="12">
        <f>SUM(E21:H21)</f>
        <v>20000</v>
      </c>
      <c r="E21" s="183"/>
      <c r="F21" s="183"/>
      <c r="G21" s="12">
        <v>20000</v>
      </c>
      <c r="H21" s="12"/>
    </row>
    <row r="22" spans="1:8" ht="19.5" customHeight="1">
      <c r="A22" s="184">
        <v>853</v>
      </c>
      <c r="B22" s="184"/>
      <c r="C22" s="171" t="s">
        <v>684</v>
      </c>
      <c r="D22" s="185">
        <f>SUM(E22:H22)</f>
        <v>556910</v>
      </c>
      <c r="E22" s="185">
        <v>145280</v>
      </c>
      <c r="F22" s="185">
        <v>126280</v>
      </c>
      <c r="G22" s="185">
        <f>153265+G24</f>
        <v>159070</v>
      </c>
      <c r="H22" s="185">
        <v>126280</v>
      </c>
    </row>
    <row r="23" spans="1:8" ht="19.5" customHeight="1">
      <c r="A23" s="186"/>
      <c r="B23" s="187">
        <v>85334</v>
      </c>
      <c r="C23" s="100" t="s">
        <v>1386</v>
      </c>
      <c r="D23" s="188">
        <f>SUM(E23:H23)</f>
        <v>42105</v>
      </c>
      <c r="E23" s="188">
        <v>3780</v>
      </c>
      <c r="F23" s="188">
        <v>3780</v>
      </c>
      <c r="G23" s="188">
        <v>30765</v>
      </c>
      <c r="H23" s="188">
        <v>3780</v>
      </c>
    </row>
    <row r="24" spans="1:8" ht="19.5" customHeight="1">
      <c r="A24" s="183"/>
      <c r="B24" s="183"/>
      <c r="C24" s="183"/>
      <c r="D24" s="12">
        <f>SUM(E24:H24)</f>
        <v>5805</v>
      </c>
      <c r="E24" s="183"/>
      <c r="F24" s="183"/>
      <c r="G24" s="12">
        <v>5805</v>
      </c>
      <c r="H24" s="12"/>
    </row>
    <row r="26" spans="3:6" ht="12.75">
      <c r="C26" s="1384" t="s">
        <v>874</v>
      </c>
      <c r="D26" s="1384"/>
      <c r="E26" s="1384" t="s">
        <v>871</v>
      </c>
      <c r="F26" s="1384"/>
    </row>
    <row r="27" spans="3:6" ht="12.75">
      <c r="C27" s="1384"/>
      <c r="D27" s="1384"/>
      <c r="E27" s="1384" t="s">
        <v>872</v>
      </c>
      <c r="F27" s="1384"/>
    </row>
    <row r="28" spans="3:6" ht="12.75">
      <c r="C28" s="1384" t="s">
        <v>875</v>
      </c>
      <c r="D28" s="1384"/>
      <c r="E28" s="1384"/>
      <c r="F28" s="1384"/>
    </row>
    <row r="29" spans="3:6" ht="12.75">
      <c r="C29" s="1384" t="s">
        <v>876</v>
      </c>
      <c r="D29" s="1384"/>
      <c r="E29" s="1384" t="s">
        <v>873</v>
      </c>
      <c r="F29" s="1384"/>
    </row>
    <row r="30" spans="3:6" ht="12.75">
      <c r="C30" s="1384"/>
      <c r="D30" s="1384"/>
      <c r="E30" s="1384"/>
      <c r="F30" s="1384"/>
    </row>
    <row r="31" spans="4:6" ht="12.75">
      <c r="D31" s="1384"/>
      <c r="E31" s="1384"/>
      <c r="F31" s="1384"/>
    </row>
  </sheetData>
  <printOptions horizontalCentered="1"/>
  <pageMargins left="0.3937007874015748" right="0.3937007874015748" top="0.58" bottom="0.5905511811023623" header="0.5118110236220472" footer="0.3937007874015748"/>
  <pageSetup firstPageNumber="57" useFirstPageNumber="1" horizontalDpi="300" verticalDpi="300" orientation="landscape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N221"/>
  <sheetViews>
    <sheetView tabSelected="1" zoomScale="75" zoomScaleNormal="75" zoomScaleSheetLayoutView="75" workbookViewId="0" topLeftCell="A1">
      <selection activeCell="K15" sqref="K15"/>
    </sheetView>
  </sheetViews>
  <sheetFormatPr defaultColWidth="9.00390625" defaultRowHeight="12.75"/>
  <cols>
    <col min="1" max="1" width="6.375" style="0" customWidth="1"/>
    <col min="2" max="2" width="8.125" style="0" customWidth="1"/>
    <col min="3" max="3" width="57.00390625" style="0" customWidth="1"/>
    <col min="4" max="4" width="16.75390625" style="0" customWidth="1"/>
    <col min="5" max="8" width="15.75390625" style="0" customWidth="1"/>
    <col min="9" max="9" width="12.75390625" style="0" customWidth="1"/>
    <col min="10" max="11" width="13.375" style="0" customWidth="1"/>
    <col min="12" max="16384" width="11.375" style="0" customWidth="1"/>
  </cols>
  <sheetData>
    <row r="1" spans="1:10" ht="18" customHeight="1">
      <c r="A1" s="58"/>
      <c r="B1" s="58"/>
      <c r="C1" s="58"/>
      <c r="D1" s="59"/>
      <c r="E1" s="59"/>
      <c r="F1" s="59"/>
      <c r="G1" s="60" t="s">
        <v>668</v>
      </c>
      <c r="H1" s="59"/>
      <c r="I1" s="61"/>
      <c r="J1" s="61"/>
    </row>
    <row r="2" spans="1:10" ht="15" customHeight="1">
      <c r="A2" s="58"/>
      <c r="B2" s="58"/>
      <c r="C2" s="58"/>
      <c r="D2" s="59"/>
      <c r="E2" s="59"/>
      <c r="F2" s="59"/>
      <c r="G2" s="1" t="s">
        <v>877</v>
      </c>
      <c r="H2" s="59"/>
      <c r="I2" s="61"/>
      <c r="J2" s="61"/>
    </row>
    <row r="3" spans="1:10" ht="18" customHeight="1">
      <c r="A3" s="58"/>
      <c r="B3" s="58"/>
      <c r="C3" s="62" t="s">
        <v>1160</v>
      </c>
      <c r="D3" s="59"/>
      <c r="E3" s="59"/>
      <c r="F3" s="59"/>
      <c r="G3" s="1" t="s">
        <v>1161</v>
      </c>
      <c r="H3" s="59"/>
      <c r="I3" s="61"/>
      <c r="J3" s="61"/>
    </row>
    <row r="4" spans="1:10" ht="18" customHeight="1">
      <c r="A4" s="58"/>
      <c r="B4" s="58"/>
      <c r="C4" s="63"/>
      <c r="D4" s="59"/>
      <c r="E4" s="59"/>
      <c r="F4" s="59"/>
      <c r="G4" s="1" t="s">
        <v>1345</v>
      </c>
      <c r="H4" s="59"/>
      <c r="I4" s="61"/>
      <c r="J4" s="61"/>
    </row>
    <row r="5" spans="1:10" ht="5.25" customHeight="1">
      <c r="A5" s="58"/>
      <c r="B5" s="58"/>
      <c r="C5" s="64"/>
      <c r="D5" s="59"/>
      <c r="E5" s="59"/>
      <c r="F5" s="59"/>
      <c r="G5" s="59"/>
      <c r="H5" s="59"/>
      <c r="I5" s="61"/>
      <c r="J5" s="61"/>
    </row>
    <row r="6" spans="1:10" ht="15.75" thickBot="1">
      <c r="A6" s="58"/>
      <c r="B6" s="58"/>
      <c r="C6" s="58"/>
      <c r="D6" s="59"/>
      <c r="E6" s="59"/>
      <c r="F6" s="59"/>
      <c r="G6" s="59"/>
      <c r="H6" s="65" t="s">
        <v>1163</v>
      </c>
      <c r="I6" s="61"/>
      <c r="J6" s="61"/>
    </row>
    <row r="7" spans="1:10" ht="19.5" customHeight="1" thickTop="1">
      <c r="A7" s="66"/>
      <c r="B7" s="66"/>
      <c r="C7" s="67" t="s">
        <v>1149</v>
      </c>
      <c r="D7" s="1413" t="s">
        <v>547</v>
      </c>
      <c r="E7" s="68"/>
      <c r="F7" s="69"/>
      <c r="G7" s="69"/>
      <c r="H7" s="68"/>
      <c r="I7" s="61"/>
      <c r="J7" s="61"/>
    </row>
    <row r="8" spans="1:10" ht="26.25" customHeight="1" thickBot="1">
      <c r="A8" s="70" t="s">
        <v>509</v>
      </c>
      <c r="B8" s="70" t="s">
        <v>1165</v>
      </c>
      <c r="C8" s="71" t="s">
        <v>1150</v>
      </c>
      <c r="D8" s="1414"/>
      <c r="E8" s="72" t="s">
        <v>1144</v>
      </c>
      <c r="F8" s="72" t="s">
        <v>1145</v>
      </c>
      <c r="G8" s="72" t="s">
        <v>1146</v>
      </c>
      <c r="H8" s="72" t="s">
        <v>1147</v>
      </c>
      <c r="I8" s="61"/>
      <c r="J8" s="61"/>
    </row>
    <row r="9" spans="1:9" ht="14.25" customHeight="1" thickBot="1" thickTop="1">
      <c r="A9" s="73">
        <v>1</v>
      </c>
      <c r="B9" s="73">
        <v>2</v>
      </c>
      <c r="C9" s="73">
        <v>3</v>
      </c>
      <c r="D9" s="74">
        <v>4</v>
      </c>
      <c r="E9" s="74">
        <v>5</v>
      </c>
      <c r="F9" s="74">
        <v>6</v>
      </c>
      <c r="G9" s="74">
        <v>7</v>
      </c>
      <c r="H9" s="74">
        <v>8</v>
      </c>
      <c r="I9" s="61"/>
    </row>
    <row r="10" spans="1:14" s="75" customFormat="1" ht="21.75" customHeight="1" thickBot="1" thickTop="1">
      <c r="A10" s="1143"/>
      <c r="B10" s="1143"/>
      <c r="C10" s="1144" t="s">
        <v>1170</v>
      </c>
      <c r="D10" s="1145">
        <f>SUM(E10:H10)</f>
        <v>720690386</v>
      </c>
      <c r="E10" s="1145">
        <f>I10+173629599</f>
        <v>173412096</v>
      </c>
      <c r="F10" s="1145">
        <f>190494841+J10</f>
        <v>177204356</v>
      </c>
      <c r="G10" s="1145">
        <f>205983336+K10</f>
        <v>226710335</v>
      </c>
      <c r="H10" s="1145">
        <f>149556805+L10</f>
        <v>143363599</v>
      </c>
      <c r="I10" s="115">
        <f>I12+E136+E141+E147+E156+E162+I165+I198</f>
        <v>-217503</v>
      </c>
      <c r="J10" s="76">
        <f>J12+F136+F141+F147+F156+F162+J165+J198</f>
        <v>-13290485</v>
      </c>
      <c r="K10" s="116">
        <f>K12+G136+G141+G147+G156+G162+K165+K198</f>
        <v>20726999</v>
      </c>
      <c r="L10" s="27">
        <f>L12+H136+H141+H147+H152+H156+H162+L165+L198</f>
        <v>-6193206</v>
      </c>
      <c r="N10" s="27"/>
    </row>
    <row r="11" spans="1:11" ht="15" customHeight="1">
      <c r="A11" s="1146"/>
      <c r="B11" s="1146"/>
      <c r="C11" s="1147" t="s">
        <v>548</v>
      </c>
      <c r="D11" s="1148"/>
      <c r="E11" s="1149"/>
      <c r="F11" s="1149"/>
      <c r="G11" s="1149"/>
      <c r="H11" s="1149"/>
      <c r="I11" s="61"/>
      <c r="J11" s="76"/>
      <c r="K11" s="28"/>
    </row>
    <row r="12" spans="1:12" s="56" customFormat="1" ht="19.5" customHeight="1">
      <c r="A12" s="1150"/>
      <c r="B12" s="1150"/>
      <c r="C12" s="1151" t="s">
        <v>520</v>
      </c>
      <c r="D12" s="1152">
        <f aca="true" t="shared" si="0" ref="D12:D184">SUM(E12:H12)</f>
        <v>286505505</v>
      </c>
      <c r="E12" s="1152">
        <f>53866889+I12</f>
        <v>53666889</v>
      </c>
      <c r="F12" s="1152">
        <f>76439254+J12</f>
        <v>64902767</v>
      </c>
      <c r="G12" s="1152">
        <f>88808978+K12</f>
        <v>101555605</v>
      </c>
      <c r="H12" s="1152">
        <f>68243188+L12</f>
        <v>66380244</v>
      </c>
      <c r="I12" s="113">
        <f>E17+E22+E27+E29+E37+I40+E74+E79+E82+E84+E89+E91+E94+E97+E100+E102+E104+E106+E109+E111+E114+E117+E119+E121+E124+E126+E129+E131</f>
        <v>-200000</v>
      </c>
      <c r="J12" s="113">
        <f>F17+F22+F27+F29+F37+J40+F74+F79+F82+F84+F89+F91+F94+F97+F100+F102+F104+F106+F109+F111+F114+F117+F119+F121+F124+F126+F129+F131</f>
        <v>-11536487</v>
      </c>
      <c r="K12" s="114">
        <f>G17+G22+G27+G29+G34+G37+K40+G74+G79+G82+G84+G89+G91+G94+G97+G100+G102+G104+G106+G109+G111+G114+G117+G119+G121+G124+G126+G129+G131+K57</f>
        <v>12746627</v>
      </c>
      <c r="L12" s="114">
        <f>H17+H22+H27+H29+H32+H37+L40+H74+H79+H82+H84+H89+H91+H94+H97+H100+H102+H104+H106+H109+H111+H114+H117+H119+H121+H124+H126+H129+H131+L57</f>
        <v>-1862944</v>
      </c>
    </row>
    <row r="13" spans="1:12" s="56" customFormat="1" ht="18.75" customHeight="1">
      <c r="A13" s="261"/>
      <c r="B13" s="261"/>
      <c r="C13" s="262" t="s">
        <v>486</v>
      </c>
      <c r="D13" s="263">
        <f t="shared" si="0"/>
        <v>15485950</v>
      </c>
      <c r="E13" s="263">
        <v>2180546</v>
      </c>
      <c r="F13" s="263">
        <v>3410207</v>
      </c>
      <c r="G13" s="263">
        <v>4834883</v>
      </c>
      <c r="H13" s="263">
        <f>5626314+H17</f>
        <v>5060314</v>
      </c>
      <c r="I13" s="113"/>
      <c r="J13" s="113"/>
      <c r="K13" s="114"/>
      <c r="L13" s="114"/>
    </row>
    <row r="14" spans="1:12" s="56" customFormat="1" ht="18.75" customHeight="1" thickBot="1">
      <c r="A14" s="264"/>
      <c r="B14" s="264"/>
      <c r="C14" s="265" t="s">
        <v>1172</v>
      </c>
      <c r="D14" s="266">
        <f t="shared" si="0"/>
        <v>15485950</v>
      </c>
      <c r="E14" s="266">
        <v>2180546</v>
      </c>
      <c r="F14" s="266">
        <v>3410207</v>
      </c>
      <c r="G14" s="266">
        <v>4834883</v>
      </c>
      <c r="H14" s="266">
        <f>5626314+H17</f>
        <v>5060314</v>
      </c>
      <c r="I14" s="113"/>
      <c r="J14" s="113"/>
      <c r="K14" s="114"/>
      <c r="L14" s="114"/>
    </row>
    <row r="15" spans="1:12" s="56" customFormat="1" ht="18.75" customHeight="1" thickTop="1">
      <c r="A15" s="192">
        <v>758</v>
      </c>
      <c r="B15" s="192"/>
      <c r="C15" s="192" t="s">
        <v>482</v>
      </c>
      <c r="D15" s="267">
        <f t="shared" si="0"/>
        <v>5857084</v>
      </c>
      <c r="E15" s="267">
        <v>885657</v>
      </c>
      <c r="F15" s="267">
        <v>825657</v>
      </c>
      <c r="G15" s="267">
        <v>825656</v>
      </c>
      <c r="H15" s="267">
        <f>3886114+H17</f>
        <v>3320114</v>
      </c>
      <c r="I15" s="113"/>
      <c r="J15" s="113"/>
      <c r="K15" s="114"/>
      <c r="L15" s="114"/>
    </row>
    <row r="16" spans="1:12" s="57" customFormat="1" ht="18.75" customHeight="1">
      <c r="A16" s="99"/>
      <c r="B16" s="178">
        <v>75818</v>
      </c>
      <c r="C16" s="99" t="s">
        <v>483</v>
      </c>
      <c r="D16" s="268">
        <f t="shared" si="0"/>
        <v>3060458</v>
      </c>
      <c r="E16" s="268"/>
      <c r="F16" s="268"/>
      <c r="G16" s="268"/>
      <c r="H16" s="268">
        <v>3060458</v>
      </c>
      <c r="I16" s="137"/>
      <c r="J16" s="137"/>
      <c r="K16" s="123"/>
      <c r="L16" s="123"/>
    </row>
    <row r="17" spans="1:12" s="130" customFormat="1" ht="18.75" customHeight="1">
      <c r="A17" s="202"/>
      <c r="B17" s="181"/>
      <c r="C17" s="269"/>
      <c r="D17" s="270">
        <f t="shared" si="0"/>
        <v>-566000</v>
      </c>
      <c r="E17" s="270"/>
      <c r="F17" s="270"/>
      <c r="G17" s="270"/>
      <c r="H17" s="270">
        <f>-130000-216000-220000</f>
        <v>-566000</v>
      </c>
      <c r="I17" s="128"/>
      <c r="J17" s="128"/>
      <c r="K17" s="129"/>
      <c r="L17" s="129"/>
    </row>
    <row r="18" spans="1:12" s="56" customFormat="1" ht="18.75" customHeight="1">
      <c r="A18" s="261"/>
      <c r="B18" s="261"/>
      <c r="C18" s="262" t="s">
        <v>1038</v>
      </c>
      <c r="D18" s="263">
        <f t="shared" si="0"/>
        <v>46395559</v>
      </c>
      <c r="E18" s="263">
        <v>12264626</v>
      </c>
      <c r="F18" s="263">
        <v>10166491</v>
      </c>
      <c r="G18" s="263">
        <f>12517658</f>
        <v>12517658</v>
      </c>
      <c r="H18" s="263">
        <f>11230784+H22</f>
        <v>11446784</v>
      </c>
      <c r="I18" s="113"/>
      <c r="J18" s="113"/>
      <c r="K18" s="114"/>
      <c r="L18" s="114"/>
    </row>
    <row r="19" spans="1:12" s="56" customFormat="1" ht="18.75" customHeight="1" thickBot="1">
      <c r="A19" s="264"/>
      <c r="B19" s="264"/>
      <c r="C19" s="265" t="s">
        <v>1172</v>
      </c>
      <c r="D19" s="266">
        <f t="shared" si="0"/>
        <v>46357400</v>
      </c>
      <c r="E19" s="266">
        <v>12264626</v>
      </c>
      <c r="F19" s="266">
        <v>10151491</v>
      </c>
      <c r="G19" s="266">
        <f>12506058</f>
        <v>12506058</v>
      </c>
      <c r="H19" s="266">
        <f>11219225+H22</f>
        <v>11435225</v>
      </c>
      <c r="I19" s="113"/>
      <c r="J19" s="113"/>
      <c r="K19" s="114"/>
      <c r="L19" s="114"/>
    </row>
    <row r="20" spans="1:12" s="56" customFormat="1" ht="18.75" customHeight="1" thickTop="1">
      <c r="A20" s="192">
        <v>600</v>
      </c>
      <c r="B20" s="192"/>
      <c r="C20" s="192" t="s">
        <v>551</v>
      </c>
      <c r="D20" s="267">
        <f t="shared" si="0"/>
        <v>17948000</v>
      </c>
      <c r="E20" s="267">
        <v>3061000</v>
      </c>
      <c r="F20" s="267">
        <v>3975000</v>
      </c>
      <c r="G20" s="267">
        <v>5561000</v>
      </c>
      <c r="H20" s="267">
        <f>5135000+H22</f>
        <v>5351000</v>
      </c>
      <c r="I20" s="113"/>
      <c r="J20" s="113"/>
      <c r="K20" s="114"/>
      <c r="L20" s="114"/>
    </row>
    <row r="21" spans="1:12" s="56" customFormat="1" ht="18.75" customHeight="1">
      <c r="A21" s="178"/>
      <c r="B21" s="178">
        <v>60004</v>
      </c>
      <c r="C21" s="178" t="s">
        <v>1419</v>
      </c>
      <c r="D21" s="409">
        <f t="shared" si="0"/>
        <v>5600000</v>
      </c>
      <c r="E21" s="409">
        <v>1100000</v>
      </c>
      <c r="F21" s="409">
        <v>1500000</v>
      </c>
      <c r="G21" s="409">
        <v>1500000</v>
      </c>
      <c r="H21" s="409">
        <v>1500000</v>
      </c>
      <c r="I21" s="113"/>
      <c r="J21" s="113"/>
      <c r="K21" s="114"/>
      <c r="L21" s="114"/>
    </row>
    <row r="22" spans="1:12" s="130" customFormat="1" ht="18.75" customHeight="1">
      <c r="A22" s="1104"/>
      <c r="B22" s="410"/>
      <c r="C22" s="411"/>
      <c r="D22" s="412">
        <f t="shared" si="0"/>
        <v>216000</v>
      </c>
      <c r="E22" s="412"/>
      <c r="F22" s="412"/>
      <c r="G22" s="412"/>
      <c r="H22" s="412">
        <v>216000</v>
      </c>
      <c r="I22" s="128"/>
      <c r="J22" s="128"/>
      <c r="K22" s="129"/>
      <c r="L22" s="129"/>
    </row>
    <row r="23" spans="1:12" s="56" customFormat="1" ht="18.75" customHeight="1">
      <c r="A23" s="441"/>
      <c r="B23" s="441"/>
      <c r="C23" s="262" t="s">
        <v>1039</v>
      </c>
      <c r="D23" s="259">
        <f t="shared" si="0"/>
        <v>67014477</v>
      </c>
      <c r="E23" s="259">
        <v>13924970</v>
      </c>
      <c r="F23" s="259">
        <v>18346528</v>
      </c>
      <c r="G23" s="259">
        <f>18686198+G27+G29+G37+G34</f>
        <v>18642775</v>
      </c>
      <c r="H23" s="259">
        <f>16064481+H32</f>
        <v>16100204</v>
      </c>
      <c r="I23" s="113"/>
      <c r="J23" s="113"/>
      <c r="K23" s="114"/>
      <c r="L23" s="114"/>
    </row>
    <row r="24" spans="1:12" s="56" customFormat="1" ht="19.5" customHeight="1" thickBot="1">
      <c r="A24" s="229"/>
      <c r="B24" s="229"/>
      <c r="C24" s="230" t="s">
        <v>1172</v>
      </c>
      <c r="D24" s="169">
        <f t="shared" si="0"/>
        <v>64225076</v>
      </c>
      <c r="E24" s="169">
        <v>12709793</v>
      </c>
      <c r="F24" s="169">
        <v>16801688</v>
      </c>
      <c r="G24" s="169">
        <f>18660594+G27+G29+G37+G34</f>
        <v>18617171</v>
      </c>
      <c r="H24" s="169">
        <f>16060701+H32</f>
        <v>16096424</v>
      </c>
      <c r="I24" s="113"/>
      <c r="J24" s="113"/>
      <c r="K24" s="114"/>
      <c r="L24" s="114"/>
    </row>
    <row r="25" spans="1:12" s="56" customFormat="1" ht="19.5" customHeight="1" thickTop="1">
      <c r="A25" s="192">
        <v>801</v>
      </c>
      <c r="B25" s="192"/>
      <c r="C25" s="192" t="s">
        <v>490</v>
      </c>
      <c r="D25" s="232">
        <f t="shared" si="0"/>
        <v>14628307</v>
      </c>
      <c r="E25" s="232">
        <v>415000</v>
      </c>
      <c r="F25" s="232">
        <v>4787212</v>
      </c>
      <c r="G25" s="232">
        <f>5361644+G27+G29</f>
        <v>5356944</v>
      </c>
      <c r="H25" s="232">
        <v>4069151</v>
      </c>
      <c r="I25" s="113"/>
      <c r="J25" s="113"/>
      <c r="K25" s="114"/>
      <c r="L25" s="114"/>
    </row>
    <row r="26" spans="1:12" s="56" customFormat="1" ht="18.75" customHeight="1">
      <c r="A26" s="99"/>
      <c r="B26" s="97">
        <v>80120</v>
      </c>
      <c r="C26" s="99" t="s">
        <v>921</v>
      </c>
      <c r="D26" s="442">
        <f t="shared" si="0"/>
        <v>304269</v>
      </c>
      <c r="E26" s="442">
        <v>300000</v>
      </c>
      <c r="F26" s="442"/>
      <c r="G26" s="442">
        <v>4269</v>
      </c>
      <c r="H26" s="442"/>
      <c r="I26" s="113"/>
      <c r="J26" s="113"/>
      <c r="K26" s="114"/>
      <c r="L26" s="114"/>
    </row>
    <row r="27" spans="1:12" s="130" customFormat="1" ht="18.75" customHeight="1">
      <c r="A27" s="202"/>
      <c r="B27" s="255"/>
      <c r="C27" s="269"/>
      <c r="D27" s="443">
        <f t="shared" si="0"/>
        <v>-4269</v>
      </c>
      <c r="E27" s="443"/>
      <c r="F27" s="443"/>
      <c r="G27" s="443">
        <v>-4269</v>
      </c>
      <c r="H27" s="443"/>
      <c r="I27" s="128"/>
      <c r="J27" s="128"/>
      <c r="K27" s="129"/>
      <c r="L27" s="129"/>
    </row>
    <row r="28" spans="1:12" s="56" customFormat="1" ht="18.75" customHeight="1">
      <c r="A28" s="99"/>
      <c r="B28" s="97">
        <v>80130</v>
      </c>
      <c r="C28" s="99" t="s">
        <v>647</v>
      </c>
      <c r="D28" s="260">
        <f t="shared" si="0"/>
        <v>5400</v>
      </c>
      <c r="E28" s="260"/>
      <c r="F28" s="260"/>
      <c r="G28" s="260">
        <v>5400</v>
      </c>
      <c r="H28" s="260"/>
      <c r="I28" s="113"/>
      <c r="J28" s="113"/>
      <c r="K28" s="114"/>
      <c r="L28" s="114"/>
    </row>
    <row r="29" spans="1:12" s="130" customFormat="1" ht="18.75" customHeight="1">
      <c r="A29" s="202"/>
      <c r="B29" s="403"/>
      <c r="C29" s="444"/>
      <c r="D29" s="445">
        <f t="shared" si="0"/>
        <v>-431</v>
      </c>
      <c r="E29" s="445"/>
      <c r="F29" s="445"/>
      <c r="G29" s="445">
        <v>-431</v>
      </c>
      <c r="H29" s="445"/>
      <c r="I29" s="128"/>
      <c r="J29" s="128"/>
      <c r="K29" s="129"/>
      <c r="L29" s="129"/>
    </row>
    <row r="30" spans="1:12" s="130" customFormat="1" ht="19.5" customHeight="1">
      <c r="A30" s="170">
        <v>852</v>
      </c>
      <c r="B30" s="170"/>
      <c r="C30" s="170" t="s">
        <v>485</v>
      </c>
      <c r="D30" s="297">
        <f aca="true" t="shared" si="1" ref="D30:D35">SUM(E30:H30)</f>
        <v>1004386</v>
      </c>
      <c r="E30" s="297">
        <v>9386</v>
      </c>
      <c r="F30" s="297"/>
      <c r="G30" s="297">
        <v>789277</v>
      </c>
      <c r="H30" s="297">
        <v>205723</v>
      </c>
      <c r="I30" s="128"/>
      <c r="J30" s="128"/>
      <c r="K30" s="129"/>
      <c r="L30" s="129"/>
    </row>
    <row r="31" spans="1:12" s="130" customFormat="1" ht="18.75" customHeight="1">
      <c r="A31" s="99"/>
      <c r="B31" s="97">
        <v>85202</v>
      </c>
      <c r="C31" s="99" t="s">
        <v>988</v>
      </c>
      <c r="D31" s="442">
        <f t="shared" si="1"/>
        <v>170000</v>
      </c>
      <c r="E31" s="442"/>
      <c r="F31" s="442"/>
      <c r="G31" s="442"/>
      <c r="H31" s="442">
        <v>170000</v>
      </c>
      <c r="I31" s="128"/>
      <c r="J31" s="128"/>
      <c r="K31" s="129"/>
      <c r="L31" s="129"/>
    </row>
    <row r="32" spans="1:12" s="130" customFormat="1" ht="18.75" customHeight="1">
      <c r="A32" s="181"/>
      <c r="B32" s="255"/>
      <c r="C32" s="269"/>
      <c r="D32" s="443">
        <f t="shared" si="1"/>
        <v>35723</v>
      </c>
      <c r="E32" s="443"/>
      <c r="F32" s="443"/>
      <c r="G32" s="443"/>
      <c r="H32" s="443">
        <v>35723</v>
      </c>
      <c r="I32" s="128"/>
      <c r="J32" s="128"/>
      <c r="K32" s="129"/>
      <c r="L32" s="129"/>
    </row>
    <row r="33" spans="1:12" s="130" customFormat="1" ht="19.5" customHeight="1">
      <c r="A33" s="202"/>
      <c r="B33" s="97">
        <v>85203</v>
      </c>
      <c r="C33" s="481" t="s">
        <v>973</v>
      </c>
      <c r="D33" s="482">
        <f t="shared" si="1"/>
        <v>825000</v>
      </c>
      <c r="E33" s="482"/>
      <c r="F33" s="482"/>
      <c r="G33" s="482">
        <v>825000</v>
      </c>
      <c r="H33" s="260"/>
      <c r="I33" s="128"/>
      <c r="J33" s="128"/>
      <c r="K33" s="129"/>
      <c r="L33" s="129"/>
    </row>
    <row r="34" spans="1:12" s="130" customFormat="1" ht="19.5" customHeight="1">
      <c r="A34" s="202"/>
      <c r="B34" s="255"/>
      <c r="C34" s="1363"/>
      <c r="D34" s="1364">
        <f t="shared" si="1"/>
        <v>-35723</v>
      </c>
      <c r="E34" s="1364"/>
      <c r="F34" s="1364"/>
      <c r="G34" s="1364">
        <v>-35723</v>
      </c>
      <c r="H34" s="204"/>
      <c r="I34" s="128"/>
      <c r="J34" s="128"/>
      <c r="K34" s="129"/>
      <c r="L34" s="129"/>
    </row>
    <row r="35" spans="1:12" s="130" customFormat="1" ht="19.5" customHeight="1">
      <c r="A35" s="170">
        <v>854</v>
      </c>
      <c r="B35" s="184"/>
      <c r="C35" s="170" t="s">
        <v>640</v>
      </c>
      <c r="D35" s="297">
        <f t="shared" si="1"/>
        <v>3400</v>
      </c>
      <c r="E35" s="297"/>
      <c r="F35" s="297"/>
      <c r="G35" s="297">
        <f>6400+G37</f>
        <v>3400</v>
      </c>
      <c r="H35" s="297"/>
      <c r="I35" s="128"/>
      <c r="J35" s="128"/>
      <c r="K35" s="129"/>
      <c r="L35" s="129"/>
    </row>
    <row r="36" spans="1:12" s="130" customFormat="1" ht="19.5" customHeight="1">
      <c r="A36" s="99"/>
      <c r="B36" s="97">
        <v>85410</v>
      </c>
      <c r="C36" s="99" t="s">
        <v>646</v>
      </c>
      <c r="D36" s="260">
        <f t="shared" si="0"/>
        <v>6400</v>
      </c>
      <c r="E36" s="260"/>
      <c r="F36" s="260"/>
      <c r="G36" s="260">
        <v>6400</v>
      </c>
      <c r="H36" s="260"/>
      <c r="I36" s="128"/>
      <c r="J36" s="128"/>
      <c r="K36" s="129"/>
      <c r="L36" s="129"/>
    </row>
    <row r="37" spans="1:12" s="130" customFormat="1" ht="19.5" customHeight="1">
      <c r="A37" s="202"/>
      <c r="B37" s="255"/>
      <c r="C37" s="181"/>
      <c r="D37" s="204">
        <f t="shared" si="0"/>
        <v>-3000</v>
      </c>
      <c r="E37" s="204"/>
      <c r="F37" s="204"/>
      <c r="G37" s="204">
        <v>-3000</v>
      </c>
      <c r="H37" s="204"/>
      <c r="I37" s="128"/>
      <c r="J37" s="128"/>
      <c r="K37" s="129"/>
      <c r="L37" s="129"/>
    </row>
    <row r="38" spans="1:12" s="130" customFormat="1" ht="19.5" customHeight="1">
      <c r="A38" s="99"/>
      <c r="B38" s="99"/>
      <c r="C38" s="262" t="s">
        <v>1040</v>
      </c>
      <c r="D38" s="259">
        <f t="shared" si="0"/>
        <v>18087645</v>
      </c>
      <c r="E38" s="259">
        <v>4721642</v>
      </c>
      <c r="F38" s="259">
        <v>4324322</v>
      </c>
      <c r="G38" s="259">
        <f>6239484+K40+K57</f>
        <v>5674323</v>
      </c>
      <c r="H38" s="259">
        <f>3297301+L40+L57</f>
        <v>3367358</v>
      </c>
      <c r="I38" s="128"/>
      <c r="J38" s="128"/>
      <c r="K38" s="129"/>
      <c r="L38" s="129"/>
    </row>
    <row r="39" spans="1:12" s="130" customFormat="1" ht="19.5" customHeight="1" thickBot="1">
      <c r="A39" s="229"/>
      <c r="B39" s="229"/>
      <c r="C39" s="230" t="s">
        <v>1172</v>
      </c>
      <c r="D39" s="169">
        <f t="shared" si="0"/>
        <v>18087645</v>
      </c>
      <c r="E39" s="169">
        <v>4721642</v>
      </c>
      <c r="F39" s="169">
        <v>4324322</v>
      </c>
      <c r="G39" s="169">
        <f>6239484+K40+K57</f>
        <v>5674323</v>
      </c>
      <c r="H39" s="169">
        <f>3297301+L40+L57</f>
        <v>3367358</v>
      </c>
      <c r="I39" s="128"/>
      <c r="J39" s="128"/>
      <c r="K39" s="129"/>
      <c r="L39" s="129"/>
    </row>
    <row r="40" spans="1:12" s="130" customFormat="1" ht="19.5" customHeight="1" thickTop="1">
      <c r="A40" s="1002">
        <v>801</v>
      </c>
      <c r="B40" s="170"/>
      <c r="C40" s="170" t="s">
        <v>490</v>
      </c>
      <c r="D40" s="297">
        <f t="shared" si="0"/>
        <v>16828559</v>
      </c>
      <c r="E40" s="297">
        <v>4375008</v>
      </c>
      <c r="F40" s="297">
        <v>4019663</v>
      </c>
      <c r="G40" s="297">
        <f>5715910+K40</f>
        <v>5359700</v>
      </c>
      <c r="H40" s="297">
        <f>2974805+L40</f>
        <v>3074188</v>
      </c>
      <c r="I40" s="128"/>
      <c r="J40" s="128"/>
      <c r="K40" s="129">
        <f>G42+G44+G46+G48+G50+G52+G54+G56</f>
        <v>-356210</v>
      </c>
      <c r="L40" s="129">
        <f>H42+H44+H46+H48+H50+H52+H54+H56</f>
        <v>99383</v>
      </c>
    </row>
    <row r="41" spans="1:12" s="130" customFormat="1" ht="19.5" customHeight="1">
      <c r="A41" s="995"/>
      <c r="B41" s="995">
        <v>80101</v>
      </c>
      <c r="C41" s="995" t="s">
        <v>491</v>
      </c>
      <c r="D41" s="996">
        <f t="shared" si="0"/>
        <v>2201282</v>
      </c>
      <c r="E41" s="996">
        <v>310575</v>
      </c>
      <c r="F41" s="996">
        <v>277456</v>
      </c>
      <c r="G41" s="996">
        <v>730962</v>
      </c>
      <c r="H41" s="996">
        <v>882289</v>
      </c>
      <c r="I41" s="128"/>
      <c r="J41" s="128"/>
      <c r="K41" s="129"/>
      <c r="L41" s="129"/>
    </row>
    <row r="42" spans="1:12" s="130" customFormat="1" ht="19.5" customHeight="1">
      <c r="A42" s="997"/>
      <c r="B42" s="998"/>
      <c r="C42" s="998"/>
      <c r="D42" s="999">
        <f t="shared" si="0"/>
        <v>-191223</v>
      </c>
      <c r="E42" s="999"/>
      <c r="F42" s="999"/>
      <c r="G42" s="999">
        <v>-191223</v>
      </c>
      <c r="H42" s="999"/>
      <c r="I42" s="128"/>
      <c r="J42" s="128"/>
      <c r="K42" s="129"/>
      <c r="L42" s="129"/>
    </row>
    <row r="43" spans="1:12" s="130" customFormat="1" ht="19.5" customHeight="1">
      <c r="A43" s="997"/>
      <c r="B43" s="178">
        <v>80104</v>
      </c>
      <c r="C43" s="178" t="s">
        <v>625</v>
      </c>
      <c r="D43" s="298">
        <f>SUM(E43:H43)</f>
        <v>3161860</v>
      </c>
      <c r="E43" s="298">
        <v>1125355</v>
      </c>
      <c r="F43" s="298">
        <v>1015845</v>
      </c>
      <c r="G43" s="298">
        <v>984860</v>
      </c>
      <c r="H43" s="298">
        <v>35800</v>
      </c>
      <c r="I43" s="128"/>
      <c r="J43" s="128"/>
      <c r="K43" s="129"/>
      <c r="L43" s="129"/>
    </row>
    <row r="44" spans="1:12" s="130" customFormat="1" ht="19.5" customHeight="1">
      <c r="A44" s="997"/>
      <c r="B44" s="181"/>
      <c r="C44" s="181"/>
      <c r="D44" s="204">
        <f>SUM(E44:H44)</f>
        <v>0</v>
      </c>
      <c r="E44" s="204"/>
      <c r="F44" s="204"/>
      <c r="G44" s="204">
        <f>-8390+22507</f>
        <v>14117</v>
      </c>
      <c r="H44" s="204">
        <f>8390-22507</f>
        <v>-14117</v>
      </c>
      <c r="I44" s="128"/>
      <c r="J44" s="128"/>
      <c r="K44" s="129"/>
      <c r="L44" s="129"/>
    </row>
    <row r="45" spans="1:12" s="130" customFormat="1" ht="19.5" customHeight="1">
      <c r="A45" s="99"/>
      <c r="B45" s="178">
        <v>80110</v>
      </c>
      <c r="C45" s="178" t="s">
        <v>1133</v>
      </c>
      <c r="D45" s="298">
        <f t="shared" si="0"/>
        <v>2923700</v>
      </c>
      <c r="E45" s="298">
        <v>674139</v>
      </c>
      <c r="F45" s="298">
        <v>643780</v>
      </c>
      <c r="G45" s="298">
        <v>991061</v>
      </c>
      <c r="H45" s="298">
        <v>614720</v>
      </c>
      <c r="I45" s="128"/>
      <c r="J45" s="128"/>
      <c r="K45" s="129"/>
      <c r="L45" s="129"/>
    </row>
    <row r="46" spans="1:12" s="130" customFormat="1" ht="19.5" customHeight="1">
      <c r="A46" s="202"/>
      <c r="B46" s="181"/>
      <c r="C46" s="181"/>
      <c r="D46" s="204">
        <f t="shared" si="0"/>
        <v>-60611</v>
      </c>
      <c r="E46" s="204"/>
      <c r="F46" s="204"/>
      <c r="G46" s="204">
        <v>-60611</v>
      </c>
      <c r="H46" s="204"/>
      <c r="I46" s="128"/>
      <c r="J46" s="128"/>
      <c r="K46" s="129"/>
      <c r="L46" s="129"/>
    </row>
    <row r="47" spans="1:12" s="130" customFormat="1" ht="19.5" customHeight="1">
      <c r="A47" s="202"/>
      <c r="B47" s="178">
        <v>80111</v>
      </c>
      <c r="C47" s="178" t="s">
        <v>938</v>
      </c>
      <c r="D47" s="298">
        <f>SUM(E47:H47)</f>
        <v>57000</v>
      </c>
      <c r="E47" s="298"/>
      <c r="F47" s="298"/>
      <c r="G47" s="298">
        <v>45000</v>
      </c>
      <c r="H47" s="298">
        <v>12000</v>
      </c>
      <c r="I47" s="128"/>
      <c r="J47" s="128"/>
      <c r="K47" s="129"/>
      <c r="L47" s="129"/>
    </row>
    <row r="48" spans="1:12" s="130" customFormat="1" ht="19.5" customHeight="1">
      <c r="A48" s="202"/>
      <c r="B48" s="181"/>
      <c r="C48" s="181"/>
      <c r="D48" s="204">
        <f>SUM(E48:H48)</f>
        <v>0</v>
      </c>
      <c r="E48" s="204"/>
      <c r="F48" s="204"/>
      <c r="G48" s="204">
        <v>-45000</v>
      </c>
      <c r="H48" s="204">
        <v>45000</v>
      </c>
      <c r="I48" s="128"/>
      <c r="J48" s="128"/>
      <c r="K48" s="129"/>
      <c r="L48" s="129"/>
    </row>
    <row r="49" spans="1:12" s="130" customFormat="1" ht="19.5" customHeight="1">
      <c r="A49" s="99"/>
      <c r="B49" s="178">
        <v>80121</v>
      </c>
      <c r="C49" s="178" t="s">
        <v>530</v>
      </c>
      <c r="D49" s="298">
        <f t="shared" si="0"/>
        <v>28000</v>
      </c>
      <c r="E49" s="298"/>
      <c r="F49" s="298"/>
      <c r="G49" s="298">
        <v>15000</v>
      </c>
      <c r="H49" s="298">
        <v>13000</v>
      </c>
      <c r="I49" s="128"/>
      <c r="J49" s="128"/>
      <c r="K49" s="129"/>
      <c r="L49" s="129"/>
    </row>
    <row r="50" spans="1:12" s="130" customFormat="1" ht="19.5" customHeight="1">
      <c r="A50" s="202"/>
      <c r="B50" s="181"/>
      <c r="C50" s="181"/>
      <c r="D50" s="204">
        <f t="shared" si="0"/>
        <v>0</v>
      </c>
      <c r="E50" s="204"/>
      <c r="F50" s="204"/>
      <c r="G50" s="204">
        <v>-15000</v>
      </c>
      <c r="H50" s="204">
        <v>15000</v>
      </c>
      <c r="I50" s="128"/>
      <c r="J50" s="128"/>
      <c r="K50" s="129"/>
      <c r="L50" s="129"/>
    </row>
    <row r="51" spans="1:12" s="130" customFormat="1" ht="19.5" customHeight="1">
      <c r="A51" s="99"/>
      <c r="B51" s="178">
        <v>80124</v>
      </c>
      <c r="C51" s="178" t="s">
        <v>531</v>
      </c>
      <c r="D51" s="298">
        <f t="shared" si="0"/>
        <v>2000</v>
      </c>
      <c r="E51" s="298"/>
      <c r="F51" s="298"/>
      <c r="G51" s="298">
        <v>2000</v>
      </c>
      <c r="H51" s="298"/>
      <c r="I51" s="128"/>
      <c r="J51" s="128"/>
      <c r="K51" s="129"/>
      <c r="L51" s="129"/>
    </row>
    <row r="52" spans="1:12" s="130" customFormat="1" ht="19.5" customHeight="1">
      <c r="A52" s="202"/>
      <c r="B52" s="181"/>
      <c r="C52" s="181"/>
      <c r="D52" s="204">
        <f t="shared" si="0"/>
        <v>0</v>
      </c>
      <c r="E52" s="204"/>
      <c r="F52" s="204"/>
      <c r="G52" s="204">
        <v>-2000</v>
      </c>
      <c r="H52" s="204">
        <v>2000</v>
      </c>
      <c r="I52" s="128"/>
      <c r="J52" s="128"/>
      <c r="K52" s="129"/>
      <c r="L52" s="129"/>
    </row>
    <row r="53" spans="1:12" s="130" customFormat="1" ht="19.5" customHeight="1">
      <c r="A53" s="99"/>
      <c r="B53" s="178">
        <v>80130</v>
      </c>
      <c r="C53" s="178" t="s">
        <v>647</v>
      </c>
      <c r="D53" s="298">
        <f t="shared" si="0"/>
        <v>4330594</v>
      </c>
      <c r="E53" s="298">
        <v>1159401</v>
      </c>
      <c r="F53" s="298">
        <v>1002559</v>
      </c>
      <c r="G53" s="298">
        <v>1678013</v>
      </c>
      <c r="H53" s="298">
        <v>490621</v>
      </c>
      <c r="I53" s="128"/>
      <c r="J53" s="128"/>
      <c r="K53" s="129"/>
      <c r="L53" s="129"/>
    </row>
    <row r="54" spans="1:12" s="130" customFormat="1" ht="19.5" customHeight="1">
      <c r="A54" s="202"/>
      <c r="B54" s="181"/>
      <c r="C54" s="181"/>
      <c r="D54" s="204">
        <f t="shared" si="0"/>
        <v>-4993</v>
      </c>
      <c r="E54" s="204"/>
      <c r="F54" s="204"/>
      <c r="G54" s="204">
        <v>-4993</v>
      </c>
      <c r="H54" s="204"/>
      <c r="I54" s="128"/>
      <c r="J54" s="128"/>
      <c r="K54" s="129"/>
      <c r="L54" s="129"/>
    </row>
    <row r="55" spans="1:12" s="130" customFormat="1" ht="19.5" customHeight="1">
      <c r="A55" s="99"/>
      <c r="B55" s="178">
        <v>80134</v>
      </c>
      <c r="C55" s="178" t="s">
        <v>639</v>
      </c>
      <c r="D55" s="298">
        <f t="shared" si="0"/>
        <v>80500</v>
      </c>
      <c r="E55" s="298"/>
      <c r="F55" s="298"/>
      <c r="G55" s="298">
        <v>51500</v>
      </c>
      <c r="H55" s="298">
        <v>29000</v>
      </c>
      <c r="I55" s="128"/>
      <c r="J55" s="128"/>
      <c r="K55" s="129"/>
      <c r="L55" s="129"/>
    </row>
    <row r="56" spans="1:12" s="130" customFormat="1" ht="19.5" customHeight="1">
      <c r="A56" s="202"/>
      <c r="B56" s="202"/>
      <c r="C56" s="202"/>
      <c r="D56" s="242">
        <f t="shared" si="0"/>
        <v>0</v>
      </c>
      <c r="E56" s="242"/>
      <c r="F56" s="242"/>
      <c r="G56" s="242">
        <v>-51500</v>
      </c>
      <c r="H56" s="242">
        <v>51500</v>
      </c>
      <c r="I56" s="128"/>
      <c r="J56" s="128"/>
      <c r="K56" s="129"/>
      <c r="L56" s="129"/>
    </row>
    <row r="57" spans="1:12" s="130" customFormat="1" ht="19.5" customHeight="1">
      <c r="A57" s="170">
        <v>854</v>
      </c>
      <c r="B57" s="170"/>
      <c r="C57" s="170" t="s">
        <v>640</v>
      </c>
      <c r="D57" s="297">
        <f t="shared" si="0"/>
        <v>1259086</v>
      </c>
      <c r="E57" s="297">
        <v>346634</v>
      </c>
      <c r="F57" s="297">
        <v>304659</v>
      </c>
      <c r="G57" s="297">
        <f>523574+K57</f>
        <v>314623</v>
      </c>
      <c r="H57" s="297">
        <f>322496+L57</f>
        <v>293170</v>
      </c>
      <c r="I57" s="128"/>
      <c r="J57" s="128"/>
      <c r="K57" s="129">
        <f>G59+G61+G63+G65+G67+G69</f>
        <v>-208951</v>
      </c>
      <c r="L57" s="129">
        <f>H59+H61+H63+H65+H67+H69</f>
        <v>-29326</v>
      </c>
    </row>
    <row r="58" spans="1:12" s="130" customFormat="1" ht="19.5" customHeight="1">
      <c r="A58" s="99"/>
      <c r="B58" s="178">
        <v>85401</v>
      </c>
      <c r="C58" s="178" t="s">
        <v>641</v>
      </c>
      <c r="D58" s="298">
        <f t="shared" si="0"/>
        <v>5504</v>
      </c>
      <c r="E58" s="298"/>
      <c r="F58" s="298"/>
      <c r="G58" s="298"/>
      <c r="H58" s="298">
        <v>5504</v>
      </c>
      <c r="I58" s="128"/>
      <c r="J58" s="128"/>
      <c r="K58" s="129"/>
      <c r="L58" s="129"/>
    </row>
    <row r="59" spans="1:12" s="130" customFormat="1" ht="19.5" customHeight="1">
      <c r="A59" s="202"/>
      <c r="B59" s="181"/>
      <c r="C59" s="1000"/>
      <c r="D59" s="323">
        <f t="shared" si="0"/>
        <v>-5504</v>
      </c>
      <c r="E59" s="323"/>
      <c r="F59" s="323"/>
      <c r="G59" s="323"/>
      <c r="H59" s="323">
        <v>-5504</v>
      </c>
      <c r="I59" s="128"/>
      <c r="J59" s="128"/>
      <c r="K59" s="129"/>
      <c r="L59" s="129"/>
    </row>
    <row r="60" spans="1:12" s="130" customFormat="1" ht="19.5" customHeight="1">
      <c r="A60" s="99"/>
      <c r="B60" s="178">
        <v>85403</v>
      </c>
      <c r="C60" s="178" t="s">
        <v>1036</v>
      </c>
      <c r="D60" s="298">
        <f t="shared" si="0"/>
        <v>757992</v>
      </c>
      <c r="E60" s="298">
        <v>191680</v>
      </c>
      <c r="F60" s="298">
        <v>173280</v>
      </c>
      <c r="G60" s="298">
        <f>186040+54000</f>
        <v>240040</v>
      </c>
      <c r="H60" s="298">
        <v>152992</v>
      </c>
      <c r="I60" s="128"/>
      <c r="J60" s="128"/>
      <c r="K60" s="129"/>
      <c r="L60" s="129"/>
    </row>
    <row r="61" spans="1:12" s="130" customFormat="1" ht="19.5" customHeight="1">
      <c r="A61" s="181"/>
      <c r="B61" s="181"/>
      <c r="C61" s="1000"/>
      <c r="D61" s="323">
        <f t="shared" si="0"/>
        <v>-75992</v>
      </c>
      <c r="E61" s="323"/>
      <c r="F61" s="323"/>
      <c r="G61" s="323">
        <v>-75992</v>
      </c>
      <c r="H61" s="323"/>
      <c r="I61" s="128"/>
      <c r="J61" s="128"/>
      <c r="K61" s="129"/>
      <c r="L61" s="129"/>
    </row>
    <row r="62" spans="1:12" s="130" customFormat="1" ht="24" customHeight="1">
      <c r="A62" s="99"/>
      <c r="B62" s="97">
        <v>85406</v>
      </c>
      <c r="C62" s="1365" t="s">
        <v>1037</v>
      </c>
      <c r="D62" s="955">
        <f t="shared" si="0"/>
        <v>15000</v>
      </c>
      <c r="E62" s="955"/>
      <c r="F62" s="955"/>
      <c r="G62" s="955">
        <v>5000</v>
      </c>
      <c r="H62" s="955">
        <v>10000</v>
      </c>
      <c r="I62" s="128"/>
      <c r="J62" s="128"/>
      <c r="K62" s="129"/>
      <c r="L62" s="129"/>
    </row>
    <row r="63" spans="1:12" s="130" customFormat="1" ht="19.5" customHeight="1">
      <c r="A63" s="202"/>
      <c r="B63" s="255"/>
      <c r="C63" s="203"/>
      <c r="D63" s="220">
        <f t="shared" si="0"/>
        <v>-15000</v>
      </c>
      <c r="E63" s="220"/>
      <c r="F63" s="220"/>
      <c r="G63" s="220">
        <v>-5000</v>
      </c>
      <c r="H63" s="220">
        <v>-10000</v>
      </c>
      <c r="I63" s="128"/>
      <c r="J63" s="128"/>
      <c r="K63" s="129"/>
      <c r="L63" s="129"/>
    </row>
    <row r="64" spans="1:12" s="130" customFormat="1" ht="19.5" customHeight="1">
      <c r="A64" s="99"/>
      <c r="B64" s="178">
        <v>85407</v>
      </c>
      <c r="C64" s="438" t="s">
        <v>645</v>
      </c>
      <c r="D64" s="439">
        <f t="shared" si="0"/>
        <v>23250</v>
      </c>
      <c r="E64" s="439"/>
      <c r="F64" s="439"/>
      <c r="G64" s="439">
        <v>18250</v>
      </c>
      <c r="H64" s="439">
        <v>5000</v>
      </c>
      <c r="I64" s="128"/>
      <c r="J64" s="128"/>
      <c r="K64" s="129"/>
      <c r="L64" s="129"/>
    </row>
    <row r="65" spans="1:12" s="130" customFormat="1" ht="19.5" customHeight="1">
      <c r="A65" s="202"/>
      <c r="B65" s="181"/>
      <c r="C65" s="181"/>
      <c r="D65" s="204">
        <f t="shared" si="0"/>
        <v>-23250</v>
      </c>
      <c r="E65" s="204"/>
      <c r="F65" s="204"/>
      <c r="G65" s="204">
        <v>-18250</v>
      </c>
      <c r="H65" s="204">
        <v>-5000</v>
      </c>
      <c r="I65" s="128"/>
      <c r="J65" s="128"/>
      <c r="K65" s="129"/>
      <c r="L65" s="129"/>
    </row>
    <row r="66" spans="1:12" s="130" customFormat="1" ht="19.5" customHeight="1">
      <c r="A66" s="99"/>
      <c r="B66" s="178">
        <v>85410</v>
      </c>
      <c r="C66" s="438" t="s">
        <v>646</v>
      </c>
      <c r="D66" s="439">
        <f t="shared" si="0"/>
        <v>565539</v>
      </c>
      <c r="E66" s="439">
        <v>146196</v>
      </c>
      <c r="F66" s="439">
        <v>122637</v>
      </c>
      <c r="G66" s="439">
        <f>174773-27067</f>
        <v>147706</v>
      </c>
      <c r="H66" s="439">
        <v>149000</v>
      </c>
      <c r="I66" s="128"/>
      <c r="J66" s="128"/>
      <c r="K66" s="129"/>
      <c r="L66" s="129"/>
    </row>
    <row r="67" spans="1:12" s="130" customFormat="1" ht="19.5" customHeight="1">
      <c r="A67" s="202"/>
      <c r="B67" s="181"/>
      <c r="C67" s="1000"/>
      <c r="D67" s="323">
        <f t="shared" si="0"/>
        <v>-28606</v>
      </c>
      <c r="E67" s="323"/>
      <c r="F67" s="323"/>
      <c r="G67" s="323">
        <v>-19784</v>
      </c>
      <c r="H67" s="323">
        <v>-8822</v>
      </c>
      <c r="I67" s="128"/>
      <c r="J67" s="128"/>
      <c r="K67" s="129"/>
      <c r="L67" s="129"/>
    </row>
    <row r="68" spans="1:12" s="130" customFormat="1" ht="19.5" customHeight="1">
      <c r="A68" s="99"/>
      <c r="B68" s="178">
        <v>85415</v>
      </c>
      <c r="C68" s="438" t="s">
        <v>1179</v>
      </c>
      <c r="D68" s="439">
        <f t="shared" si="0"/>
        <v>94078</v>
      </c>
      <c r="E68" s="439"/>
      <c r="F68" s="439"/>
      <c r="G68" s="439">
        <v>94078</v>
      </c>
      <c r="H68" s="439"/>
      <c r="I68" s="128"/>
      <c r="J68" s="128"/>
      <c r="K68" s="129"/>
      <c r="L68" s="129"/>
    </row>
    <row r="69" spans="1:12" s="130" customFormat="1" ht="19.5" customHeight="1">
      <c r="A69" s="202"/>
      <c r="B69" s="181"/>
      <c r="C69" s="1000"/>
      <c r="D69" s="323">
        <f t="shared" si="0"/>
        <v>-89925</v>
      </c>
      <c r="E69" s="323"/>
      <c r="F69" s="323"/>
      <c r="G69" s="323">
        <v>-89925</v>
      </c>
      <c r="H69" s="323"/>
      <c r="I69" s="128"/>
      <c r="J69" s="128"/>
      <c r="K69" s="129"/>
      <c r="L69" s="129"/>
    </row>
    <row r="70" spans="1:12" s="130" customFormat="1" ht="18.75" customHeight="1">
      <c r="A70" s="99"/>
      <c r="B70" s="99"/>
      <c r="C70" s="262" t="s">
        <v>1438</v>
      </c>
      <c r="D70" s="259">
        <f>SUM(E70:H70)</f>
        <v>505940</v>
      </c>
      <c r="E70" s="259">
        <v>159200</v>
      </c>
      <c r="F70" s="259">
        <v>162340</v>
      </c>
      <c r="G70" s="259">
        <v>85200</v>
      </c>
      <c r="H70" s="259">
        <f>94200+H74</f>
        <v>99200</v>
      </c>
      <c r="I70" s="128"/>
      <c r="J70" s="128"/>
      <c r="K70" s="129"/>
      <c r="L70" s="129"/>
    </row>
    <row r="71" spans="1:12" s="130" customFormat="1" ht="18.75" customHeight="1" thickBot="1">
      <c r="A71" s="229"/>
      <c r="B71" s="229"/>
      <c r="C71" s="230" t="s">
        <v>1172</v>
      </c>
      <c r="D71" s="169">
        <f>SUM(E71:H71)</f>
        <v>359800</v>
      </c>
      <c r="E71" s="169">
        <v>74200</v>
      </c>
      <c r="F71" s="169">
        <v>101200</v>
      </c>
      <c r="G71" s="169">
        <v>85200</v>
      </c>
      <c r="H71" s="169">
        <f>94200+H74</f>
        <v>99200</v>
      </c>
      <c r="I71" s="128"/>
      <c r="J71" s="128"/>
      <c r="K71" s="129"/>
      <c r="L71" s="129"/>
    </row>
    <row r="72" spans="1:12" s="130" customFormat="1" ht="18.75" customHeight="1" thickTop="1">
      <c r="A72" s="170">
        <v>851</v>
      </c>
      <c r="B72" s="170"/>
      <c r="C72" s="192" t="s">
        <v>963</v>
      </c>
      <c r="D72" s="232">
        <f>SUM(E72:H72)</f>
        <v>32000</v>
      </c>
      <c r="E72" s="232">
        <v>5000</v>
      </c>
      <c r="F72" s="232">
        <v>10000</v>
      </c>
      <c r="G72" s="232">
        <v>7000</v>
      </c>
      <c r="H72" s="232">
        <f>5000+H74</f>
        <v>10000</v>
      </c>
      <c r="I72" s="128"/>
      <c r="J72" s="128"/>
      <c r="K72" s="129"/>
      <c r="L72" s="129"/>
    </row>
    <row r="73" spans="1:12" s="130" customFormat="1" ht="18.75" customHeight="1">
      <c r="A73" s="294"/>
      <c r="B73" s="448">
        <v>85154</v>
      </c>
      <c r="C73" s="450" t="s">
        <v>1430</v>
      </c>
      <c r="D73" s="449">
        <f>SUM(E73:H73)</f>
        <v>27000</v>
      </c>
      <c r="E73" s="449">
        <v>5000</v>
      </c>
      <c r="F73" s="449">
        <v>10000</v>
      </c>
      <c r="G73" s="449">
        <v>7000</v>
      </c>
      <c r="H73" s="449">
        <v>5000</v>
      </c>
      <c r="I73" s="128"/>
      <c r="J73" s="128"/>
      <c r="K73" s="129"/>
      <c r="L73" s="129"/>
    </row>
    <row r="74" spans="1:12" s="130" customFormat="1" ht="18.75" customHeight="1">
      <c r="A74" s="294"/>
      <c r="B74" s="446"/>
      <c r="C74" s="446"/>
      <c r="D74" s="447">
        <f>SUM(E74:H74)</f>
        <v>5000</v>
      </c>
      <c r="E74" s="447"/>
      <c r="F74" s="447"/>
      <c r="G74" s="447"/>
      <c r="H74" s="447">
        <v>5000</v>
      </c>
      <c r="I74" s="128"/>
      <c r="J74" s="128"/>
      <c r="K74" s="129"/>
      <c r="L74" s="129"/>
    </row>
    <row r="75" spans="1:12" s="130" customFormat="1" ht="18.75" customHeight="1">
      <c r="A75" s="99"/>
      <c r="B75" s="99"/>
      <c r="C75" s="262" t="s">
        <v>347</v>
      </c>
      <c r="D75" s="259">
        <f t="shared" si="0"/>
        <v>44745488</v>
      </c>
      <c r="E75" s="259">
        <v>10551490</v>
      </c>
      <c r="F75" s="259">
        <v>11158821</v>
      </c>
      <c r="G75" s="259">
        <f>11833720+G82+G79</f>
        <v>12636594</v>
      </c>
      <c r="H75" s="259">
        <f>11286457+H79+H84</f>
        <v>10398583</v>
      </c>
      <c r="I75" s="128"/>
      <c r="J75" s="128"/>
      <c r="K75" s="129"/>
      <c r="L75" s="129"/>
    </row>
    <row r="76" spans="1:12" s="130" customFormat="1" ht="18.75" customHeight="1" thickBot="1">
      <c r="A76" s="229"/>
      <c r="B76" s="229"/>
      <c r="C76" s="230" t="s">
        <v>1172</v>
      </c>
      <c r="D76" s="169">
        <f t="shared" si="0"/>
        <v>44210488</v>
      </c>
      <c r="E76" s="169">
        <v>10396647</v>
      </c>
      <c r="F76" s="169">
        <v>11032321</v>
      </c>
      <c r="G76" s="169">
        <f>11707220+G82+G79</f>
        <v>12510094</v>
      </c>
      <c r="H76" s="169">
        <f>11159300+H79+H84</f>
        <v>10271426</v>
      </c>
      <c r="I76" s="128"/>
      <c r="J76" s="128"/>
      <c r="K76" s="129"/>
      <c r="L76" s="129"/>
    </row>
    <row r="77" spans="1:12" s="130" customFormat="1" ht="18.75" customHeight="1" thickTop="1">
      <c r="A77" s="170">
        <v>700</v>
      </c>
      <c r="B77" s="170"/>
      <c r="C77" s="192" t="s">
        <v>1422</v>
      </c>
      <c r="D77" s="232">
        <f>SUM(E77:H77)</f>
        <v>4670000</v>
      </c>
      <c r="E77" s="232">
        <v>725000</v>
      </c>
      <c r="F77" s="232">
        <v>896247</v>
      </c>
      <c r="G77" s="232">
        <f>1178753+G79</f>
        <v>2061627</v>
      </c>
      <c r="H77" s="232">
        <f>1870000+H79</f>
        <v>987126</v>
      </c>
      <c r="I77" s="128"/>
      <c r="J77" s="128"/>
      <c r="K77" s="129"/>
      <c r="L77" s="129"/>
    </row>
    <row r="78" spans="1:12" s="130" customFormat="1" ht="18.75" customHeight="1">
      <c r="A78" s="291"/>
      <c r="B78" s="178">
        <v>70001</v>
      </c>
      <c r="C78" s="292" t="s">
        <v>1423</v>
      </c>
      <c r="D78" s="293">
        <f>SUM(E78:H78)</f>
        <v>4445000</v>
      </c>
      <c r="E78" s="293">
        <v>700000</v>
      </c>
      <c r="F78" s="293">
        <v>808747</v>
      </c>
      <c r="G78" s="293">
        <v>1091253</v>
      </c>
      <c r="H78" s="293">
        <v>1845000</v>
      </c>
      <c r="I78" s="128"/>
      <c r="J78" s="128"/>
      <c r="K78" s="129"/>
      <c r="L78" s="129"/>
    </row>
    <row r="79" spans="1:12" s="130" customFormat="1" ht="18.75" customHeight="1">
      <c r="A79" s="294"/>
      <c r="B79" s="295"/>
      <c r="C79" s="295"/>
      <c r="D79" s="296">
        <f>SUM(E79:H79)</f>
        <v>0</v>
      </c>
      <c r="E79" s="296"/>
      <c r="F79" s="296"/>
      <c r="G79" s="296">
        <v>882874</v>
      </c>
      <c r="H79" s="296">
        <v>-882874</v>
      </c>
      <c r="I79" s="128"/>
      <c r="J79" s="128"/>
      <c r="K79" s="129"/>
      <c r="L79" s="129"/>
    </row>
    <row r="80" spans="1:12" s="130" customFormat="1" ht="18.75" customHeight="1">
      <c r="A80" s="170">
        <v>851</v>
      </c>
      <c r="B80" s="170"/>
      <c r="C80" s="192" t="s">
        <v>963</v>
      </c>
      <c r="D80" s="232">
        <f t="shared" si="0"/>
        <v>5039488</v>
      </c>
      <c r="E80" s="232">
        <v>1346332</v>
      </c>
      <c r="F80" s="232">
        <v>1501374</v>
      </c>
      <c r="G80" s="232">
        <f>1779282+G82</f>
        <v>1699282</v>
      </c>
      <c r="H80" s="232">
        <f>497500+H84</f>
        <v>492500</v>
      </c>
      <c r="I80" s="128"/>
      <c r="J80" s="128"/>
      <c r="K80" s="129"/>
      <c r="L80" s="129"/>
    </row>
    <row r="81" spans="1:12" s="130" customFormat="1" ht="18.75" customHeight="1">
      <c r="A81" s="291"/>
      <c r="B81" s="178">
        <v>85121</v>
      </c>
      <c r="C81" s="292" t="s">
        <v>688</v>
      </c>
      <c r="D81" s="293">
        <f t="shared" si="0"/>
        <v>2880000</v>
      </c>
      <c r="E81" s="293">
        <v>1000000</v>
      </c>
      <c r="F81" s="293">
        <v>1000000</v>
      </c>
      <c r="G81" s="293">
        <v>880000</v>
      </c>
      <c r="H81" s="293"/>
      <c r="I81" s="128"/>
      <c r="J81" s="128"/>
      <c r="K81" s="129"/>
      <c r="L81" s="129"/>
    </row>
    <row r="82" spans="1:12" s="130" customFormat="1" ht="18.75" customHeight="1">
      <c r="A82" s="294"/>
      <c r="B82" s="295"/>
      <c r="C82" s="295"/>
      <c r="D82" s="296">
        <f t="shared" si="0"/>
        <v>-80000</v>
      </c>
      <c r="E82" s="296"/>
      <c r="F82" s="296"/>
      <c r="G82" s="296">
        <v>-80000</v>
      </c>
      <c r="H82" s="296"/>
      <c r="I82" s="128"/>
      <c r="J82" s="128"/>
      <c r="K82" s="129"/>
      <c r="L82" s="129"/>
    </row>
    <row r="83" spans="1:12" s="130" customFormat="1" ht="18.75" customHeight="1">
      <c r="A83" s="294"/>
      <c r="B83" s="448">
        <v>85154</v>
      </c>
      <c r="C83" s="450" t="s">
        <v>1430</v>
      </c>
      <c r="D83" s="449">
        <f>SUM(E83:H83)</f>
        <v>1690778</v>
      </c>
      <c r="E83" s="449">
        <v>245832</v>
      </c>
      <c r="F83" s="449">
        <v>381874</v>
      </c>
      <c r="G83" s="449">
        <v>659572</v>
      </c>
      <c r="H83" s="449">
        <v>403500</v>
      </c>
      <c r="I83" s="128"/>
      <c r="J83" s="128"/>
      <c r="K83" s="129"/>
      <c r="L83" s="129"/>
    </row>
    <row r="84" spans="1:12" s="130" customFormat="1" ht="18.75" customHeight="1">
      <c r="A84" s="294"/>
      <c r="B84" s="446"/>
      <c r="C84" s="446"/>
      <c r="D84" s="447">
        <f>SUM(E84:H84)</f>
        <v>-5000</v>
      </c>
      <c r="E84" s="447"/>
      <c r="F84" s="447"/>
      <c r="G84" s="447"/>
      <c r="H84" s="447">
        <v>-5000</v>
      </c>
      <c r="I84" s="128"/>
      <c r="J84" s="128"/>
      <c r="K84" s="129"/>
      <c r="L84" s="129"/>
    </row>
    <row r="85" spans="1:12" s="56" customFormat="1" ht="18.75" customHeight="1">
      <c r="A85" s="99"/>
      <c r="B85" s="99"/>
      <c r="C85" s="262" t="s">
        <v>348</v>
      </c>
      <c r="D85" s="259">
        <f t="shared" si="0"/>
        <v>76494873</v>
      </c>
      <c r="E85" s="259">
        <f>6043912+E111</f>
        <v>5843912</v>
      </c>
      <c r="F85" s="259">
        <f>22490088+F89+F91+F94+F97+F100+F102+F104+F106+F109+F111+F114+F117+F119+F121+F124+F126+F129+F131</f>
        <v>10953601</v>
      </c>
      <c r="G85" s="259">
        <f>28959760+G89+G91+G94+G97+G100+G102+G104+G106+G109+G111+G114+G117+G119+G121+G124+G126+G129+G131</f>
        <v>41512097</v>
      </c>
      <c r="H85" s="259">
        <f>18921113+H89+H109+H121+H131+H117</f>
        <v>18185263</v>
      </c>
      <c r="I85" s="113"/>
      <c r="J85" s="113"/>
      <c r="K85" s="114"/>
      <c r="L85" s="114"/>
    </row>
    <row r="86" spans="1:12" s="56" customFormat="1" ht="18.75" customHeight="1" thickBot="1">
      <c r="A86" s="229"/>
      <c r="B86" s="229"/>
      <c r="C86" s="230" t="s">
        <v>1172</v>
      </c>
      <c r="D86" s="169">
        <f t="shared" si="0"/>
        <v>76494873</v>
      </c>
      <c r="E86" s="169">
        <f>6043912+E111</f>
        <v>5843912</v>
      </c>
      <c r="F86" s="169">
        <f>22490088+F89+F91+F94+F97+F100+F102+F104+F106+F109+F111+F114+F117+F119+F121+F124+F126+F129+F131</f>
        <v>10953601</v>
      </c>
      <c r="G86" s="169">
        <f>28959760+G89+G91+G94+G97+G100+G102+G104+G106+G109+G111+G114+G117+G119+G121+G124+G126+G129+G131</f>
        <v>41512097</v>
      </c>
      <c r="H86" s="169">
        <f>18921113+H89+H109+H121+H131+H117</f>
        <v>18185263</v>
      </c>
      <c r="I86" s="113"/>
      <c r="J86" s="113"/>
      <c r="K86" s="114"/>
      <c r="L86" s="114"/>
    </row>
    <row r="87" spans="1:12" s="56" customFormat="1" ht="18.75" customHeight="1" thickTop="1">
      <c r="A87" s="170">
        <v>600</v>
      </c>
      <c r="B87" s="170"/>
      <c r="C87" s="192" t="s">
        <v>551</v>
      </c>
      <c r="D87" s="232">
        <f t="shared" si="0"/>
        <v>33390873</v>
      </c>
      <c r="E87" s="232">
        <v>739800</v>
      </c>
      <c r="F87" s="232">
        <f>8745200+F89+F91</f>
        <v>2506855</v>
      </c>
      <c r="G87" s="232">
        <f>13940200+G89+G91</f>
        <v>20492395</v>
      </c>
      <c r="H87" s="232">
        <f>9965673+H89</f>
        <v>9651823</v>
      </c>
      <c r="I87" s="113"/>
      <c r="J87" s="113"/>
      <c r="K87" s="114"/>
      <c r="L87" s="114"/>
    </row>
    <row r="88" spans="1:12" s="56" customFormat="1" ht="18.75" customHeight="1">
      <c r="A88" s="291"/>
      <c r="B88" s="178">
        <v>60015</v>
      </c>
      <c r="C88" s="292" t="s">
        <v>1123</v>
      </c>
      <c r="D88" s="293">
        <f t="shared" si="0"/>
        <v>30655673</v>
      </c>
      <c r="E88" s="293">
        <v>612674</v>
      </c>
      <c r="F88" s="293">
        <v>8367326</v>
      </c>
      <c r="G88" s="293">
        <v>12650000</v>
      </c>
      <c r="H88" s="293">
        <f>9025673</f>
        <v>9025673</v>
      </c>
      <c r="I88" s="113"/>
      <c r="J88" s="113"/>
      <c r="K88" s="114"/>
      <c r="L88" s="114"/>
    </row>
    <row r="89" spans="1:12" s="133" customFormat="1" ht="18.75" customHeight="1">
      <c r="A89" s="294"/>
      <c r="B89" s="475"/>
      <c r="C89" s="295"/>
      <c r="D89" s="296">
        <f t="shared" si="0"/>
        <v>0</v>
      </c>
      <c r="E89" s="296"/>
      <c r="F89" s="296">
        <v>-5912650</v>
      </c>
      <c r="G89" s="296">
        <v>6226500</v>
      </c>
      <c r="H89" s="296">
        <v>-313850</v>
      </c>
      <c r="I89" s="131"/>
      <c r="J89" s="131"/>
      <c r="K89" s="132"/>
      <c r="L89" s="132"/>
    </row>
    <row r="90" spans="1:12" s="56" customFormat="1" ht="18.75" customHeight="1">
      <c r="A90" s="99"/>
      <c r="B90" s="178">
        <v>60016</v>
      </c>
      <c r="C90" s="476" t="s">
        <v>1126</v>
      </c>
      <c r="D90" s="442">
        <f t="shared" si="0"/>
        <v>2735200</v>
      </c>
      <c r="E90" s="442">
        <v>127126</v>
      </c>
      <c r="F90" s="442">
        <v>377874</v>
      </c>
      <c r="G90" s="442">
        <v>1290200</v>
      </c>
      <c r="H90" s="442">
        <v>940000</v>
      </c>
      <c r="I90" s="113"/>
      <c r="J90" s="113"/>
      <c r="K90" s="114"/>
      <c r="L90" s="114"/>
    </row>
    <row r="91" spans="1:12" s="130" customFormat="1" ht="18.75" customHeight="1">
      <c r="A91" s="181"/>
      <c r="B91" s="181"/>
      <c r="C91" s="269"/>
      <c r="D91" s="443">
        <f t="shared" si="0"/>
        <v>0</v>
      </c>
      <c r="E91" s="443"/>
      <c r="F91" s="443">
        <v>-325695</v>
      </c>
      <c r="G91" s="443">
        <v>325695</v>
      </c>
      <c r="H91" s="443"/>
      <c r="I91" s="128"/>
      <c r="J91" s="128"/>
      <c r="K91" s="129"/>
      <c r="L91" s="129"/>
    </row>
    <row r="92" spans="1:12" s="130" customFormat="1" ht="22.5" customHeight="1">
      <c r="A92" s="170">
        <v>700</v>
      </c>
      <c r="B92" s="170"/>
      <c r="C92" s="479" t="s">
        <v>1422</v>
      </c>
      <c r="D92" s="480">
        <f aca="true" t="shared" si="2" ref="D92:D114">SUM(E92:H92)</f>
        <v>2150000</v>
      </c>
      <c r="E92" s="480">
        <v>300000</v>
      </c>
      <c r="F92" s="480">
        <f>500000+F94</f>
        <v>392653</v>
      </c>
      <c r="G92" s="480">
        <f>950000+G94</f>
        <v>1057347</v>
      </c>
      <c r="H92" s="297">
        <v>400000</v>
      </c>
      <c r="I92" s="128"/>
      <c r="J92" s="128"/>
      <c r="K92" s="129"/>
      <c r="L92" s="129"/>
    </row>
    <row r="93" spans="1:12" s="130" customFormat="1" ht="22.5" customHeight="1">
      <c r="A93" s="202"/>
      <c r="B93" s="99">
        <v>70095</v>
      </c>
      <c r="C93" s="481" t="s">
        <v>488</v>
      </c>
      <c r="D93" s="482">
        <f t="shared" si="2"/>
        <v>2150000</v>
      </c>
      <c r="E93" s="482">
        <v>300000</v>
      </c>
      <c r="F93" s="482">
        <v>500000</v>
      </c>
      <c r="G93" s="482">
        <v>950000</v>
      </c>
      <c r="H93" s="298">
        <v>400000</v>
      </c>
      <c r="I93" s="128"/>
      <c r="J93" s="128"/>
      <c r="K93" s="129"/>
      <c r="L93" s="129"/>
    </row>
    <row r="94" spans="1:12" s="130" customFormat="1" ht="22.5" customHeight="1">
      <c r="A94" s="202"/>
      <c r="B94" s="202"/>
      <c r="C94" s="477"/>
      <c r="D94" s="478">
        <f t="shared" si="2"/>
        <v>0</v>
      </c>
      <c r="E94" s="478"/>
      <c r="F94" s="478">
        <v>-107347</v>
      </c>
      <c r="G94" s="478">
        <v>107347</v>
      </c>
      <c r="H94" s="204"/>
      <c r="I94" s="128"/>
      <c r="J94" s="128"/>
      <c r="K94" s="129"/>
      <c r="L94" s="129"/>
    </row>
    <row r="95" spans="1:12" s="130" customFormat="1" ht="22.5" customHeight="1">
      <c r="A95" s="170">
        <v>710</v>
      </c>
      <c r="B95" s="170"/>
      <c r="C95" s="479" t="s">
        <v>1011</v>
      </c>
      <c r="D95" s="480">
        <f t="shared" si="2"/>
        <v>102000</v>
      </c>
      <c r="E95" s="480">
        <v>25661</v>
      </c>
      <c r="F95" s="480">
        <f>30339+F97</f>
        <v>19103</v>
      </c>
      <c r="G95" s="480">
        <f>22000+G97</f>
        <v>33236</v>
      </c>
      <c r="H95" s="297">
        <v>24000</v>
      </c>
      <c r="I95" s="128"/>
      <c r="J95" s="128"/>
      <c r="K95" s="129"/>
      <c r="L95" s="129"/>
    </row>
    <row r="96" spans="1:12" s="130" customFormat="1" ht="22.5" customHeight="1">
      <c r="A96" s="202"/>
      <c r="B96" s="99">
        <v>71004</v>
      </c>
      <c r="C96" s="481" t="s">
        <v>1012</v>
      </c>
      <c r="D96" s="482">
        <f t="shared" si="2"/>
        <v>102000</v>
      </c>
      <c r="E96" s="482">
        <v>25661</v>
      </c>
      <c r="F96" s="482">
        <v>30339</v>
      </c>
      <c r="G96" s="482">
        <v>22000</v>
      </c>
      <c r="H96" s="298">
        <v>24000</v>
      </c>
      <c r="I96" s="128"/>
      <c r="J96" s="128"/>
      <c r="K96" s="129"/>
      <c r="L96" s="129"/>
    </row>
    <row r="97" spans="1:12" s="130" customFormat="1" ht="22.5" customHeight="1">
      <c r="A97" s="202"/>
      <c r="B97" s="202"/>
      <c r="C97" s="477"/>
      <c r="D97" s="478">
        <f t="shared" si="2"/>
        <v>0</v>
      </c>
      <c r="E97" s="478"/>
      <c r="F97" s="478">
        <v>-11236</v>
      </c>
      <c r="G97" s="478">
        <v>11236</v>
      </c>
      <c r="H97" s="242"/>
      <c r="I97" s="128"/>
      <c r="J97" s="128"/>
      <c r="K97" s="129"/>
      <c r="L97" s="129"/>
    </row>
    <row r="98" spans="1:12" s="130" customFormat="1" ht="22.5" customHeight="1">
      <c r="A98" s="170">
        <v>801</v>
      </c>
      <c r="B98" s="170"/>
      <c r="C98" s="479" t="s">
        <v>490</v>
      </c>
      <c r="D98" s="480">
        <f t="shared" si="2"/>
        <v>17710000</v>
      </c>
      <c r="E98" s="480">
        <v>2400102</v>
      </c>
      <c r="F98" s="480">
        <f>6889898+F100+F102+F104+F106</f>
        <v>3503350</v>
      </c>
      <c r="G98" s="480">
        <f>5230000+G100+G102+G104+G106</f>
        <v>8616548</v>
      </c>
      <c r="H98" s="297">
        <v>3190000</v>
      </c>
      <c r="I98" s="128"/>
      <c r="J98" s="128"/>
      <c r="K98" s="129"/>
      <c r="L98" s="129"/>
    </row>
    <row r="99" spans="1:12" s="130" customFormat="1" ht="22.5" customHeight="1">
      <c r="A99" s="202"/>
      <c r="B99" s="178">
        <v>80101</v>
      </c>
      <c r="C99" s="483" t="s">
        <v>491</v>
      </c>
      <c r="D99" s="484">
        <f t="shared" si="2"/>
        <v>2650000</v>
      </c>
      <c r="E99" s="484">
        <v>438751</v>
      </c>
      <c r="F99" s="484">
        <v>911249</v>
      </c>
      <c r="G99" s="484">
        <v>1000000</v>
      </c>
      <c r="H99" s="298">
        <v>300000</v>
      </c>
      <c r="I99" s="128"/>
      <c r="J99" s="128"/>
      <c r="K99" s="129"/>
      <c r="L99" s="129"/>
    </row>
    <row r="100" spans="1:12" s="130" customFormat="1" ht="22.5" customHeight="1">
      <c r="A100" s="202"/>
      <c r="B100" s="202"/>
      <c r="C100" s="477"/>
      <c r="D100" s="478">
        <f t="shared" si="2"/>
        <v>0</v>
      </c>
      <c r="E100" s="478"/>
      <c r="F100" s="478">
        <v>-295939</v>
      </c>
      <c r="G100" s="478">
        <v>295939</v>
      </c>
      <c r="H100" s="242"/>
      <c r="I100" s="128"/>
      <c r="J100" s="128"/>
      <c r="K100" s="129"/>
      <c r="L100" s="129"/>
    </row>
    <row r="101" spans="1:12" s="130" customFormat="1" ht="22.5" customHeight="1">
      <c r="A101" s="202"/>
      <c r="B101" s="178">
        <v>80110</v>
      </c>
      <c r="C101" s="483" t="s">
        <v>1133</v>
      </c>
      <c r="D101" s="484">
        <f t="shared" si="2"/>
        <v>3910000</v>
      </c>
      <c r="E101" s="484">
        <v>1064055</v>
      </c>
      <c r="F101" s="484">
        <v>1635945</v>
      </c>
      <c r="G101" s="484">
        <v>1110000</v>
      </c>
      <c r="H101" s="298">
        <v>100000</v>
      </c>
      <c r="I101" s="128"/>
      <c r="J101" s="128"/>
      <c r="K101" s="129"/>
      <c r="L101" s="129"/>
    </row>
    <row r="102" spans="1:12" s="130" customFormat="1" ht="22.5" customHeight="1">
      <c r="A102" s="202"/>
      <c r="B102" s="202"/>
      <c r="C102" s="477"/>
      <c r="D102" s="478">
        <f t="shared" si="2"/>
        <v>0</v>
      </c>
      <c r="E102" s="478"/>
      <c r="F102" s="478">
        <v>-866670</v>
      </c>
      <c r="G102" s="478">
        <v>866670</v>
      </c>
      <c r="H102" s="242"/>
      <c r="I102" s="128"/>
      <c r="J102" s="128"/>
      <c r="K102" s="129"/>
      <c r="L102" s="129"/>
    </row>
    <row r="103" spans="1:12" s="130" customFormat="1" ht="22.5" customHeight="1">
      <c r="A103" s="202"/>
      <c r="B103" s="178">
        <v>80120</v>
      </c>
      <c r="C103" s="483" t="s">
        <v>921</v>
      </c>
      <c r="D103" s="484">
        <f t="shared" si="2"/>
        <v>180000</v>
      </c>
      <c r="E103" s="484"/>
      <c r="F103" s="484">
        <v>30000</v>
      </c>
      <c r="G103" s="484"/>
      <c r="H103" s="298">
        <v>150000</v>
      </c>
      <c r="I103" s="128"/>
      <c r="J103" s="128"/>
      <c r="K103" s="129"/>
      <c r="L103" s="129"/>
    </row>
    <row r="104" spans="1:12" s="130" customFormat="1" ht="22.5" customHeight="1">
      <c r="A104" s="202"/>
      <c r="B104" s="202"/>
      <c r="C104" s="477"/>
      <c r="D104" s="478">
        <f t="shared" si="2"/>
        <v>0</v>
      </c>
      <c r="E104" s="478"/>
      <c r="F104" s="478">
        <v>-30000</v>
      </c>
      <c r="G104" s="478">
        <v>30000</v>
      </c>
      <c r="H104" s="242"/>
      <c r="I104" s="128"/>
      <c r="J104" s="128"/>
      <c r="K104" s="129"/>
      <c r="L104" s="129"/>
    </row>
    <row r="105" spans="1:12" s="130" customFormat="1" ht="22.5" customHeight="1">
      <c r="A105" s="202"/>
      <c r="B105" s="178">
        <v>80130</v>
      </c>
      <c r="C105" s="483" t="s">
        <v>647</v>
      </c>
      <c r="D105" s="484">
        <f t="shared" si="2"/>
        <v>10970000</v>
      </c>
      <c r="E105" s="484">
        <v>897296</v>
      </c>
      <c r="F105" s="484">
        <v>4312704</v>
      </c>
      <c r="G105" s="484">
        <v>3120000</v>
      </c>
      <c r="H105" s="298">
        <v>2640000</v>
      </c>
      <c r="I105" s="128"/>
      <c r="J105" s="128"/>
      <c r="K105" s="129"/>
      <c r="L105" s="129"/>
    </row>
    <row r="106" spans="1:12" s="130" customFormat="1" ht="22.5" customHeight="1">
      <c r="A106" s="202"/>
      <c r="B106" s="202"/>
      <c r="C106" s="477"/>
      <c r="D106" s="478">
        <f t="shared" si="2"/>
        <v>0</v>
      </c>
      <c r="E106" s="478"/>
      <c r="F106" s="478">
        <v>-2193939</v>
      </c>
      <c r="G106" s="478">
        <v>2193939</v>
      </c>
      <c r="H106" s="204"/>
      <c r="I106" s="128"/>
      <c r="J106" s="128"/>
      <c r="K106" s="129"/>
      <c r="L106" s="129"/>
    </row>
    <row r="107" spans="1:12" s="155" customFormat="1" ht="22.5" customHeight="1">
      <c r="A107" s="170">
        <v>851</v>
      </c>
      <c r="B107" s="170"/>
      <c r="C107" s="170" t="s">
        <v>963</v>
      </c>
      <c r="D107" s="297">
        <f t="shared" si="2"/>
        <v>1640000</v>
      </c>
      <c r="E107" s="297">
        <f>200000+E111</f>
        <v>0</v>
      </c>
      <c r="F107" s="297">
        <f>400000+F109+F111</f>
        <v>3602</v>
      </c>
      <c r="G107" s="297">
        <f>450000+G109+G111</f>
        <v>1046398</v>
      </c>
      <c r="H107" s="297">
        <f>510000+H109</f>
        <v>590000</v>
      </c>
      <c r="I107" s="153"/>
      <c r="J107" s="153"/>
      <c r="K107" s="154"/>
      <c r="L107" s="154"/>
    </row>
    <row r="108" spans="1:12" s="157" customFormat="1" ht="22.5" customHeight="1">
      <c r="A108" s="178"/>
      <c r="B108" s="178">
        <v>85121</v>
      </c>
      <c r="C108" s="178" t="s">
        <v>688</v>
      </c>
      <c r="D108" s="298">
        <f t="shared" si="2"/>
        <v>160000</v>
      </c>
      <c r="E108" s="298"/>
      <c r="F108" s="298">
        <v>100000</v>
      </c>
      <c r="G108" s="298"/>
      <c r="H108" s="298">
        <v>60000</v>
      </c>
      <c r="I108" s="156"/>
      <c r="J108" s="156"/>
      <c r="K108" s="125"/>
      <c r="L108" s="125"/>
    </row>
    <row r="109" spans="1:12" s="157" customFormat="1" ht="22.5" customHeight="1">
      <c r="A109" s="99"/>
      <c r="B109" s="229"/>
      <c r="C109" s="229"/>
      <c r="D109" s="204">
        <f t="shared" si="2"/>
        <v>80000</v>
      </c>
      <c r="E109" s="204"/>
      <c r="F109" s="204">
        <v>-100000</v>
      </c>
      <c r="G109" s="204">
        <v>100000</v>
      </c>
      <c r="H109" s="204">
        <v>80000</v>
      </c>
      <c r="I109" s="156"/>
      <c r="J109" s="156"/>
      <c r="K109" s="125"/>
      <c r="L109" s="125"/>
    </row>
    <row r="110" spans="1:12" s="157" customFormat="1" ht="22.5" customHeight="1">
      <c r="A110" s="99"/>
      <c r="B110" s="178">
        <v>85154</v>
      </c>
      <c r="C110" s="178" t="s">
        <v>1430</v>
      </c>
      <c r="D110" s="298">
        <f t="shared" si="2"/>
        <v>1400000</v>
      </c>
      <c r="E110" s="298">
        <v>200000</v>
      </c>
      <c r="F110" s="298">
        <v>300000</v>
      </c>
      <c r="G110" s="298">
        <v>450000</v>
      </c>
      <c r="H110" s="298">
        <v>450000</v>
      </c>
      <c r="I110" s="156"/>
      <c r="J110" s="156"/>
      <c r="K110" s="125"/>
      <c r="L110" s="125"/>
    </row>
    <row r="111" spans="1:12" s="157" customFormat="1" ht="22.5" customHeight="1">
      <c r="A111" s="229"/>
      <c r="B111" s="229"/>
      <c r="C111" s="229"/>
      <c r="D111" s="204">
        <f t="shared" si="2"/>
        <v>0</v>
      </c>
      <c r="E111" s="204">
        <v>-200000</v>
      </c>
      <c r="F111" s="204">
        <v>-296398</v>
      </c>
      <c r="G111" s="204">
        <v>496398</v>
      </c>
      <c r="H111" s="204"/>
      <c r="I111" s="156"/>
      <c r="J111" s="156"/>
      <c r="K111" s="125"/>
      <c r="L111" s="125"/>
    </row>
    <row r="112" spans="1:12" s="157" customFormat="1" ht="22.5" customHeight="1">
      <c r="A112" s="192">
        <v>852</v>
      </c>
      <c r="B112" s="192"/>
      <c r="C112" s="192" t="s">
        <v>485</v>
      </c>
      <c r="D112" s="232">
        <f t="shared" si="2"/>
        <v>160000</v>
      </c>
      <c r="E112" s="232"/>
      <c r="F112" s="232">
        <f>160000+F114</f>
        <v>595</v>
      </c>
      <c r="G112" s="232">
        <f>G114</f>
        <v>159405</v>
      </c>
      <c r="H112" s="232"/>
      <c r="I112" s="156"/>
      <c r="J112" s="156"/>
      <c r="K112" s="125"/>
      <c r="L112" s="125"/>
    </row>
    <row r="113" spans="1:12" s="157" customFormat="1" ht="22.5" customHeight="1">
      <c r="A113" s="178"/>
      <c r="B113" s="178">
        <v>85202</v>
      </c>
      <c r="C113" s="178" t="s">
        <v>988</v>
      </c>
      <c r="D113" s="298">
        <f t="shared" si="2"/>
        <v>160000</v>
      </c>
      <c r="E113" s="298"/>
      <c r="F113" s="298">
        <v>160000</v>
      </c>
      <c r="G113" s="298"/>
      <c r="H113" s="298"/>
      <c r="I113" s="156"/>
      <c r="J113" s="156"/>
      <c r="K113" s="125"/>
      <c r="L113" s="125"/>
    </row>
    <row r="114" spans="1:12" s="157" customFormat="1" ht="22.5" customHeight="1">
      <c r="A114" s="229"/>
      <c r="B114" s="181"/>
      <c r="C114" s="181"/>
      <c r="D114" s="204">
        <f t="shared" si="2"/>
        <v>0</v>
      </c>
      <c r="E114" s="204"/>
      <c r="F114" s="204">
        <v>-159405</v>
      </c>
      <c r="G114" s="204">
        <v>159405</v>
      </c>
      <c r="H114" s="204"/>
      <c r="I114" s="156"/>
      <c r="J114" s="156"/>
      <c r="K114" s="125"/>
      <c r="L114" s="125"/>
    </row>
    <row r="115" spans="1:12" s="130" customFormat="1" ht="22.5" customHeight="1">
      <c r="A115" s="192">
        <v>900</v>
      </c>
      <c r="B115" s="192"/>
      <c r="C115" s="192" t="s">
        <v>1132</v>
      </c>
      <c r="D115" s="232">
        <f t="shared" si="0"/>
        <v>13977000</v>
      </c>
      <c r="E115" s="232">
        <v>2028046</v>
      </c>
      <c r="F115" s="232">
        <f>3864954+F117+F119+F121</f>
        <v>2742999</v>
      </c>
      <c r="G115" s="232">
        <f>5767560+G117+G119+G121</f>
        <v>6891515</v>
      </c>
      <c r="H115" s="232">
        <f>2316440+H121+H117</f>
        <v>2314440</v>
      </c>
      <c r="I115" s="128"/>
      <c r="J115" s="128"/>
      <c r="K115" s="129"/>
      <c r="L115" s="129"/>
    </row>
    <row r="116" spans="1:12" s="130" customFormat="1" ht="22.5" customHeight="1">
      <c r="A116" s="99"/>
      <c r="B116" s="178">
        <v>90001</v>
      </c>
      <c r="C116" s="178" t="s">
        <v>1129</v>
      </c>
      <c r="D116" s="298">
        <f t="shared" si="0"/>
        <v>4727000</v>
      </c>
      <c r="E116" s="298">
        <v>246074</v>
      </c>
      <c r="F116" s="298">
        <v>2105926</v>
      </c>
      <c r="G116" s="298">
        <v>2330000</v>
      </c>
      <c r="H116" s="298">
        <v>45000</v>
      </c>
      <c r="I116" s="128"/>
      <c r="J116" s="128"/>
      <c r="K116" s="129"/>
      <c r="L116" s="129"/>
    </row>
    <row r="117" spans="1:12" s="130" customFormat="1" ht="22.5" customHeight="1">
      <c r="A117" s="181"/>
      <c r="B117" s="181"/>
      <c r="C117" s="181"/>
      <c r="D117" s="204">
        <f t="shared" si="0"/>
        <v>100000</v>
      </c>
      <c r="E117" s="204"/>
      <c r="F117" s="204">
        <v>-761579</v>
      </c>
      <c r="G117" s="204">
        <v>761579</v>
      </c>
      <c r="H117" s="204">
        <v>100000</v>
      </c>
      <c r="I117" s="128"/>
      <c r="J117" s="128"/>
      <c r="K117" s="129"/>
      <c r="L117" s="129"/>
    </row>
    <row r="118" spans="1:12" s="130" customFormat="1" ht="22.5" customHeight="1">
      <c r="A118" s="99"/>
      <c r="B118" s="99">
        <v>90002</v>
      </c>
      <c r="C118" s="99" t="s">
        <v>1130</v>
      </c>
      <c r="D118" s="260">
        <f t="shared" si="0"/>
        <v>1220000</v>
      </c>
      <c r="E118" s="260"/>
      <c r="F118" s="260">
        <v>356000</v>
      </c>
      <c r="G118" s="260">
        <v>719560</v>
      </c>
      <c r="H118" s="260">
        <v>144440</v>
      </c>
      <c r="I118" s="128"/>
      <c r="J118" s="128"/>
      <c r="K118" s="129"/>
      <c r="L118" s="129"/>
    </row>
    <row r="119" spans="1:12" s="130" customFormat="1" ht="22.5" customHeight="1">
      <c r="A119" s="202"/>
      <c r="B119" s="181"/>
      <c r="C119" s="181"/>
      <c r="D119" s="204">
        <f t="shared" si="0"/>
        <v>-500000</v>
      </c>
      <c r="E119" s="204"/>
      <c r="F119" s="204">
        <v>-353072</v>
      </c>
      <c r="G119" s="204">
        <f>353072-500000</f>
        <v>-146928</v>
      </c>
      <c r="H119" s="204"/>
      <c r="I119" s="128"/>
      <c r="J119" s="128"/>
      <c r="K119" s="129"/>
      <c r="L119" s="129"/>
    </row>
    <row r="120" spans="1:12" s="130" customFormat="1" ht="22.5" customHeight="1">
      <c r="A120" s="202"/>
      <c r="B120" s="99">
        <v>90095</v>
      </c>
      <c r="C120" s="99" t="s">
        <v>488</v>
      </c>
      <c r="D120" s="260">
        <f aca="true" t="shared" si="3" ref="D120:D141">SUM(E120:H120)</f>
        <v>8030000</v>
      </c>
      <c r="E120" s="260">
        <v>1781972</v>
      </c>
      <c r="F120" s="260">
        <v>1403028</v>
      </c>
      <c r="G120" s="260">
        <v>2718000</v>
      </c>
      <c r="H120" s="260">
        <v>2127000</v>
      </c>
      <c r="I120" s="128"/>
      <c r="J120" s="128"/>
      <c r="K120" s="129"/>
      <c r="L120" s="129"/>
    </row>
    <row r="121" spans="1:12" s="130" customFormat="1" ht="22.5" customHeight="1">
      <c r="A121" s="202"/>
      <c r="B121" s="202"/>
      <c r="C121" s="202"/>
      <c r="D121" s="242">
        <f t="shared" si="3"/>
        <v>400000</v>
      </c>
      <c r="E121" s="242"/>
      <c r="F121" s="242">
        <v>-7304</v>
      </c>
      <c r="G121" s="242">
        <v>509304</v>
      </c>
      <c r="H121" s="242">
        <f>-502000+400000</f>
        <v>-102000</v>
      </c>
      <c r="I121" s="128"/>
      <c r="J121" s="128"/>
      <c r="K121" s="129"/>
      <c r="L121" s="129"/>
    </row>
    <row r="122" spans="1:12" s="130" customFormat="1" ht="22.5" customHeight="1">
      <c r="A122" s="170">
        <v>921</v>
      </c>
      <c r="B122" s="170"/>
      <c r="C122" s="170" t="s">
        <v>1443</v>
      </c>
      <c r="D122" s="297">
        <f t="shared" si="3"/>
        <v>760000</v>
      </c>
      <c r="E122" s="297">
        <v>23746</v>
      </c>
      <c r="F122" s="297">
        <f>101254+F124+F126</f>
        <v>23415</v>
      </c>
      <c r="G122" s="297">
        <f>360000+G124+G126</f>
        <v>437839</v>
      </c>
      <c r="H122" s="297">
        <v>275000</v>
      </c>
      <c r="I122" s="128"/>
      <c r="J122" s="128"/>
      <c r="K122" s="129"/>
      <c r="L122" s="129"/>
    </row>
    <row r="123" spans="1:12" s="130" customFormat="1" ht="22.5" customHeight="1">
      <c r="A123" s="202"/>
      <c r="B123" s="178">
        <v>92113</v>
      </c>
      <c r="C123" s="178" t="s">
        <v>1444</v>
      </c>
      <c r="D123" s="298">
        <f t="shared" si="3"/>
        <v>500000</v>
      </c>
      <c r="E123" s="298"/>
      <c r="F123" s="298">
        <v>25000</v>
      </c>
      <c r="G123" s="298">
        <v>250000</v>
      </c>
      <c r="H123" s="298">
        <v>225000</v>
      </c>
      <c r="I123" s="128"/>
      <c r="J123" s="128"/>
      <c r="K123" s="129"/>
      <c r="L123" s="129"/>
    </row>
    <row r="124" spans="1:12" s="130" customFormat="1" ht="22.5" customHeight="1">
      <c r="A124" s="202"/>
      <c r="B124" s="181"/>
      <c r="C124" s="181"/>
      <c r="D124" s="204">
        <f t="shared" si="3"/>
        <v>0</v>
      </c>
      <c r="E124" s="204"/>
      <c r="F124" s="204">
        <v>-2448</v>
      </c>
      <c r="G124" s="204">
        <v>2448</v>
      </c>
      <c r="H124" s="204"/>
      <c r="I124" s="128"/>
      <c r="J124" s="128"/>
      <c r="K124" s="129"/>
      <c r="L124" s="129"/>
    </row>
    <row r="125" spans="1:12" s="130" customFormat="1" ht="22.5" customHeight="1">
      <c r="A125" s="202"/>
      <c r="B125" s="99">
        <v>92120</v>
      </c>
      <c r="C125" s="99" t="s">
        <v>1445</v>
      </c>
      <c r="D125" s="260">
        <f t="shared" si="3"/>
        <v>260000</v>
      </c>
      <c r="E125" s="260">
        <v>23746</v>
      </c>
      <c r="F125" s="260">
        <v>76254</v>
      </c>
      <c r="G125" s="260">
        <v>110000</v>
      </c>
      <c r="H125" s="260">
        <v>50000</v>
      </c>
      <c r="I125" s="128"/>
      <c r="J125" s="128"/>
      <c r="K125" s="129"/>
      <c r="L125" s="129"/>
    </row>
    <row r="126" spans="1:12" s="130" customFormat="1" ht="22.5" customHeight="1">
      <c r="A126" s="202"/>
      <c r="B126" s="181"/>
      <c r="C126" s="181"/>
      <c r="D126" s="204">
        <f t="shared" si="3"/>
        <v>0</v>
      </c>
      <c r="E126" s="204"/>
      <c r="F126" s="204">
        <v>-75391</v>
      </c>
      <c r="G126" s="204">
        <v>75391</v>
      </c>
      <c r="H126" s="204"/>
      <c r="I126" s="128"/>
      <c r="J126" s="128"/>
      <c r="K126" s="129"/>
      <c r="L126" s="129"/>
    </row>
    <row r="127" spans="1:12" s="130" customFormat="1" ht="22.5" customHeight="1">
      <c r="A127" s="170">
        <v>926</v>
      </c>
      <c r="B127" s="192"/>
      <c r="C127" s="192" t="s">
        <v>1446</v>
      </c>
      <c r="D127" s="232">
        <f t="shared" si="3"/>
        <v>6505000</v>
      </c>
      <c r="E127" s="232">
        <v>326557</v>
      </c>
      <c r="F127" s="232">
        <f>1798443+F129+F131</f>
        <v>1761029</v>
      </c>
      <c r="G127" s="232">
        <f>2140000+G129+G131</f>
        <v>2677414</v>
      </c>
      <c r="H127" s="232">
        <f>2240000+H131</f>
        <v>1740000</v>
      </c>
      <c r="I127" s="128"/>
      <c r="J127" s="128"/>
      <c r="K127" s="129"/>
      <c r="L127" s="129"/>
    </row>
    <row r="128" spans="1:12" s="130" customFormat="1" ht="22.5" customHeight="1">
      <c r="A128" s="99"/>
      <c r="B128" s="178">
        <v>92601</v>
      </c>
      <c r="C128" s="178" t="s">
        <v>1447</v>
      </c>
      <c r="D128" s="298">
        <f t="shared" si="3"/>
        <v>120000</v>
      </c>
      <c r="E128" s="298"/>
      <c r="F128" s="298">
        <v>40000</v>
      </c>
      <c r="G128" s="298">
        <v>40000</v>
      </c>
      <c r="H128" s="298">
        <v>40000</v>
      </c>
      <c r="I128" s="128"/>
      <c r="J128" s="128"/>
      <c r="K128" s="129"/>
      <c r="L128" s="129"/>
    </row>
    <row r="129" spans="1:12" s="130" customFormat="1" ht="22.5" customHeight="1">
      <c r="A129" s="202"/>
      <c r="B129" s="181"/>
      <c r="C129" s="181"/>
      <c r="D129" s="204">
        <f t="shared" si="3"/>
        <v>0</v>
      </c>
      <c r="E129" s="204"/>
      <c r="F129" s="204">
        <v>-36462</v>
      </c>
      <c r="G129" s="204">
        <v>36462</v>
      </c>
      <c r="H129" s="204"/>
      <c r="I129" s="128"/>
      <c r="J129" s="128"/>
      <c r="K129" s="129"/>
      <c r="L129" s="129"/>
    </row>
    <row r="130" spans="1:12" s="130" customFormat="1" ht="22.5" customHeight="1">
      <c r="A130" s="99"/>
      <c r="B130" s="178">
        <v>92604</v>
      </c>
      <c r="C130" s="178" t="s">
        <v>1448</v>
      </c>
      <c r="D130" s="298">
        <f t="shared" si="3"/>
        <v>6235000</v>
      </c>
      <c r="E130" s="298">
        <v>326557</v>
      </c>
      <c r="F130" s="298">
        <v>1758443</v>
      </c>
      <c r="G130" s="298">
        <v>2050000</v>
      </c>
      <c r="H130" s="298">
        <v>2100000</v>
      </c>
      <c r="I130" s="128"/>
      <c r="J130" s="128"/>
      <c r="K130" s="129"/>
      <c r="L130" s="129"/>
    </row>
    <row r="131" spans="1:12" s="130" customFormat="1" ht="22.5" customHeight="1">
      <c r="A131" s="202"/>
      <c r="B131" s="181"/>
      <c r="C131" s="181"/>
      <c r="D131" s="204">
        <f t="shared" si="3"/>
        <v>0</v>
      </c>
      <c r="E131" s="204"/>
      <c r="F131" s="204">
        <v>-952</v>
      </c>
      <c r="G131" s="204">
        <v>500952</v>
      </c>
      <c r="H131" s="204">
        <v>-500000</v>
      </c>
      <c r="I131" s="128"/>
      <c r="J131" s="128"/>
      <c r="K131" s="129"/>
      <c r="L131" s="129"/>
    </row>
    <row r="132" spans="1:12" s="130" customFormat="1" ht="22.5" customHeight="1">
      <c r="A132" s="202"/>
      <c r="B132" s="257"/>
      <c r="C132" s="238" t="s">
        <v>953</v>
      </c>
      <c r="D132" s="259">
        <f>SUM(E132:H132)</f>
        <v>3876317</v>
      </c>
      <c r="E132" s="259">
        <f aca="true" t="shared" si="4" ref="E132:H133">E133</f>
        <v>902355</v>
      </c>
      <c r="F132" s="259">
        <f t="shared" si="4"/>
        <v>1042200</v>
      </c>
      <c r="G132" s="259">
        <f t="shared" si="4"/>
        <v>976500</v>
      </c>
      <c r="H132" s="259">
        <f t="shared" si="4"/>
        <v>955262</v>
      </c>
      <c r="I132" s="128"/>
      <c r="J132" s="128"/>
      <c r="K132" s="129"/>
      <c r="L132" s="129"/>
    </row>
    <row r="133" spans="1:12" s="130" customFormat="1" ht="22.5" customHeight="1" thickBot="1">
      <c r="A133" s="202"/>
      <c r="B133" s="202"/>
      <c r="C133" s="230" t="s">
        <v>1172</v>
      </c>
      <c r="D133" s="169">
        <f>SUM(E133:H133)</f>
        <v>3876317</v>
      </c>
      <c r="E133" s="169">
        <f t="shared" si="4"/>
        <v>902355</v>
      </c>
      <c r="F133" s="169">
        <f t="shared" si="4"/>
        <v>1042200</v>
      </c>
      <c r="G133" s="169">
        <f t="shared" si="4"/>
        <v>976500</v>
      </c>
      <c r="H133" s="169">
        <f t="shared" si="4"/>
        <v>955262</v>
      </c>
      <c r="I133" s="128"/>
      <c r="J133" s="128"/>
      <c r="K133" s="129"/>
      <c r="L133" s="129"/>
    </row>
    <row r="134" spans="1:12" s="130" customFormat="1" ht="22.5" customHeight="1" thickTop="1">
      <c r="A134" s="170">
        <v>754</v>
      </c>
      <c r="B134" s="170"/>
      <c r="C134" s="171" t="s">
        <v>690</v>
      </c>
      <c r="D134" s="232">
        <f>SUM(E134:H134)</f>
        <v>3876317</v>
      </c>
      <c r="E134" s="232">
        <f>SUM(E135:E136)</f>
        <v>902355</v>
      </c>
      <c r="F134" s="232">
        <f>SUM(F135:F136)</f>
        <v>1042200</v>
      </c>
      <c r="G134" s="232">
        <f>SUM(G135:G136)</f>
        <v>976500</v>
      </c>
      <c r="H134" s="232">
        <f>SUM(H135:H136)</f>
        <v>955262</v>
      </c>
      <c r="I134" s="128"/>
      <c r="J134" s="128"/>
      <c r="K134" s="129"/>
      <c r="L134" s="129"/>
    </row>
    <row r="135" spans="1:12" s="130" customFormat="1" ht="22.5" customHeight="1">
      <c r="A135" s="202"/>
      <c r="B135" s="99">
        <v>75416</v>
      </c>
      <c r="C135" s="178" t="s">
        <v>1485</v>
      </c>
      <c r="D135" s="260">
        <f>SUM(E135:H135)</f>
        <v>3656317</v>
      </c>
      <c r="E135" s="260">
        <v>919858</v>
      </c>
      <c r="F135" s="260">
        <v>1042200</v>
      </c>
      <c r="G135" s="260">
        <v>902980</v>
      </c>
      <c r="H135" s="260">
        <v>791279</v>
      </c>
      <c r="I135" s="128"/>
      <c r="J135" s="128"/>
      <c r="K135" s="129"/>
      <c r="L135" s="129"/>
    </row>
    <row r="136" spans="1:12" s="130" customFormat="1" ht="22.5" customHeight="1">
      <c r="A136" s="202"/>
      <c r="B136" s="181"/>
      <c r="C136" s="181"/>
      <c r="D136" s="204">
        <f>SUM(E136:H136)</f>
        <v>220000</v>
      </c>
      <c r="E136" s="204">
        <v>-17503</v>
      </c>
      <c r="F136" s="204"/>
      <c r="G136" s="204">
        <v>73520</v>
      </c>
      <c r="H136" s="204">
        <v>163983</v>
      </c>
      <c r="I136" s="128"/>
      <c r="J136" s="128"/>
      <c r="K136" s="129"/>
      <c r="L136" s="129"/>
    </row>
    <row r="137" spans="1:12" s="130" customFormat="1" ht="31.5" customHeight="1">
      <c r="A137" s="202"/>
      <c r="B137" s="257"/>
      <c r="C137" s="258" t="s">
        <v>349</v>
      </c>
      <c r="D137" s="259">
        <f t="shared" si="3"/>
        <v>2354005</v>
      </c>
      <c r="E137" s="259">
        <f>576731+E141</f>
        <v>576731</v>
      </c>
      <c r="F137" s="259">
        <f>496195+F141</f>
        <v>496195</v>
      </c>
      <c r="G137" s="259">
        <f>635180+G141</f>
        <v>635180</v>
      </c>
      <c r="H137" s="259">
        <f>515899+H141</f>
        <v>645899</v>
      </c>
      <c r="I137" s="128"/>
      <c r="J137" s="128"/>
      <c r="K137" s="129"/>
      <c r="L137" s="129"/>
    </row>
    <row r="138" spans="1:12" s="130" customFormat="1" ht="22.5" customHeight="1" thickBot="1">
      <c r="A138" s="202"/>
      <c r="B138" s="202"/>
      <c r="C138" s="230" t="s">
        <v>1172</v>
      </c>
      <c r="D138" s="169">
        <f t="shared" si="3"/>
        <v>2285105</v>
      </c>
      <c r="E138" s="169">
        <f>567000+E141</f>
        <v>567000</v>
      </c>
      <c r="F138" s="169">
        <f>486405+F141</f>
        <v>486405</v>
      </c>
      <c r="G138" s="169">
        <f>625490+G141</f>
        <v>625490</v>
      </c>
      <c r="H138" s="169">
        <f>476210+H141</f>
        <v>606210</v>
      </c>
      <c r="I138" s="128"/>
      <c r="J138" s="128"/>
      <c r="K138" s="129"/>
      <c r="L138" s="129"/>
    </row>
    <row r="139" spans="1:12" s="130" customFormat="1" ht="22.5" customHeight="1" thickTop="1">
      <c r="A139" s="170">
        <v>852</v>
      </c>
      <c r="B139" s="170"/>
      <c r="C139" s="192" t="s">
        <v>485</v>
      </c>
      <c r="D139" s="232">
        <f t="shared" si="3"/>
        <v>2269900</v>
      </c>
      <c r="E139" s="232">
        <f>560000+E141</f>
        <v>560000</v>
      </c>
      <c r="F139" s="232">
        <f>478200+F141</f>
        <v>478200</v>
      </c>
      <c r="G139" s="232">
        <f>625490+G141</f>
        <v>625490</v>
      </c>
      <c r="H139" s="232">
        <f>476210+H141</f>
        <v>606210</v>
      </c>
      <c r="I139" s="128"/>
      <c r="J139" s="128"/>
      <c r="K139" s="129"/>
      <c r="L139" s="129"/>
    </row>
    <row r="140" spans="1:12" s="130" customFormat="1" ht="22.5" customHeight="1">
      <c r="A140" s="202"/>
      <c r="B140" s="99">
        <v>85201</v>
      </c>
      <c r="C140" s="100" t="s">
        <v>686</v>
      </c>
      <c r="D140" s="260">
        <f t="shared" si="3"/>
        <v>2139900</v>
      </c>
      <c r="E140" s="260">
        <v>560000</v>
      </c>
      <c r="F140" s="260">
        <v>478200</v>
      </c>
      <c r="G140" s="260">
        <v>625490</v>
      </c>
      <c r="H140" s="260">
        <v>476210</v>
      </c>
      <c r="I140" s="128"/>
      <c r="J140" s="128"/>
      <c r="K140" s="129"/>
      <c r="L140" s="129"/>
    </row>
    <row r="141" spans="1:12" s="130" customFormat="1" ht="22.5" customHeight="1">
      <c r="A141" s="202"/>
      <c r="B141" s="202"/>
      <c r="C141" s="202"/>
      <c r="D141" s="242">
        <f t="shared" si="3"/>
        <v>130000</v>
      </c>
      <c r="E141" s="242"/>
      <c r="F141" s="242"/>
      <c r="G141" s="242"/>
      <c r="H141" s="242">
        <v>130000</v>
      </c>
      <c r="I141" s="128"/>
      <c r="J141" s="128"/>
      <c r="K141" s="129"/>
      <c r="L141" s="129"/>
    </row>
    <row r="142" spans="1:12" s="130" customFormat="1" ht="22.5" customHeight="1">
      <c r="A142" s="1109"/>
      <c r="B142" s="1109"/>
      <c r="C142" s="1109"/>
      <c r="D142" s="1276"/>
      <c r="E142" s="1276"/>
      <c r="F142" s="1276"/>
      <c r="G142" s="1276"/>
      <c r="H142" s="1276"/>
      <c r="I142" s="128"/>
      <c r="J142" s="128"/>
      <c r="K142" s="129"/>
      <c r="L142" s="129"/>
    </row>
    <row r="143" spans="1:12" s="130" customFormat="1" ht="22.5" customHeight="1">
      <c r="A143" s="99"/>
      <c r="B143" s="99"/>
      <c r="C143" s="262" t="s">
        <v>350</v>
      </c>
      <c r="D143" s="259">
        <f t="shared" si="0"/>
        <v>2814666</v>
      </c>
      <c r="E143" s="259">
        <v>772500</v>
      </c>
      <c r="F143" s="259">
        <v>693579</v>
      </c>
      <c r="G143" s="259">
        <f>614721+G147</f>
        <v>612721</v>
      </c>
      <c r="H143" s="259">
        <v>735866</v>
      </c>
      <c r="I143" s="128"/>
      <c r="J143" s="128"/>
      <c r="K143" s="129"/>
      <c r="L143" s="129"/>
    </row>
    <row r="144" spans="1:12" s="130" customFormat="1" ht="22.5" customHeight="1" thickBot="1">
      <c r="A144" s="229"/>
      <c r="B144" s="229"/>
      <c r="C144" s="230" t="s">
        <v>1172</v>
      </c>
      <c r="D144" s="169">
        <f t="shared" si="0"/>
        <v>2252766</v>
      </c>
      <c r="E144" s="169">
        <v>650000</v>
      </c>
      <c r="F144" s="169">
        <v>558279</v>
      </c>
      <c r="G144" s="169">
        <f>510121+G147</f>
        <v>508121</v>
      </c>
      <c r="H144" s="169">
        <v>536366</v>
      </c>
      <c r="I144" s="128"/>
      <c r="J144" s="128"/>
      <c r="K144" s="129"/>
      <c r="L144" s="129"/>
    </row>
    <row r="145" spans="1:12" s="130" customFormat="1" ht="22.5" customHeight="1" thickTop="1">
      <c r="A145" s="170">
        <v>851</v>
      </c>
      <c r="B145" s="170"/>
      <c r="C145" s="192" t="s">
        <v>963</v>
      </c>
      <c r="D145" s="232">
        <f t="shared" si="0"/>
        <v>7900</v>
      </c>
      <c r="E145" s="232"/>
      <c r="F145" s="232">
        <v>1279</v>
      </c>
      <c r="G145" s="232">
        <f>6621+G147</f>
        <v>4621</v>
      </c>
      <c r="H145" s="232">
        <f>H147</f>
        <v>2000</v>
      </c>
      <c r="I145" s="128"/>
      <c r="J145" s="128"/>
      <c r="K145" s="129"/>
      <c r="L145" s="129"/>
    </row>
    <row r="146" spans="1:12" s="130" customFormat="1" ht="22.5" customHeight="1">
      <c r="A146" s="294"/>
      <c r="B146" s="448">
        <v>85154</v>
      </c>
      <c r="C146" s="450" t="s">
        <v>1430</v>
      </c>
      <c r="D146" s="449">
        <f aca="true" t="shared" si="5" ref="D146:D156">SUM(E146:H146)</f>
        <v>4400</v>
      </c>
      <c r="E146" s="449"/>
      <c r="F146" s="449">
        <v>200</v>
      </c>
      <c r="G146" s="449">
        <v>4200</v>
      </c>
      <c r="H146" s="449"/>
      <c r="I146" s="128"/>
      <c r="J146" s="128"/>
      <c r="K146" s="129"/>
      <c r="L146" s="129"/>
    </row>
    <row r="147" spans="1:12" s="130" customFormat="1" ht="22.5" customHeight="1">
      <c r="A147" s="294"/>
      <c r="B147" s="446"/>
      <c r="C147" s="446"/>
      <c r="D147" s="447">
        <f t="shared" si="5"/>
        <v>0</v>
      </c>
      <c r="E147" s="447"/>
      <c r="F147" s="447"/>
      <c r="G147" s="447">
        <v>-2000</v>
      </c>
      <c r="H147" s="447">
        <v>2000</v>
      </c>
      <c r="I147" s="128"/>
      <c r="J147" s="128"/>
      <c r="K147" s="129"/>
      <c r="L147" s="129"/>
    </row>
    <row r="148" spans="1:12" s="130" customFormat="1" ht="22.5" customHeight="1">
      <c r="A148" s="99"/>
      <c r="B148" s="99"/>
      <c r="C148" s="258" t="s">
        <v>956</v>
      </c>
      <c r="D148" s="1012">
        <f t="shared" si="5"/>
        <v>77903582</v>
      </c>
      <c r="E148" s="1012">
        <v>13512035</v>
      </c>
      <c r="F148" s="1012">
        <v>17667675</v>
      </c>
      <c r="G148" s="1012">
        <f>23145900+G156</f>
        <v>23151705</v>
      </c>
      <c r="H148" s="1012">
        <f>22572167+H152</f>
        <v>23572167</v>
      </c>
      <c r="I148" s="128"/>
      <c r="J148" s="128"/>
      <c r="K148" s="129"/>
      <c r="L148" s="129"/>
    </row>
    <row r="149" spans="1:12" s="130" customFormat="1" ht="22.5" customHeight="1" thickBot="1">
      <c r="A149" s="254"/>
      <c r="B149" s="255"/>
      <c r="C149" s="109" t="s">
        <v>493</v>
      </c>
      <c r="D149" s="256">
        <f>SUM(E149:H149)</f>
        <v>42671082</v>
      </c>
      <c r="E149" s="256">
        <v>4354800</v>
      </c>
      <c r="F149" s="256">
        <v>9302210</v>
      </c>
      <c r="G149" s="256">
        <v>14161198</v>
      </c>
      <c r="H149" s="256">
        <v>14852874</v>
      </c>
      <c r="I149" s="128"/>
      <c r="J149" s="128"/>
      <c r="K149" s="129"/>
      <c r="L149" s="129"/>
    </row>
    <row r="150" spans="1:12" s="130" customFormat="1" ht="22.5" customHeight="1" thickTop="1">
      <c r="A150" s="192">
        <v>852</v>
      </c>
      <c r="B150" s="192"/>
      <c r="C150" s="171" t="s">
        <v>485</v>
      </c>
      <c r="D150" s="152">
        <f>SUM(E150:H150)</f>
        <v>42671082</v>
      </c>
      <c r="E150" s="152">
        <v>4354800</v>
      </c>
      <c r="F150" s="152">
        <v>9302210</v>
      </c>
      <c r="G150" s="152">
        <v>14161198</v>
      </c>
      <c r="H150" s="152">
        <v>14852874</v>
      </c>
      <c r="I150" s="128"/>
      <c r="J150" s="128"/>
      <c r="K150" s="129"/>
      <c r="L150" s="129"/>
    </row>
    <row r="151" spans="1:12" s="130" customFormat="1" ht="25.5" customHeight="1">
      <c r="A151" s="300"/>
      <c r="B151" s="99">
        <v>85212</v>
      </c>
      <c r="C151" s="1343" t="s">
        <v>796</v>
      </c>
      <c r="D151" s="298">
        <f>SUM(E151:H151)</f>
        <v>25693642</v>
      </c>
      <c r="E151" s="298"/>
      <c r="F151" s="298">
        <v>3778488</v>
      </c>
      <c r="G151" s="298">
        <v>10924440</v>
      </c>
      <c r="H151" s="298">
        <v>10990714</v>
      </c>
      <c r="I151" s="128"/>
      <c r="J151" s="128"/>
      <c r="K151" s="129"/>
      <c r="L151" s="129"/>
    </row>
    <row r="152" spans="1:12" s="130" customFormat="1" ht="22.5" customHeight="1">
      <c r="A152" s="202"/>
      <c r="B152" s="181"/>
      <c r="C152" s="181"/>
      <c r="D152" s="204">
        <f>SUM(E152:H152)</f>
        <v>1000000</v>
      </c>
      <c r="E152" s="204"/>
      <c r="F152" s="204"/>
      <c r="G152" s="204"/>
      <c r="H152" s="204">
        <v>1000000</v>
      </c>
      <c r="I152" s="128"/>
      <c r="J152" s="128"/>
      <c r="K152" s="129"/>
      <c r="L152" s="129"/>
    </row>
    <row r="153" spans="1:12" s="130" customFormat="1" ht="34.5" customHeight="1" thickBot="1">
      <c r="A153" s="254"/>
      <c r="B153" s="255"/>
      <c r="C153" s="109" t="s">
        <v>496</v>
      </c>
      <c r="D153" s="256">
        <f t="shared" si="5"/>
        <v>2328670</v>
      </c>
      <c r="E153" s="256">
        <v>555750</v>
      </c>
      <c r="F153" s="256">
        <v>555750</v>
      </c>
      <c r="G153" s="256">
        <f>628615+G156</f>
        <v>634420</v>
      </c>
      <c r="H153" s="256">
        <v>582750</v>
      </c>
      <c r="I153" s="128"/>
      <c r="J153" s="128"/>
      <c r="K153" s="129"/>
      <c r="L153" s="129"/>
    </row>
    <row r="154" spans="1:12" s="130" customFormat="1" ht="22.5" customHeight="1" thickTop="1">
      <c r="A154" s="192">
        <v>853</v>
      </c>
      <c r="B154" s="192"/>
      <c r="C154" s="171" t="s">
        <v>684</v>
      </c>
      <c r="D154" s="152">
        <f t="shared" si="5"/>
        <v>28670</v>
      </c>
      <c r="E154" s="152"/>
      <c r="F154" s="152"/>
      <c r="G154" s="152">
        <f>SUM(G155:G156)</f>
        <v>28670</v>
      </c>
      <c r="H154" s="152"/>
      <c r="I154" s="128"/>
      <c r="J154" s="128"/>
      <c r="K154" s="129"/>
      <c r="L154" s="129"/>
    </row>
    <row r="155" spans="1:12" s="130" customFormat="1" ht="22.5" customHeight="1">
      <c r="A155" s="300"/>
      <c r="B155" s="99">
        <v>85334</v>
      </c>
      <c r="C155" s="1343" t="s">
        <v>959</v>
      </c>
      <c r="D155" s="298">
        <f t="shared" si="5"/>
        <v>22865</v>
      </c>
      <c r="E155" s="298"/>
      <c r="F155" s="298"/>
      <c r="G155" s="298">
        <v>22865</v>
      </c>
      <c r="H155" s="298"/>
      <c r="I155" s="128"/>
      <c r="J155" s="128"/>
      <c r="K155" s="129"/>
      <c r="L155" s="129"/>
    </row>
    <row r="156" spans="1:12" s="130" customFormat="1" ht="22.5" customHeight="1">
      <c r="A156" s="202"/>
      <c r="B156" s="181"/>
      <c r="C156" s="181"/>
      <c r="D156" s="204">
        <f t="shared" si="5"/>
        <v>5805</v>
      </c>
      <c r="E156" s="204"/>
      <c r="F156" s="204"/>
      <c r="G156" s="204">
        <v>5805</v>
      </c>
      <c r="H156" s="204"/>
      <c r="I156" s="128"/>
      <c r="J156" s="128"/>
      <c r="K156" s="129"/>
      <c r="L156" s="129"/>
    </row>
    <row r="157" spans="1:8" ht="24.75" customHeight="1">
      <c r="A157" s="99"/>
      <c r="B157" s="99"/>
      <c r="C157" s="258" t="s">
        <v>957</v>
      </c>
      <c r="D157" s="1012">
        <f t="shared" si="0"/>
        <v>12086064</v>
      </c>
      <c r="E157" s="1012">
        <v>2958300</v>
      </c>
      <c r="F157" s="1012">
        <v>3310000</v>
      </c>
      <c r="G157" s="1012">
        <f>2672850+G162</f>
        <v>2683850</v>
      </c>
      <c r="H157" s="1012">
        <f>3124914+H162</f>
        <v>3133914</v>
      </c>
    </row>
    <row r="158" spans="1:8" ht="28.5" customHeight="1" thickBot="1">
      <c r="A158" s="254"/>
      <c r="B158" s="255"/>
      <c r="C158" s="109" t="s">
        <v>496</v>
      </c>
      <c r="D158" s="256">
        <f t="shared" si="0"/>
        <v>11986064</v>
      </c>
      <c r="E158" s="256">
        <v>2958300</v>
      </c>
      <c r="F158" s="256">
        <v>3310000</v>
      </c>
      <c r="G158" s="256">
        <f>2572850+G162</f>
        <v>2583850</v>
      </c>
      <c r="H158" s="256">
        <f>3124914+H162</f>
        <v>3133914</v>
      </c>
    </row>
    <row r="159" spans="1:8" s="20" customFormat="1" ht="20.25" customHeight="1" thickTop="1">
      <c r="A159" s="192">
        <v>754</v>
      </c>
      <c r="B159" s="192"/>
      <c r="C159" s="171" t="s">
        <v>690</v>
      </c>
      <c r="D159" s="152">
        <f t="shared" si="0"/>
        <v>11826000</v>
      </c>
      <c r="E159" s="152">
        <v>2950000</v>
      </c>
      <c r="F159" s="152">
        <v>3300000</v>
      </c>
      <c r="G159" s="152">
        <f>SUM(G161:G162)</f>
        <v>2571000</v>
      </c>
      <c r="H159" s="152">
        <f>H161+H162</f>
        <v>3005000</v>
      </c>
    </row>
    <row r="160" spans="1:8" s="13" customFormat="1" ht="19.5" customHeight="1" hidden="1">
      <c r="A160" s="191">
        <v>851</v>
      </c>
      <c r="B160" s="192"/>
      <c r="C160" s="208" t="s">
        <v>691</v>
      </c>
      <c r="D160" s="940">
        <f t="shared" si="0"/>
        <v>0</v>
      </c>
      <c r="E160" s="940"/>
      <c r="F160" s="940"/>
      <c r="G160" s="940"/>
      <c r="H160" s="940"/>
    </row>
    <row r="161" spans="1:10" s="77" customFormat="1" ht="23.25" customHeight="1">
      <c r="A161" s="300"/>
      <c r="B161" s="99">
        <v>75411</v>
      </c>
      <c r="C161" s="1343" t="s">
        <v>691</v>
      </c>
      <c r="D161" s="298">
        <f t="shared" si="0"/>
        <v>11806000</v>
      </c>
      <c r="E161" s="298">
        <v>2950000</v>
      </c>
      <c r="F161" s="298">
        <v>3300000</v>
      </c>
      <c r="G161" s="298">
        <v>2560000</v>
      </c>
      <c r="H161" s="298">
        <v>2996000</v>
      </c>
      <c r="I161" s="159"/>
      <c r="J161" s="159"/>
    </row>
    <row r="162" spans="1:10" s="77" customFormat="1" ht="23.25" customHeight="1">
      <c r="A162" s="202"/>
      <c r="B162" s="181"/>
      <c r="C162" s="181"/>
      <c r="D162" s="204">
        <f>SUM(E162:H162)</f>
        <v>20000</v>
      </c>
      <c r="E162" s="204"/>
      <c r="F162" s="204"/>
      <c r="G162" s="204">
        <v>11000</v>
      </c>
      <c r="H162" s="204">
        <v>9000</v>
      </c>
      <c r="I162" s="159"/>
      <c r="J162" s="159"/>
    </row>
    <row r="163" spans="1:8" ht="20.25" customHeight="1">
      <c r="A163" s="1008"/>
      <c r="B163" s="1009"/>
      <c r="C163" s="1010" t="s">
        <v>351</v>
      </c>
      <c r="D163" s="1011">
        <f t="shared" si="0"/>
        <v>306428260</v>
      </c>
      <c r="E163" s="1011">
        <v>93212501</v>
      </c>
      <c r="F163" s="1011">
        <f>83802979+J165</f>
        <v>82048981</v>
      </c>
      <c r="G163" s="1011">
        <f>82158936+K165+K198</f>
        <v>90050983</v>
      </c>
      <c r="H163" s="1011">
        <f>46751040+L165+L198</f>
        <v>41115795</v>
      </c>
    </row>
    <row r="164" spans="1:8" ht="18.75" customHeight="1" thickBot="1">
      <c r="A164" s="1007"/>
      <c r="B164" s="1007"/>
      <c r="C164" s="265" t="s">
        <v>1172</v>
      </c>
      <c r="D164" s="266">
        <f t="shared" si="0"/>
        <v>306348660</v>
      </c>
      <c r="E164" s="266">
        <v>93212191</v>
      </c>
      <c r="F164" s="266">
        <f>83802565+F171</f>
        <v>82048567</v>
      </c>
      <c r="G164" s="266">
        <f>82093960+K165+K198</f>
        <v>89986007</v>
      </c>
      <c r="H164" s="266">
        <f>46737140+L165+L198</f>
        <v>41101895</v>
      </c>
    </row>
    <row r="165" spans="1:12" ht="18.75" customHeight="1" thickTop="1">
      <c r="A165" s="232">
        <v>801</v>
      </c>
      <c r="B165" s="170"/>
      <c r="C165" s="192" t="s">
        <v>490</v>
      </c>
      <c r="D165" s="267">
        <f t="shared" si="0"/>
        <v>272494667</v>
      </c>
      <c r="E165" s="267">
        <v>83138520</v>
      </c>
      <c r="F165" s="267">
        <f>74629014+F171</f>
        <v>72875016</v>
      </c>
      <c r="G165" s="267">
        <f>71753630+K165</f>
        <v>78889317</v>
      </c>
      <c r="H165" s="267">
        <f>42711976+L165</f>
        <v>37591814</v>
      </c>
      <c r="J165" s="28">
        <f>F171</f>
        <v>-1753998</v>
      </c>
      <c r="K165" s="28">
        <f>G167+G169+G171+G173+G175+G177+G179+G181+G183+G185+G187+G189+G191+G193+G195+G197</f>
        <v>7135687</v>
      </c>
      <c r="L165" s="28">
        <f>H167+H169+H171+H173+H175+H177+H179+H181+H183+H185+H187+H189+H191+H193+H195+H197</f>
        <v>-5120162</v>
      </c>
    </row>
    <row r="166" spans="1:8" ht="18" customHeight="1">
      <c r="A166" s="178"/>
      <c r="B166" s="178">
        <v>80101</v>
      </c>
      <c r="C166" s="178" t="s">
        <v>491</v>
      </c>
      <c r="D166" s="409">
        <f t="shared" si="0"/>
        <v>77022484</v>
      </c>
      <c r="E166" s="409">
        <v>23055252</v>
      </c>
      <c r="F166" s="409">
        <v>20779077</v>
      </c>
      <c r="G166" s="409">
        <v>20960431</v>
      </c>
      <c r="H166" s="409">
        <v>12227724</v>
      </c>
    </row>
    <row r="167" spans="1:8" s="13" customFormat="1" ht="18.75" customHeight="1">
      <c r="A167" s="202"/>
      <c r="B167" s="181"/>
      <c r="C167" s="181"/>
      <c r="D167" s="412">
        <f t="shared" si="0"/>
        <v>195330</v>
      </c>
      <c r="E167" s="412"/>
      <c r="F167" s="412"/>
      <c r="G167" s="412">
        <v>1690630</v>
      </c>
      <c r="H167" s="412">
        <f>4700-1500000</f>
        <v>-1495300</v>
      </c>
    </row>
    <row r="168" spans="1:8" s="13" customFormat="1" ht="18.75" customHeight="1">
      <c r="A168" s="202"/>
      <c r="B168" s="99">
        <v>80102</v>
      </c>
      <c r="C168" s="1004" t="s">
        <v>939</v>
      </c>
      <c r="D168" s="409">
        <f>SUM(E168:H168)</f>
        <v>5875100</v>
      </c>
      <c r="E168" s="409">
        <v>1759710</v>
      </c>
      <c r="F168" s="409">
        <v>1541921</v>
      </c>
      <c r="G168" s="409">
        <v>1712469</v>
      </c>
      <c r="H168" s="409">
        <v>861000</v>
      </c>
    </row>
    <row r="169" spans="1:8" s="13" customFormat="1" ht="18.75" customHeight="1">
      <c r="A169" s="181"/>
      <c r="B169" s="181"/>
      <c r="C169" s="229"/>
      <c r="D169" s="412">
        <f>SUM(E169:H169)</f>
        <v>0</v>
      </c>
      <c r="E169" s="412"/>
      <c r="F169" s="412"/>
      <c r="G169" s="412">
        <v>200000</v>
      </c>
      <c r="H169" s="412">
        <v>-200000</v>
      </c>
    </row>
    <row r="170" spans="1:8" s="1" customFormat="1" ht="15.75" customHeight="1">
      <c r="A170" s="99"/>
      <c r="B170" s="99">
        <v>80104</v>
      </c>
      <c r="C170" s="1342" t="s">
        <v>625</v>
      </c>
      <c r="D170" s="268">
        <f t="shared" si="0"/>
        <v>41489330</v>
      </c>
      <c r="E170" s="268">
        <v>12745673</v>
      </c>
      <c r="F170" s="268">
        <v>12736614</v>
      </c>
      <c r="G170" s="268">
        <v>9817941</v>
      </c>
      <c r="H170" s="268">
        <v>6189102</v>
      </c>
    </row>
    <row r="171" spans="1:8" s="13" customFormat="1" ht="18" customHeight="1">
      <c r="A171" s="99"/>
      <c r="B171" s="99"/>
      <c r="C171" s="99"/>
      <c r="D171" s="412">
        <f t="shared" si="0"/>
        <v>23336</v>
      </c>
      <c r="E171" s="412"/>
      <c r="F171" s="412">
        <v>-1753998</v>
      </c>
      <c r="G171" s="412">
        <f>24236+356460</f>
        <v>380696</v>
      </c>
      <c r="H171" s="412">
        <v>1396638</v>
      </c>
    </row>
    <row r="172" spans="1:8" s="1" customFormat="1" ht="15.75" customHeight="1">
      <c r="A172" s="99"/>
      <c r="B172" s="178">
        <v>80105</v>
      </c>
      <c r="C172" s="1004" t="s">
        <v>633</v>
      </c>
      <c r="D172" s="268">
        <f t="shared" si="0"/>
        <v>1537500</v>
      </c>
      <c r="E172" s="268">
        <v>472424</v>
      </c>
      <c r="F172" s="268">
        <v>427367</v>
      </c>
      <c r="G172" s="268">
        <v>396709</v>
      </c>
      <c r="H172" s="268">
        <v>241000</v>
      </c>
    </row>
    <row r="173" spans="1:8" s="13" customFormat="1" ht="15.75" customHeight="1">
      <c r="A173" s="99"/>
      <c r="B173" s="99"/>
      <c r="C173" s="99"/>
      <c r="D173" s="1003">
        <f t="shared" si="0"/>
        <v>0</v>
      </c>
      <c r="E173" s="1003"/>
      <c r="F173" s="1003"/>
      <c r="G173" s="1003">
        <v>80000</v>
      </c>
      <c r="H173" s="1003">
        <v>-80000</v>
      </c>
    </row>
    <row r="174" spans="1:8" ht="15.75" customHeight="1">
      <c r="A174" s="99"/>
      <c r="B174" s="178">
        <v>80110</v>
      </c>
      <c r="C174" s="178" t="s">
        <v>1133</v>
      </c>
      <c r="D174" s="409">
        <f t="shared" si="0"/>
        <v>41312460</v>
      </c>
      <c r="E174" s="409">
        <v>13039736</v>
      </c>
      <c r="F174" s="409">
        <v>11054519</v>
      </c>
      <c r="G174" s="409">
        <v>10718205</v>
      </c>
      <c r="H174" s="409">
        <v>6500000</v>
      </c>
    </row>
    <row r="175" spans="1:8" s="13" customFormat="1" ht="15.75" customHeight="1">
      <c r="A175" s="202"/>
      <c r="B175" s="181"/>
      <c r="C175" s="181"/>
      <c r="D175" s="412">
        <f t="shared" si="0"/>
        <v>2800</v>
      </c>
      <c r="E175" s="412"/>
      <c r="F175" s="412"/>
      <c r="G175" s="412">
        <v>1502800</v>
      </c>
      <c r="H175" s="412">
        <v>-1500000</v>
      </c>
    </row>
    <row r="176" spans="1:8" s="13" customFormat="1" ht="15.75" customHeight="1">
      <c r="A176" s="202"/>
      <c r="B176" s="178">
        <v>80111</v>
      </c>
      <c r="C176" s="178" t="s">
        <v>938</v>
      </c>
      <c r="D176" s="409">
        <f>SUM(E176:H176)</f>
        <v>3396000</v>
      </c>
      <c r="E176" s="409">
        <v>1103790</v>
      </c>
      <c r="F176" s="409">
        <v>961124</v>
      </c>
      <c r="G176" s="409">
        <v>905086</v>
      </c>
      <c r="H176" s="409">
        <v>426000</v>
      </c>
    </row>
    <row r="177" spans="1:8" s="13" customFormat="1" ht="15.75" customHeight="1">
      <c r="A177" s="202"/>
      <c r="B177" s="181"/>
      <c r="C177" s="181"/>
      <c r="D177" s="412">
        <f>SUM(E177:H177)</f>
        <v>0</v>
      </c>
      <c r="E177" s="412"/>
      <c r="F177" s="412"/>
      <c r="G177" s="412">
        <v>140000</v>
      </c>
      <c r="H177" s="412">
        <v>-140000</v>
      </c>
    </row>
    <row r="178" spans="1:8" s="1" customFormat="1" ht="15.75" customHeight="1">
      <c r="A178" s="99"/>
      <c r="B178" s="178">
        <v>80113</v>
      </c>
      <c r="C178" s="178" t="s">
        <v>635</v>
      </c>
      <c r="D178" s="268">
        <f t="shared" si="0"/>
        <v>462380</v>
      </c>
      <c r="E178" s="268">
        <v>157182</v>
      </c>
      <c r="F178" s="268">
        <v>141694</v>
      </c>
      <c r="G178" s="268">
        <v>133504</v>
      </c>
      <c r="H178" s="268">
        <v>30000</v>
      </c>
    </row>
    <row r="179" spans="1:8" s="13" customFormat="1" ht="15.75" customHeight="1">
      <c r="A179" s="99"/>
      <c r="B179" s="99"/>
      <c r="C179" s="99"/>
      <c r="D179" s="1003">
        <f t="shared" si="0"/>
        <v>13490</v>
      </c>
      <c r="E179" s="1003"/>
      <c r="F179" s="1003"/>
      <c r="G179" s="1003">
        <v>28490</v>
      </c>
      <c r="H179" s="1003">
        <v>-15000</v>
      </c>
    </row>
    <row r="180" spans="1:8" ht="15" customHeight="1">
      <c r="A180" s="99"/>
      <c r="B180" s="178">
        <v>80120</v>
      </c>
      <c r="C180" s="178" t="s">
        <v>921</v>
      </c>
      <c r="D180" s="409">
        <f t="shared" si="0"/>
        <v>36111010</v>
      </c>
      <c r="E180" s="409">
        <v>12170930</v>
      </c>
      <c r="F180" s="409">
        <v>9798266</v>
      </c>
      <c r="G180" s="409">
        <v>9340964</v>
      </c>
      <c r="H180" s="409">
        <v>4800850</v>
      </c>
    </row>
    <row r="181" spans="1:8" s="13" customFormat="1" ht="18.75" customHeight="1">
      <c r="A181" s="202"/>
      <c r="B181" s="181"/>
      <c r="C181" s="181"/>
      <c r="D181" s="412">
        <f t="shared" si="0"/>
        <v>8400</v>
      </c>
      <c r="E181" s="412"/>
      <c r="F181" s="412"/>
      <c r="G181" s="412">
        <v>1008400</v>
      </c>
      <c r="H181" s="412">
        <v>-1000000</v>
      </c>
    </row>
    <row r="182" spans="1:8" s="13" customFormat="1" ht="18.75" customHeight="1">
      <c r="A182" s="202"/>
      <c r="B182" s="99">
        <v>80121</v>
      </c>
      <c r="C182" s="178" t="s">
        <v>530</v>
      </c>
      <c r="D182" s="409">
        <f>SUM(E182:H182)</f>
        <v>1260000</v>
      </c>
      <c r="E182" s="409">
        <v>421915</v>
      </c>
      <c r="F182" s="409">
        <v>369904</v>
      </c>
      <c r="G182" s="409">
        <v>318181</v>
      </c>
      <c r="H182" s="409">
        <v>150000</v>
      </c>
    </row>
    <row r="183" spans="1:8" s="13" customFormat="1" ht="18.75" customHeight="1">
      <c r="A183" s="202"/>
      <c r="B183" s="202"/>
      <c r="C183" s="181"/>
      <c r="D183" s="412">
        <f>SUM(E183:H183)</f>
        <v>117000</v>
      </c>
      <c r="E183" s="412"/>
      <c r="F183" s="412"/>
      <c r="G183" s="412">
        <v>117000</v>
      </c>
      <c r="H183" s="412"/>
    </row>
    <row r="184" spans="1:8" ht="18.75" customHeight="1">
      <c r="A184" s="99"/>
      <c r="B184" s="178">
        <v>80123</v>
      </c>
      <c r="C184" s="178" t="s">
        <v>637</v>
      </c>
      <c r="D184" s="298">
        <f t="shared" si="0"/>
        <v>5771280</v>
      </c>
      <c r="E184" s="298">
        <v>1810909</v>
      </c>
      <c r="F184" s="298">
        <v>1531225</v>
      </c>
      <c r="G184" s="298">
        <v>1620846</v>
      </c>
      <c r="H184" s="298">
        <v>808300</v>
      </c>
    </row>
    <row r="185" spans="1:8" s="13" customFormat="1" ht="19.5" customHeight="1">
      <c r="A185" s="202"/>
      <c r="B185" s="181"/>
      <c r="C185" s="181"/>
      <c r="D185" s="204">
        <f aca="true" t="shared" si="6" ref="D185:D214">SUM(E185:H185)</f>
        <v>7000</v>
      </c>
      <c r="E185" s="204"/>
      <c r="F185" s="204"/>
      <c r="G185" s="204">
        <v>107000</v>
      </c>
      <c r="H185" s="204">
        <v>-100000</v>
      </c>
    </row>
    <row r="186" spans="1:8" s="13" customFormat="1" ht="19.5" customHeight="1">
      <c r="A186" s="202"/>
      <c r="B186" s="99">
        <v>80124</v>
      </c>
      <c r="C186" s="178" t="s">
        <v>531</v>
      </c>
      <c r="D186" s="298">
        <f t="shared" si="6"/>
        <v>284000</v>
      </c>
      <c r="E186" s="298">
        <v>91001</v>
      </c>
      <c r="F186" s="298">
        <v>80992</v>
      </c>
      <c r="G186" s="298">
        <v>79507</v>
      </c>
      <c r="H186" s="298">
        <v>32500</v>
      </c>
    </row>
    <row r="187" spans="1:8" s="13" customFormat="1" ht="19.5" customHeight="1">
      <c r="A187" s="202"/>
      <c r="B187" s="181"/>
      <c r="C187" s="181"/>
      <c r="D187" s="204">
        <f>SUM(E187:H187)</f>
        <v>-2000</v>
      </c>
      <c r="E187" s="204"/>
      <c r="F187" s="204"/>
      <c r="G187" s="204">
        <v>10000</v>
      </c>
      <c r="H187" s="204">
        <v>-12000</v>
      </c>
    </row>
    <row r="188" spans="1:8" ht="18.75" customHeight="1">
      <c r="A188" s="99"/>
      <c r="B188" s="99">
        <v>80130</v>
      </c>
      <c r="C188" s="99" t="s">
        <v>647</v>
      </c>
      <c r="D188" s="260">
        <f t="shared" si="6"/>
        <v>39019744</v>
      </c>
      <c r="E188" s="260">
        <v>11610569</v>
      </c>
      <c r="F188" s="260">
        <v>9788837</v>
      </c>
      <c r="G188" s="260">
        <v>9943178</v>
      </c>
      <c r="H188" s="260">
        <v>7677160</v>
      </c>
    </row>
    <row r="189" spans="1:8" s="13" customFormat="1" ht="21" customHeight="1">
      <c r="A189" s="202"/>
      <c r="B189" s="202"/>
      <c r="C189" s="202"/>
      <c r="D189" s="242">
        <f t="shared" si="6"/>
        <v>-277500</v>
      </c>
      <c r="E189" s="242"/>
      <c r="F189" s="242"/>
      <c r="G189" s="242">
        <v>900000</v>
      </c>
      <c r="H189" s="242">
        <v>-1177500</v>
      </c>
    </row>
    <row r="190" spans="1:8" s="13" customFormat="1" ht="21" customHeight="1">
      <c r="A190" s="99"/>
      <c r="B190" s="178">
        <v>80132</v>
      </c>
      <c r="C190" s="178" t="s">
        <v>940</v>
      </c>
      <c r="D190" s="298">
        <f aca="true" t="shared" si="7" ref="D190:D197">SUM(E190:H190)</f>
        <v>3123619</v>
      </c>
      <c r="E190" s="298">
        <v>963060</v>
      </c>
      <c r="F190" s="298">
        <v>768271</v>
      </c>
      <c r="G190" s="298">
        <f>760629+114959</f>
        <v>875588</v>
      </c>
      <c r="H190" s="298">
        <v>516700</v>
      </c>
    </row>
    <row r="191" spans="1:8" s="13" customFormat="1" ht="21" customHeight="1">
      <c r="A191" s="202"/>
      <c r="B191" s="181"/>
      <c r="C191" s="181"/>
      <c r="D191" s="204">
        <f t="shared" si="7"/>
        <v>0</v>
      </c>
      <c r="E191" s="204"/>
      <c r="F191" s="204"/>
      <c r="G191" s="204">
        <v>50000</v>
      </c>
      <c r="H191" s="204">
        <v>-50000</v>
      </c>
    </row>
    <row r="192" spans="1:8" s="13" customFormat="1" ht="21" customHeight="1">
      <c r="A192" s="202"/>
      <c r="B192" s="178">
        <v>80134</v>
      </c>
      <c r="C192" s="99" t="s">
        <v>639</v>
      </c>
      <c r="D192" s="298">
        <f t="shared" si="7"/>
        <v>4091000</v>
      </c>
      <c r="E192" s="298">
        <v>1234336</v>
      </c>
      <c r="F192" s="298">
        <v>1026536</v>
      </c>
      <c r="G192" s="298">
        <v>1060128</v>
      </c>
      <c r="H192" s="298">
        <v>770000</v>
      </c>
    </row>
    <row r="193" spans="1:8" s="13" customFormat="1" ht="21" customHeight="1">
      <c r="A193" s="202"/>
      <c r="B193" s="181"/>
      <c r="C193" s="181"/>
      <c r="D193" s="204">
        <f t="shared" si="7"/>
        <v>-117000</v>
      </c>
      <c r="E193" s="204"/>
      <c r="F193" s="204"/>
      <c r="G193" s="204">
        <v>130000</v>
      </c>
      <c r="H193" s="204">
        <v>-247000</v>
      </c>
    </row>
    <row r="194" spans="1:8" s="13" customFormat="1" ht="28.5" customHeight="1">
      <c r="A194" s="202"/>
      <c r="B194" s="178">
        <v>80140</v>
      </c>
      <c r="C194" s="100" t="s">
        <v>941</v>
      </c>
      <c r="D194" s="298">
        <f t="shared" si="7"/>
        <v>8199200</v>
      </c>
      <c r="E194" s="298">
        <v>2502033</v>
      </c>
      <c r="F194" s="298">
        <v>2194290</v>
      </c>
      <c r="G194" s="298">
        <v>2079877</v>
      </c>
      <c r="H194" s="298">
        <v>1423000</v>
      </c>
    </row>
    <row r="195" spans="1:8" s="13" customFormat="1" ht="21" customHeight="1">
      <c r="A195" s="202"/>
      <c r="B195" s="181"/>
      <c r="C195" s="181"/>
      <c r="D195" s="204">
        <f t="shared" si="7"/>
        <v>0</v>
      </c>
      <c r="E195" s="204"/>
      <c r="F195" s="204"/>
      <c r="G195" s="204">
        <v>500000</v>
      </c>
      <c r="H195" s="204">
        <v>-500000</v>
      </c>
    </row>
    <row r="196" spans="1:8" s="13" customFormat="1" ht="21" customHeight="1">
      <c r="A196" s="202"/>
      <c r="B196" s="178">
        <v>80195</v>
      </c>
      <c r="C196" s="178" t="s">
        <v>488</v>
      </c>
      <c r="D196" s="298">
        <f t="shared" si="7"/>
        <v>1816033</v>
      </c>
      <c r="E196" s="298"/>
      <c r="F196" s="298">
        <v>879767</v>
      </c>
      <c r="G196" s="298">
        <v>936266</v>
      </c>
      <c r="H196" s="298"/>
    </row>
    <row r="197" spans="1:8" s="13" customFormat="1" ht="21" customHeight="1">
      <c r="A197" s="181"/>
      <c r="B197" s="181"/>
      <c r="C197" s="181"/>
      <c r="D197" s="204">
        <f t="shared" si="7"/>
        <v>290671</v>
      </c>
      <c r="E197" s="204"/>
      <c r="F197" s="204"/>
      <c r="G197" s="204">
        <v>290671</v>
      </c>
      <c r="H197" s="204"/>
    </row>
    <row r="198" spans="1:12" ht="19.5" customHeight="1">
      <c r="A198" s="170">
        <v>854</v>
      </c>
      <c r="B198" s="440"/>
      <c r="C198" s="192" t="s">
        <v>640</v>
      </c>
      <c r="D198" s="232">
        <f t="shared" si="6"/>
        <v>32530361</v>
      </c>
      <c r="E198" s="232">
        <v>10038060</v>
      </c>
      <c r="F198" s="232">
        <v>8749944</v>
      </c>
      <c r="G198" s="232">
        <f>9910480+K198</f>
        <v>10666840</v>
      </c>
      <c r="H198" s="232">
        <f>3590600+L198</f>
        <v>3075517</v>
      </c>
      <c r="K198" s="28">
        <f>G200+G202+G204+G206+G208+G210+G212+G214</f>
        <v>756360</v>
      </c>
      <c r="L198" s="28">
        <f>H200+H202+H204+H206+H208+H210+H212+H214</f>
        <v>-515083</v>
      </c>
    </row>
    <row r="199" spans="1:8" ht="16.5" customHeight="1">
      <c r="A199" s="178"/>
      <c r="B199" s="178">
        <v>85401</v>
      </c>
      <c r="C199" s="178" t="s">
        <v>641</v>
      </c>
      <c r="D199" s="298">
        <f t="shared" si="6"/>
        <v>5355696</v>
      </c>
      <c r="E199" s="298">
        <v>1711295</v>
      </c>
      <c r="F199" s="298">
        <v>1510388</v>
      </c>
      <c r="G199" s="298">
        <v>1654013</v>
      </c>
      <c r="H199" s="298">
        <v>480000</v>
      </c>
    </row>
    <row r="200" spans="1:8" s="13" customFormat="1" ht="16.5" customHeight="1">
      <c r="A200" s="181"/>
      <c r="B200" s="181"/>
      <c r="C200" s="181"/>
      <c r="D200" s="204">
        <f t="shared" si="6"/>
        <v>-2083</v>
      </c>
      <c r="E200" s="204"/>
      <c r="F200" s="204"/>
      <c r="G200" s="204"/>
      <c r="H200" s="204">
        <v>-2083</v>
      </c>
    </row>
    <row r="201" spans="1:8" s="13" customFormat="1" ht="16.5" customHeight="1">
      <c r="A201" s="202"/>
      <c r="B201" s="99">
        <v>85403</v>
      </c>
      <c r="C201" s="99" t="s">
        <v>643</v>
      </c>
      <c r="D201" s="260">
        <f>SUM(E201:H201)</f>
        <v>6885000</v>
      </c>
      <c r="E201" s="260">
        <v>2142033</v>
      </c>
      <c r="F201" s="260">
        <v>1762937</v>
      </c>
      <c r="G201" s="260">
        <v>2080030</v>
      </c>
      <c r="H201" s="260">
        <v>900000</v>
      </c>
    </row>
    <row r="202" spans="1:8" s="13" customFormat="1" ht="16.5" customHeight="1">
      <c r="A202" s="202"/>
      <c r="B202" s="202"/>
      <c r="C202" s="181"/>
      <c r="D202" s="204">
        <f>SUM(E202:H202)</f>
        <v>28000</v>
      </c>
      <c r="E202" s="204"/>
      <c r="F202" s="204"/>
      <c r="G202" s="204">
        <v>108000</v>
      </c>
      <c r="H202" s="204">
        <v>-80000</v>
      </c>
    </row>
    <row r="203" spans="1:8" ht="25.5">
      <c r="A203" s="99"/>
      <c r="B203" s="187">
        <v>85406</v>
      </c>
      <c r="C203" s="1001" t="s">
        <v>1037</v>
      </c>
      <c r="D203" s="931">
        <f t="shared" si="6"/>
        <v>4839094</v>
      </c>
      <c r="E203" s="931">
        <v>1446681</v>
      </c>
      <c r="F203" s="931">
        <v>1255988</v>
      </c>
      <c r="G203" s="931">
        <v>1436425</v>
      </c>
      <c r="H203" s="931">
        <v>700000</v>
      </c>
    </row>
    <row r="204" spans="1:8" s="13" customFormat="1" ht="19.5" customHeight="1">
      <c r="A204" s="202"/>
      <c r="B204" s="181"/>
      <c r="C204" s="181"/>
      <c r="D204" s="204">
        <f t="shared" si="6"/>
        <v>4000</v>
      </c>
      <c r="E204" s="204"/>
      <c r="F204" s="204"/>
      <c r="G204" s="204">
        <v>44000</v>
      </c>
      <c r="H204" s="204">
        <v>-40000</v>
      </c>
    </row>
    <row r="205" spans="1:8" s="13" customFormat="1" ht="19.5" customHeight="1">
      <c r="A205" s="202"/>
      <c r="B205" s="99">
        <v>85407</v>
      </c>
      <c r="C205" s="1006" t="s">
        <v>645</v>
      </c>
      <c r="D205" s="931">
        <f>SUM(E205:H205)</f>
        <v>2078000</v>
      </c>
      <c r="E205" s="931">
        <v>649167</v>
      </c>
      <c r="F205" s="931">
        <v>536323</v>
      </c>
      <c r="G205" s="931">
        <v>612510</v>
      </c>
      <c r="H205" s="931">
        <v>280000</v>
      </c>
    </row>
    <row r="206" spans="1:8" s="13" customFormat="1" ht="19.5" customHeight="1">
      <c r="A206" s="202"/>
      <c r="B206" s="202"/>
      <c r="C206" s="1005"/>
      <c r="D206" s="204">
        <f>SUM(E206:H206)</f>
        <v>5000</v>
      </c>
      <c r="E206" s="204"/>
      <c r="F206" s="204"/>
      <c r="G206" s="204">
        <v>25000</v>
      </c>
      <c r="H206" s="204">
        <v>-20000</v>
      </c>
    </row>
    <row r="207" spans="1:8" ht="19.5" customHeight="1">
      <c r="A207" s="99"/>
      <c r="B207" s="178">
        <v>85410</v>
      </c>
      <c r="C207" s="438" t="s">
        <v>646</v>
      </c>
      <c r="D207" s="439">
        <f t="shared" si="6"/>
        <v>5899200</v>
      </c>
      <c r="E207" s="439">
        <v>1888567</v>
      </c>
      <c r="F207" s="439">
        <v>1618030</v>
      </c>
      <c r="G207" s="439">
        <v>1862003</v>
      </c>
      <c r="H207" s="439">
        <v>530600</v>
      </c>
    </row>
    <row r="208" spans="1:8" s="13" customFormat="1" ht="19.5" customHeight="1">
      <c r="A208" s="202"/>
      <c r="B208" s="181"/>
      <c r="C208" s="181"/>
      <c r="D208" s="204">
        <f t="shared" si="6"/>
        <v>9000</v>
      </c>
      <c r="E208" s="204"/>
      <c r="F208" s="204"/>
      <c r="G208" s="204">
        <v>76000</v>
      </c>
      <c r="H208" s="204">
        <f>3000-70000</f>
        <v>-67000</v>
      </c>
    </row>
    <row r="209" spans="1:8" ht="18" customHeight="1">
      <c r="A209" s="99"/>
      <c r="B209" s="178">
        <v>85415</v>
      </c>
      <c r="C209" s="438" t="s">
        <v>1179</v>
      </c>
      <c r="D209" s="439">
        <f t="shared" si="6"/>
        <v>980836</v>
      </c>
      <c r="E209" s="439">
        <v>137368</v>
      </c>
      <c r="F209" s="439">
        <v>168990</v>
      </c>
      <c r="G209" s="439">
        <v>634478</v>
      </c>
      <c r="H209" s="439">
        <v>40000</v>
      </c>
    </row>
    <row r="210" spans="1:8" s="13" customFormat="1" ht="19.5" customHeight="1">
      <c r="A210" s="202"/>
      <c r="B210" s="181"/>
      <c r="C210" s="181"/>
      <c r="D210" s="204">
        <f t="shared" si="6"/>
        <v>117514</v>
      </c>
      <c r="E210" s="204"/>
      <c r="F210" s="204"/>
      <c r="G210" s="204">
        <v>117514</v>
      </c>
      <c r="H210" s="204"/>
    </row>
    <row r="211" spans="1:8" s="13" customFormat="1" ht="19.5" customHeight="1">
      <c r="A211" s="202"/>
      <c r="B211" s="178">
        <v>85417</v>
      </c>
      <c r="C211" s="438" t="s">
        <v>1484</v>
      </c>
      <c r="D211" s="439">
        <f>SUM(E211:H211)</f>
        <v>244000</v>
      </c>
      <c r="E211" s="439">
        <v>81056</v>
      </c>
      <c r="F211" s="439">
        <v>69053</v>
      </c>
      <c r="G211" s="439">
        <v>70891</v>
      </c>
      <c r="H211" s="439">
        <v>23000</v>
      </c>
    </row>
    <row r="212" spans="1:8" s="13" customFormat="1" ht="19.5" customHeight="1">
      <c r="A212" s="202"/>
      <c r="B212" s="181"/>
      <c r="C212" s="181"/>
      <c r="D212" s="204">
        <f>SUM(E212:H212)</f>
        <v>4000</v>
      </c>
      <c r="E212" s="204"/>
      <c r="F212" s="204"/>
      <c r="G212" s="204">
        <v>10000</v>
      </c>
      <c r="H212" s="204">
        <v>-6000</v>
      </c>
    </row>
    <row r="213" spans="1:8" ht="18.75" customHeight="1">
      <c r="A213" s="291"/>
      <c r="B213" s="178">
        <v>85495</v>
      </c>
      <c r="C213" s="438" t="s">
        <v>488</v>
      </c>
      <c r="D213" s="439">
        <f t="shared" si="6"/>
        <v>5366258</v>
      </c>
      <c r="E213" s="439">
        <v>1849771</v>
      </c>
      <c r="F213" s="439">
        <v>1632527</v>
      </c>
      <c r="G213" s="439">
        <v>1333960</v>
      </c>
      <c r="H213" s="439">
        <v>550000</v>
      </c>
    </row>
    <row r="214" spans="1:8" s="13" customFormat="1" ht="18.75" customHeight="1">
      <c r="A214" s="181"/>
      <c r="B214" s="181"/>
      <c r="C214" s="181"/>
      <c r="D214" s="204">
        <f t="shared" si="6"/>
        <v>75846</v>
      </c>
      <c r="E214" s="204"/>
      <c r="F214" s="204"/>
      <c r="G214" s="204">
        <v>375846</v>
      </c>
      <c r="H214" s="204">
        <v>-300000</v>
      </c>
    </row>
    <row r="216" spans="3:7" ht="12.75">
      <c r="C216" s="1384" t="s">
        <v>874</v>
      </c>
      <c r="E216" s="1384" t="s">
        <v>871</v>
      </c>
      <c r="F216" s="1384"/>
      <c r="G216" s="1384"/>
    </row>
    <row r="217" spans="3:7" ht="12.75">
      <c r="C217" s="1384"/>
      <c r="E217" s="1384" t="s">
        <v>872</v>
      </c>
      <c r="F217" s="1384"/>
      <c r="G217" s="1384"/>
    </row>
    <row r="218" spans="3:7" ht="12.75">
      <c r="C218" s="1384" t="s">
        <v>875</v>
      </c>
      <c r="E218" s="1384"/>
      <c r="F218" s="1384"/>
      <c r="G218" s="1384"/>
    </row>
    <row r="219" spans="3:6" ht="12.75">
      <c r="C219" s="1384" t="s">
        <v>876</v>
      </c>
      <c r="E219" s="1384" t="s">
        <v>873</v>
      </c>
      <c r="F219" s="1384"/>
    </row>
    <row r="220" spans="3:6" ht="12.75">
      <c r="C220" s="1384"/>
      <c r="E220" s="1384"/>
      <c r="F220" s="1384"/>
    </row>
    <row r="221" spans="3:6" ht="12.75">
      <c r="C221" s="1384"/>
      <c r="E221" s="1384"/>
      <c r="F221" s="1384"/>
    </row>
  </sheetData>
  <mergeCells count="1">
    <mergeCell ref="D7:D8"/>
  </mergeCells>
  <printOptions horizontalCentered="1"/>
  <pageMargins left="0.3937007874015748" right="0.3937007874015748" top="0.44" bottom="0.52" header="0.5118110236220472" footer="0.35"/>
  <pageSetup firstPageNumber="58" useFirstPageNumber="1" horizontalDpi="600" verticalDpi="600" orientation="landscape" paperSize="9" scale="90" r:id="rId2"/>
  <headerFooter alignWithMargins="0">
    <oddFooter>&amp;C&amp;P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0"/>
  <sheetViews>
    <sheetView zoomScale="75" zoomScaleNormal="75" workbookViewId="0" topLeftCell="A1">
      <selection activeCell="F17" sqref="F17"/>
    </sheetView>
  </sheetViews>
  <sheetFormatPr defaultColWidth="9.00390625" defaultRowHeight="12.75"/>
  <cols>
    <col min="1" max="1" width="6.75390625" style="1" customWidth="1"/>
    <col min="2" max="2" width="7.375" style="1" customWidth="1"/>
    <col min="3" max="3" width="51.25390625" style="1" customWidth="1"/>
    <col min="4" max="8" width="14.75390625" style="1" customWidth="1"/>
    <col min="9" max="9" width="11.625" style="1" customWidth="1"/>
    <col min="10" max="16384" width="9.125" style="1" customWidth="1"/>
  </cols>
  <sheetData>
    <row r="1" spans="1:7" ht="15.75" customHeight="1">
      <c r="A1" s="975"/>
      <c r="B1" s="976" t="s">
        <v>929</v>
      </c>
      <c r="C1" s="977"/>
      <c r="G1" s="79" t="s">
        <v>356</v>
      </c>
    </row>
    <row r="2" spans="1:7" ht="15.75" customHeight="1">
      <c r="A2" s="975"/>
      <c r="B2" s="976" t="s">
        <v>930</v>
      </c>
      <c r="C2" s="977"/>
      <c r="D2" s="978"/>
      <c r="E2" s="978"/>
      <c r="F2" s="978"/>
      <c r="G2" s="978" t="s">
        <v>879</v>
      </c>
    </row>
    <row r="3" spans="3:7" ht="15.75" customHeight="1">
      <c r="C3" s="979" t="s">
        <v>931</v>
      </c>
      <c r="G3" s="978" t="s">
        <v>1161</v>
      </c>
    </row>
    <row r="4" spans="1:7" ht="15.75" customHeight="1">
      <c r="A4" s="975"/>
      <c r="B4" s="976"/>
      <c r="C4" s="980"/>
      <c r="G4" s="978" t="s">
        <v>1345</v>
      </c>
    </row>
    <row r="5" spans="3:8" ht="27" customHeight="1" thickBot="1">
      <c r="C5" s="20"/>
      <c r="H5" s="981" t="s">
        <v>1163</v>
      </c>
    </row>
    <row r="6" spans="1:8" ht="42.75" customHeight="1" thickBot="1" thickTop="1">
      <c r="A6" s="4" t="s">
        <v>509</v>
      </c>
      <c r="B6" s="5" t="s">
        <v>932</v>
      </c>
      <c r="C6" s="5" t="s">
        <v>933</v>
      </c>
      <c r="D6" s="5" t="s">
        <v>934</v>
      </c>
      <c r="E6" s="5" t="s">
        <v>1144</v>
      </c>
      <c r="F6" s="5" t="s">
        <v>1145</v>
      </c>
      <c r="G6" s="5" t="s">
        <v>1146</v>
      </c>
      <c r="H6" s="5" t="s">
        <v>1147</v>
      </c>
    </row>
    <row r="7" spans="1:8" ht="15" customHeight="1" thickBot="1" thickTop="1">
      <c r="A7" s="21">
        <v>1</v>
      </c>
      <c r="B7" s="21">
        <v>2</v>
      </c>
      <c r="C7" s="21">
        <v>3</v>
      </c>
      <c r="D7" s="107">
        <v>4</v>
      </c>
      <c r="E7" s="107">
        <v>5</v>
      </c>
      <c r="F7" s="107">
        <v>6</v>
      </c>
      <c r="G7" s="21">
        <v>7</v>
      </c>
      <c r="H7" s="21">
        <v>8</v>
      </c>
    </row>
    <row r="8" spans="1:8" ht="21" customHeight="1" thickBot="1" thickTop="1">
      <c r="A8" s="982"/>
      <c r="B8" s="982"/>
      <c r="C8" s="983" t="s">
        <v>1170</v>
      </c>
      <c r="D8" s="984">
        <f aca="true" t="shared" si="0" ref="D8:D13">SUM(E8:H8)</f>
        <v>3215008</v>
      </c>
      <c r="E8" s="984">
        <v>471346</v>
      </c>
      <c r="F8" s="984">
        <f>1178654+F13</f>
        <v>976813</v>
      </c>
      <c r="G8" s="984">
        <f>980008+G13</f>
        <v>1181849</v>
      </c>
      <c r="H8" s="984">
        <v>585000</v>
      </c>
    </row>
    <row r="9" spans="1:8" ht="21" customHeight="1" thickTop="1">
      <c r="A9" s="982"/>
      <c r="B9" s="982"/>
      <c r="C9" s="985" t="s">
        <v>520</v>
      </c>
      <c r="D9" s="986">
        <f t="shared" si="0"/>
        <v>3185008</v>
      </c>
      <c r="E9" s="986">
        <v>461346</v>
      </c>
      <c r="F9" s="986">
        <f>1168654+F13</f>
        <v>966813</v>
      </c>
      <c r="G9" s="986">
        <f>970008+G13</f>
        <v>1171849</v>
      </c>
      <c r="H9" s="986">
        <v>585000</v>
      </c>
    </row>
    <row r="10" spans="1:8" ht="21" customHeight="1">
      <c r="A10" s="987"/>
      <c r="B10" s="987"/>
      <c r="C10" s="988" t="s">
        <v>935</v>
      </c>
      <c r="D10" s="989">
        <f t="shared" si="0"/>
        <v>1250000</v>
      </c>
      <c r="E10" s="989">
        <f>E11</f>
        <v>351346</v>
      </c>
      <c r="F10" s="989">
        <f>F11</f>
        <v>536813</v>
      </c>
      <c r="G10" s="989">
        <f>160000+G13</f>
        <v>361841</v>
      </c>
      <c r="H10" s="989"/>
    </row>
    <row r="11" spans="1:8" ht="18" customHeight="1">
      <c r="A11" s="990">
        <v>900</v>
      </c>
      <c r="B11" s="990"/>
      <c r="C11" s="990" t="s">
        <v>1132</v>
      </c>
      <c r="D11" s="991">
        <f t="shared" si="0"/>
        <v>1250000</v>
      </c>
      <c r="E11" s="991">
        <f>E12</f>
        <v>351346</v>
      </c>
      <c r="F11" s="991">
        <f>SUM(F12:F13)</f>
        <v>536813</v>
      </c>
      <c r="G11" s="992">
        <f>160000+G13</f>
        <v>361841</v>
      </c>
      <c r="H11" s="992"/>
    </row>
    <row r="12" spans="1:8" ht="18" customHeight="1">
      <c r="A12" s="366"/>
      <c r="B12" s="365">
        <v>90011</v>
      </c>
      <c r="C12" s="365" t="s">
        <v>936</v>
      </c>
      <c r="D12" s="993">
        <f t="shared" si="0"/>
        <v>1250000</v>
      </c>
      <c r="E12" s="993">
        <v>351346</v>
      </c>
      <c r="F12" s="993">
        <v>738654</v>
      </c>
      <c r="G12" s="993">
        <v>160000</v>
      </c>
      <c r="H12" s="994"/>
    </row>
    <row r="13" spans="1:8" s="13" customFormat="1" ht="19.5" customHeight="1">
      <c r="A13" s="11"/>
      <c r="B13" s="11"/>
      <c r="C13" s="11"/>
      <c r="D13" s="12">
        <f t="shared" si="0"/>
        <v>0</v>
      </c>
      <c r="E13" s="12"/>
      <c r="F13" s="12">
        <v>-201841</v>
      </c>
      <c r="G13" s="12">
        <v>201841</v>
      </c>
      <c r="H13" s="12"/>
    </row>
    <row r="14" spans="4:7" ht="19.5" customHeight="1">
      <c r="D14" s="19"/>
      <c r="E14" s="19"/>
      <c r="F14" s="19"/>
      <c r="G14" s="150"/>
    </row>
    <row r="15" spans="3:7" ht="22.5" customHeight="1">
      <c r="C15" s="1383" t="s">
        <v>874</v>
      </c>
      <c r="E15" s="1383" t="s">
        <v>871</v>
      </c>
      <c r="F15" s="1383"/>
      <c r="G15" s="1385"/>
    </row>
    <row r="16" spans="3:7" ht="16.5" customHeight="1">
      <c r="C16" s="1383"/>
      <c r="E16" s="1383" t="s">
        <v>872</v>
      </c>
      <c r="F16" s="1383"/>
      <c r="G16" s="1383"/>
    </row>
    <row r="17" spans="3:7" ht="12.75">
      <c r="C17" s="1383" t="s">
        <v>875</v>
      </c>
      <c r="E17" s="1383"/>
      <c r="F17" s="1383"/>
      <c r="G17" s="1383"/>
    </row>
    <row r="18" spans="3:7" ht="12.75">
      <c r="C18" s="1383" t="s">
        <v>876</v>
      </c>
      <c r="E18" s="1383" t="s">
        <v>873</v>
      </c>
      <c r="F18" s="1383"/>
      <c r="G18" s="1383"/>
    </row>
    <row r="19" spans="3:7" ht="12.75">
      <c r="C19" s="1383"/>
      <c r="E19" s="1383"/>
      <c r="F19" s="1383"/>
      <c r="G19" s="1383"/>
    </row>
    <row r="20" spans="3:7" ht="12.75">
      <c r="C20" s="1383"/>
      <c r="E20" s="1383"/>
      <c r="F20" s="1383"/>
      <c r="G20" s="1383"/>
    </row>
  </sheetData>
  <printOptions horizontalCentered="1"/>
  <pageMargins left="0.3937007874015748" right="0.3937007874015748" top="0.6692913385826772" bottom="0.6299212598425197" header="0.5118110236220472" footer="0.3937007874015748"/>
  <pageSetup firstPageNumber="66" useFirstPageNumber="1" horizontalDpi="300" verticalDpi="300" orientation="landscape" paperSize="9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20"/>
  <sheetViews>
    <sheetView zoomScale="75" zoomScaleNormal="75" workbookViewId="0" topLeftCell="A1">
      <selection activeCell="E17" sqref="E17"/>
    </sheetView>
  </sheetViews>
  <sheetFormatPr defaultColWidth="9.00390625" defaultRowHeight="12.75"/>
  <cols>
    <col min="1" max="1" width="6.75390625" style="1" customWidth="1"/>
    <col min="2" max="2" width="7.375" style="1" customWidth="1"/>
    <col min="3" max="3" width="52.00390625" style="1" customWidth="1"/>
    <col min="4" max="8" width="14.75390625" style="1" customWidth="1"/>
    <col min="9" max="9" width="11.625" style="1" customWidth="1"/>
    <col min="10" max="16384" width="9.125" style="1" customWidth="1"/>
  </cols>
  <sheetData>
    <row r="1" spans="1:7" ht="15.75" customHeight="1">
      <c r="A1" s="975"/>
      <c r="B1" s="976" t="s">
        <v>929</v>
      </c>
      <c r="C1" s="977"/>
      <c r="G1" s="79" t="s">
        <v>357</v>
      </c>
    </row>
    <row r="2" spans="1:7" ht="15.75" customHeight="1">
      <c r="A2" s="975"/>
      <c r="B2" s="976" t="s">
        <v>937</v>
      </c>
      <c r="C2" s="977"/>
      <c r="D2" s="978"/>
      <c r="E2" s="978"/>
      <c r="F2" s="978"/>
      <c r="G2" s="978" t="s">
        <v>880</v>
      </c>
    </row>
    <row r="3" spans="3:7" ht="15.75" customHeight="1">
      <c r="C3" s="979" t="s">
        <v>931</v>
      </c>
      <c r="G3" s="978" t="s">
        <v>1161</v>
      </c>
    </row>
    <row r="4" spans="1:7" ht="15.75" customHeight="1">
      <c r="A4" s="975"/>
      <c r="B4" s="976"/>
      <c r="C4" s="980"/>
      <c r="G4" s="978" t="s">
        <v>1345</v>
      </c>
    </row>
    <row r="5" spans="3:8" ht="27" customHeight="1" thickBot="1">
      <c r="C5" s="20"/>
      <c r="H5" s="981" t="s">
        <v>1163</v>
      </c>
    </row>
    <row r="6" spans="1:8" ht="42.75" customHeight="1" thickBot="1" thickTop="1">
      <c r="A6" s="4" t="s">
        <v>509</v>
      </c>
      <c r="B6" s="5" t="s">
        <v>932</v>
      </c>
      <c r="C6" s="5" t="s">
        <v>933</v>
      </c>
      <c r="D6" s="5" t="s">
        <v>934</v>
      </c>
      <c r="E6" s="5" t="s">
        <v>1144</v>
      </c>
      <c r="F6" s="5" t="s">
        <v>1145</v>
      </c>
      <c r="G6" s="5" t="s">
        <v>1146</v>
      </c>
      <c r="H6" s="5" t="s">
        <v>1147</v>
      </c>
    </row>
    <row r="7" spans="1:8" ht="15" customHeight="1" thickBot="1" thickTop="1">
      <c r="A7" s="21">
        <v>1</v>
      </c>
      <c r="B7" s="21">
        <v>2</v>
      </c>
      <c r="C7" s="21">
        <v>3</v>
      </c>
      <c r="D7" s="107">
        <v>4</v>
      </c>
      <c r="E7" s="107">
        <v>5</v>
      </c>
      <c r="F7" s="107">
        <v>6</v>
      </c>
      <c r="G7" s="21">
        <v>7</v>
      </c>
      <c r="H7" s="21">
        <v>8</v>
      </c>
    </row>
    <row r="8" spans="1:8" ht="21" customHeight="1" thickBot="1" thickTop="1">
      <c r="A8" s="982"/>
      <c r="B8" s="982"/>
      <c r="C8" s="983" t="s">
        <v>1170</v>
      </c>
      <c r="D8" s="984">
        <f aca="true" t="shared" si="0" ref="D8:D13">SUM(E8:H8)</f>
        <v>1076000</v>
      </c>
      <c r="E8" s="984">
        <f>E9</f>
        <v>60120</v>
      </c>
      <c r="F8" s="984">
        <f>F9</f>
        <v>339859</v>
      </c>
      <c r="G8" s="984">
        <f>G9</f>
        <v>502321</v>
      </c>
      <c r="H8" s="984">
        <v>173700</v>
      </c>
    </row>
    <row r="9" spans="1:8" ht="21" customHeight="1" thickTop="1">
      <c r="A9" s="982"/>
      <c r="B9" s="982"/>
      <c r="C9" s="985" t="s">
        <v>520</v>
      </c>
      <c r="D9" s="986">
        <f t="shared" si="0"/>
        <v>1076000</v>
      </c>
      <c r="E9" s="986">
        <v>60120</v>
      </c>
      <c r="F9" s="986">
        <f>501480+F13</f>
        <v>339859</v>
      </c>
      <c r="G9" s="986">
        <f>340700+G13</f>
        <v>502321</v>
      </c>
      <c r="H9" s="986">
        <f>173700</f>
        <v>173700</v>
      </c>
    </row>
    <row r="10" spans="1:8" ht="21" customHeight="1">
      <c r="A10" s="987"/>
      <c r="B10" s="987"/>
      <c r="C10" s="988" t="s">
        <v>935</v>
      </c>
      <c r="D10" s="989">
        <f t="shared" si="0"/>
        <v>490000</v>
      </c>
      <c r="E10" s="989">
        <f>E11</f>
        <v>120</v>
      </c>
      <c r="F10" s="989">
        <f>F11</f>
        <v>178259</v>
      </c>
      <c r="G10" s="989">
        <f>125000+G13</f>
        <v>286621</v>
      </c>
      <c r="H10" s="989">
        <v>25000</v>
      </c>
    </row>
    <row r="11" spans="1:8" ht="18" customHeight="1">
      <c r="A11" s="990">
        <v>900</v>
      </c>
      <c r="B11" s="990"/>
      <c r="C11" s="990" t="s">
        <v>1132</v>
      </c>
      <c r="D11" s="991">
        <f t="shared" si="0"/>
        <v>490000</v>
      </c>
      <c r="E11" s="991">
        <v>120</v>
      </c>
      <c r="F11" s="991">
        <f>339880+F13</f>
        <v>178259</v>
      </c>
      <c r="G11" s="992">
        <f>125000+G13</f>
        <v>286621</v>
      </c>
      <c r="H11" s="992">
        <v>25000</v>
      </c>
    </row>
    <row r="12" spans="1:8" ht="18" customHeight="1">
      <c r="A12" s="366"/>
      <c r="B12" s="365">
        <v>90011</v>
      </c>
      <c r="C12" s="365" t="s">
        <v>936</v>
      </c>
      <c r="D12" s="993">
        <f t="shared" si="0"/>
        <v>490000</v>
      </c>
      <c r="E12" s="993">
        <v>120</v>
      </c>
      <c r="F12" s="993">
        <v>339880</v>
      </c>
      <c r="G12" s="993">
        <v>125000</v>
      </c>
      <c r="H12" s="994">
        <v>25000</v>
      </c>
    </row>
    <row r="13" spans="1:8" s="13" customFormat="1" ht="19.5" customHeight="1">
      <c r="A13" s="11"/>
      <c r="B13" s="11"/>
      <c r="C13" s="11"/>
      <c r="D13" s="12">
        <f t="shared" si="0"/>
        <v>0</v>
      </c>
      <c r="E13" s="12"/>
      <c r="F13" s="12">
        <v>-161621</v>
      </c>
      <c r="G13" s="12">
        <v>161621</v>
      </c>
      <c r="H13" s="12"/>
    </row>
    <row r="14" spans="4:7" ht="19.5" customHeight="1">
      <c r="D14" s="19"/>
      <c r="E14" s="19"/>
      <c r="F14" s="19"/>
      <c r="G14" s="150"/>
    </row>
    <row r="15" spans="3:7" ht="22.5" customHeight="1">
      <c r="C15" s="1383" t="s">
        <v>874</v>
      </c>
      <c r="E15" s="1383" t="s">
        <v>871</v>
      </c>
      <c r="F15" s="1383"/>
      <c r="G15" s="1385"/>
    </row>
    <row r="16" spans="3:7" ht="16.5" customHeight="1">
      <c r="C16" s="1383"/>
      <c r="E16" s="1383" t="s">
        <v>872</v>
      </c>
      <c r="F16" s="1383"/>
      <c r="G16" s="1383"/>
    </row>
    <row r="17" spans="3:7" ht="12.75">
      <c r="C17" s="1383" t="s">
        <v>875</v>
      </c>
      <c r="E17" s="1383"/>
      <c r="F17" s="1383"/>
      <c r="G17" s="1383"/>
    </row>
    <row r="18" spans="3:7" ht="12.75">
      <c r="C18" s="1383" t="s">
        <v>876</v>
      </c>
      <c r="E18" s="1383" t="s">
        <v>873</v>
      </c>
      <c r="F18" s="1383"/>
      <c r="G18" s="1383"/>
    </row>
    <row r="19" spans="3:7" ht="12.75">
      <c r="C19" s="1383"/>
      <c r="E19" s="1383"/>
      <c r="F19" s="1383"/>
      <c r="G19" s="1383"/>
    </row>
    <row r="20" spans="3:7" ht="12.75">
      <c r="C20" s="1383"/>
      <c r="E20" s="1383"/>
      <c r="F20" s="1383"/>
      <c r="G20" s="1383"/>
    </row>
  </sheetData>
  <printOptions horizontalCentered="1"/>
  <pageMargins left="0.3937007874015748" right="0.3937007874015748" top="0.6692913385826772" bottom="0.5905511811023623" header="0.5118110236220472" footer="0.3937007874015748"/>
  <pageSetup firstPageNumber="67" useFirstPageNumber="1"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22"/>
  <sheetViews>
    <sheetView zoomScale="75" zoomScaleNormal="75" zoomScaleSheetLayoutView="75" workbookViewId="0" topLeftCell="A1">
      <selection activeCell="C63" sqref="C63"/>
    </sheetView>
  </sheetViews>
  <sheetFormatPr defaultColWidth="9.00390625" defaultRowHeight="12.75"/>
  <cols>
    <col min="1" max="1" width="6.75390625" style="1" customWidth="1"/>
    <col min="2" max="2" width="9.25390625" style="1" customWidth="1"/>
    <col min="3" max="3" width="59.375" style="1" customWidth="1"/>
    <col min="4" max="7" width="20.75390625" style="1" customWidth="1"/>
    <col min="8" max="8" width="11.875" style="1" customWidth="1"/>
    <col min="9" max="9" width="12.375" style="1" customWidth="1"/>
    <col min="10" max="10" width="10.375" style="1" bestFit="1" customWidth="1"/>
    <col min="11" max="11" width="11.00390625" style="1" customWidth="1"/>
    <col min="12" max="16384" width="9.125" style="1" customWidth="1"/>
  </cols>
  <sheetData>
    <row r="1" ht="18" customHeight="1">
      <c r="F1" s="1" t="s">
        <v>801</v>
      </c>
    </row>
    <row r="2" ht="18" customHeight="1">
      <c r="F2" s="1" t="s">
        <v>877</v>
      </c>
    </row>
    <row r="3" ht="18" customHeight="1">
      <c r="F3" s="1" t="s">
        <v>1161</v>
      </c>
    </row>
    <row r="4" spans="3:6" ht="18" customHeight="1">
      <c r="C4" s="2" t="s">
        <v>544</v>
      </c>
      <c r="F4" s="1" t="s">
        <v>1345</v>
      </c>
    </row>
    <row r="5" ht="18.75" customHeight="1" thickBot="1">
      <c r="G5" s="3" t="s">
        <v>1163</v>
      </c>
    </row>
    <row r="6" spans="1:7" ht="86.25" customHeight="1" thickBot="1" thickTop="1">
      <c r="A6" s="4" t="s">
        <v>1164</v>
      </c>
      <c r="B6" s="4" t="s">
        <v>1165</v>
      </c>
      <c r="C6" s="5" t="s">
        <v>1167</v>
      </c>
      <c r="D6" s="5" t="s">
        <v>532</v>
      </c>
      <c r="E6" s="5" t="s">
        <v>518</v>
      </c>
      <c r="F6" s="5" t="s">
        <v>500</v>
      </c>
      <c r="G6" s="5" t="s">
        <v>1169</v>
      </c>
    </row>
    <row r="7" spans="1:7" ht="18.75" customHeight="1" thickBot="1" thickTop="1">
      <c r="A7" s="6">
        <v>1</v>
      </c>
      <c r="B7" s="6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11" ht="24" customHeight="1" thickBot="1" thickTop="1">
      <c r="A8" s="173"/>
      <c r="B8" s="1022"/>
      <c r="C8" s="1101" t="s">
        <v>1170</v>
      </c>
      <c r="D8" s="1102">
        <v>719664581</v>
      </c>
      <c r="E8" s="1102">
        <f>E10+E181+E182</f>
        <v>1865633</v>
      </c>
      <c r="F8" s="1102">
        <f>F10+F181+F182</f>
        <v>2891438</v>
      </c>
      <c r="G8" s="1102">
        <f>D8+F8-E8</f>
        <v>720690386</v>
      </c>
      <c r="H8" s="8"/>
      <c r="I8" s="8"/>
      <c r="J8" s="8"/>
      <c r="K8" s="8"/>
    </row>
    <row r="9" spans="1:9" ht="19.5" customHeight="1">
      <c r="A9" s="99"/>
      <c r="B9" s="99"/>
      <c r="C9" s="99" t="s">
        <v>1171</v>
      </c>
      <c r="D9" s="1103"/>
      <c r="E9" s="1103"/>
      <c r="F9" s="1103"/>
      <c r="G9" s="1103"/>
      <c r="I9" s="9"/>
    </row>
    <row r="10" spans="1:11" ht="21" customHeight="1" thickBot="1">
      <c r="A10" s="173"/>
      <c r="B10" s="173"/>
      <c r="C10" s="230" t="s">
        <v>1172</v>
      </c>
      <c r="D10" s="1090">
        <v>655589570</v>
      </c>
      <c r="E10" s="1090">
        <f>E11+E17+E25+E29+E95+E110+E161+E175</f>
        <v>1859109</v>
      </c>
      <c r="F10" s="1090">
        <f>F11+F17+F25+F29+F95+F110+F161+F175</f>
        <v>1859109</v>
      </c>
      <c r="G10" s="1090">
        <f aca="true" t="shared" si="0" ref="G10:G16">D10+F10-E10</f>
        <v>655589570</v>
      </c>
      <c r="I10" s="8"/>
      <c r="K10" s="8"/>
    </row>
    <row r="11" spans="1:11" ht="21" customHeight="1" thickTop="1">
      <c r="A11" s="170">
        <v>600</v>
      </c>
      <c r="B11" s="170"/>
      <c r="C11" s="315" t="s">
        <v>551</v>
      </c>
      <c r="D11" s="316">
        <v>60268064</v>
      </c>
      <c r="E11" s="316"/>
      <c r="F11" s="316">
        <f>F12</f>
        <v>216000</v>
      </c>
      <c r="G11" s="316">
        <f t="shared" si="0"/>
        <v>60484064</v>
      </c>
      <c r="I11" s="8"/>
      <c r="K11" s="8"/>
    </row>
    <row r="12" spans="1:11" ht="21" customHeight="1">
      <c r="A12" s="99"/>
      <c r="B12" s="168">
        <v>60004</v>
      </c>
      <c r="C12" s="168" t="s">
        <v>1419</v>
      </c>
      <c r="D12" s="194">
        <v>14745191</v>
      </c>
      <c r="E12" s="194"/>
      <c r="F12" s="194">
        <f>F13+F15</f>
        <v>216000</v>
      </c>
      <c r="G12" s="194">
        <f t="shared" si="0"/>
        <v>14961191</v>
      </c>
      <c r="I12" s="8"/>
      <c r="K12" s="8"/>
    </row>
    <row r="13" spans="1:11" ht="21" customHeight="1">
      <c r="A13" s="99"/>
      <c r="B13" s="99"/>
      <c r="C13" s="324" t="s">
        <v>1420</v>
      </c>
      <c r="D13" s="237"/>
      <c r="E13" s="237"/>
      <c r="F13" s="237">
        <f>F14</f>
        <v>36000</v>
      </c>
      <c r="G13" s="237">
        <f t="shared" si="0"/>
        <v>36000</v>
      </c>
      <c r="I13" s="8"/>
      <c r="K13" s="8"/>
    </row>
    <row r="14" spans="1:11" ht="21" customHeight="1" hidden="1">
      <c r="A14" s="99"/>
      <c r="B14" s="99"/>
      <c r="C14" s="202" t="s">
        <v>1173</v>
      </c>
      <c r="D14" s="242"/>
      <c r="E14" s="242"/>
      <c r="F14" s="242">
        <v>36000</v>
      </c>
      <c r="G14" s="242">
        <f t="shared" si="0"/>
        <v>36000</v>
      </c>
      <c r="I14" s="8"/>
      <c r="K14" s="8"/>
    </row>
    <row r="15" spans="1:11" ht="21" customHeight="1">
      <c r="A15" s="99"/>
      <c r="B15" s="99"/>
      <c r="C15" s="310" t="s">
        <v>1421</v>
      </c>
      <c r="D15" s="307"/>
      <c r="E15" s="307"/>
      <c r="F15" s="307">
        <f>F16</f>
        <v>180000</v>
      </c>
      <c r="G15" s="307">
        <f t="shared" si="0"/>
        <v>180000</v>
      </c>
      <c r="I15" s="8"/>
      <c r="K15" s="8"/>
    </row>
    <row r="16" spans="1:11" s="13" customFormat="1" ht="21" customHeight="1" hidden="1">
      <c r="A16" s="202"/>
      <c r="B16" s="202"/>
      <c r="C16" s="202" t="s">
        <v>1173</v>
      </c>
      <c r="D16" s="242"/>
      <c r="E16" s="242"/>
      <c r="F16" s="242">
        <v>180000</v>
      </c>
      <c r="G16" s="242">
        <f t="shared" si="0"/>
        <v>180000</v>
      </c>
      <c r="I16" s="14"/>
      <c r="K16" s="14"/>
    </row>
    <row r="17" spans="1:11" ht="21" customHeight="1">
      <c r="A17" s="184">
        <v>754</v>
      </c>
      <c r="B17" s="170"/>
      <c r="C17" s="315" t="s">
        <v>690</v>
      </c>
      <c r="D17" s="316">
        <v>5027500</v>
      </c>
      <c r="E17" s="316"/>
      <c r="F17" s="316">
        <f>F18</f>
        <v>220000</v>
      </c>
      <c r="G17" s="316">
        <f aca="true" t="shared" si="1" ref="G17:G34">D17+F17-E17</f>
        <v>5247500</v>
      </c>
      <c r="I17" s="8"/>
      <c r="K17" s="8"/>
    </row>
    <row r="18" spans="1:11" ht="21" customHeight="1">
      <c r="A18" s="99"/>
      <c r="B18" s="168">
        <v>75416</v>
      </c>
      <c r="C18" s="168" t="s">
        <v>1485</v>
      </c>
      <c r="D18" s="194">
        <v>4037500</v>
      </c>
      <c r="E18" s="194"/>
      <c r="F18" s="194">
        <f>F19+F21+F23</f>
        <v>220000</v>
      </c>
      <c r="G18" s="194">
        <f t="shared" si="1"/>
        <v>4257500</v>
      </c>
      <c r="I18" s="8"/>
      <c r="K18" s="8"/>
    </row>
    <row r="19" spans="1:11" ht="21" customHeight="1">
      <c r="A19" s="99"/>
      <c r="B19" s="99"/>
      <c r="C19" s="240" t="s">
        <v>492</v>
      </c>
      <c r="D19" s="241">
        <v>2939000</v>
      </c>
      <c r="E19" s="241"/>
      <c r="F19" s="241">
        <f>F20</f>
        <v>92000</v>
      </c>
      <c r="G19" s="241">
        <f t="shared" si="1"/>
        <v>3031000</v>
      </c>
      <c r="I19" s="8"/>
      <c r="K19" s="8"/>
    </row>
    <row r="20" spans="1:11" s="13" customFormat="1" ht="19.5" customHeight="1" hidden="1">
      <c r="A20" s="202"/>
      <c r="B20" s="202"/>
      <c r="C20" s="1107" t="s">
        <v>896</v>
      </c>
      <c r="D20" s="940">
        <v>2724301</v>
      </c>
      <c r="E20" s="940"/>
      <c r="F20" s="940">
        <v>92000</v>
      </c>
      <c r="G20" s="940">
        <f t="shared" si="1"/>
        <v>2816301</v>
      </c>
      <c r="I20" s="14"/>
      <c r="K20" s="14"/>
    </row>
    <row r="21" spans="1:11" s="13" customFormat="1" ht="20.25" customHeight="1">
      <c r="A21" s="202"/>
      <c r="B21" s="202"/>
      <c r="C21" s="240" t="s">
        <v>1176</v>
      </c>
      <c r="D21" s="241">
        <v>521000</v>
      </c>
      <c r="E21" s="241"/>
      <c r="F21" s="241">
        <v>120000</v>
      </c>
      <c r="G21" s="241">
        <f t="shared" si="1"/>
        <v>641000</v>
      </c>
      <c r="I21" s="14"/>
      <c r="K21" s="14"/>
    </row>
    <row r="22" spans="1:11" ht="21" customHeight="1">
      <c r="A22" s="99"/>
      <c r="B22" s="99"/>
      <c r="C22" s="958" t="s">
        <v>344</v>
      </c>
      <c r="D22" s="387"/>
      <c r="E22" s="387"/>
      <c r="F22" s="1118">
        <v>20000</v>
      </c>
      <c r="G22" s="1118">
        <f t="shared" si="1"/>
        <v>20000</v>
      </c>
      <c r="I22" s="8"/>
      <c r="K22" s="8"/>
    </row>
    <row r="23" spans="1:11" s="19" customFormat="1" ht="21" customHeight="1">
      <c r="A23" s="99"/>
      <c r="B23" s="99"/>
      <c r="C23" s="910" t="s">
        <v>553</v>
      </c>
      <c r="D23" s="911">
        <v>577500</v>
      </c>
      <c r="E23" s="911"/>
      <c r="F23" s="911">
        <f>F24</f>
        <v>8000</v>
      </c>
      <c r="G23" s="911">
        <f t="shared" si="1"/>
        <v>585500</v>
      </c>
      <c r="I23" s="150"/>
      <c r="K23" s="150"/>
    </row>
    <row r="24" spans="1:11" s="19" customFormat="1" ht="21" customHeight="1" hidden="1">
      <c r="A24" s="229"/>
      <c r="B24" s="229"/>
      <c r="C24" s="203" t="s">
        <v>1178</v>
      </c>
      <c r="D24" s="220">
        <v>505000</v>
      </c>
      <c r="E24" s="220"/>
      <c r="F24" s="220">
        <v>8000</v>
      </c>
      <c r="G24" s="220">
        <f t="shared" si="1"/>
        <v>513000</v>
      </c>
      <c r="I24" s="150"/>
      <c r="K24" s="150"/>
    </row>
    <row r="25" spans="1:11" ht="21" customHeight="1">
      <c r="A25" s="184">
        <v>758</v>
      </c>
      <c r="B25" s="170"/>
      <c r="C25" s="315" t="s">
        <v>482</v>
      </c>
      <c r="D25" s="316">
        <v>6484084</v>
      </c>
      <c r="E25" s="316">
        <f>E26</f>
        <v>566000</v>
      </c>
      <c r="F25" s="316"/>
      <c r="G25" s="316">
        <f t="shared" si="1"/>
        <v>5918084</v>
      </c>
      <c r="I25" s="8"/>
      <c r="K25" s="8"/>
    </row>
    <row r="26" spans="1:11" ht="21" customHeight="1">
      <c r="A26" s="99"/>
      <c r="B26" s="168">
        <v>75818</v>
      </c>
      <c r="C26" s="168" t="s">
        <v>483</v>
      </c>
      <c r="D26" s="194">
        <v>3060458</v>
      </c>
      <c r="E26" s="194">
        <f>E27</f>
        <v>566000</v>
      </c>
      <c r="F26" s="194"/>
      <c r="G26" s="194">
        <f t="shared" si="1"/>
        <v>2494458</v>
      </c>
      <c r="I26" s="8"/>
      <c r="K26" s="8"/>
    </row>
    <row r="27" spans="1:11" ht="21" customHeight="1">
      <c r="A27" s="229"/>
      <c r="B27" s="229"/>
      <c r="C27" s="1117" t="s">
        <v>484</v>
      </c>
      <c r="D27" s="693">
        <v>1789958</v>
      </c>
      <c r="E27" s="693">
        <f>E28</f>
        <v>566000</v>
      </c>
      <c r="F27" s="693"/>
      <c r="G27" s="693">
        <f t="shared" si="1"/>
        <v>1223958</v>
      </c>
      <c r="I27" s="8"/>
      <c r="K27" s="8"/>
    </row>
    <row r="28" spans="1:11" s="13" customFormat="1" ht="21" customHeight="1" hidden="1">
      <c r="A28" s="181"/>
      <c r="B28" s="181"/>
      <c r="C28" s="203" t="s">
        <v>526</v>
      </c>
      <c r="D28" s="220">
        <v>1789958</v>
      </c>
      <c r="E28" s="220">
        <f>130000+216000+220000</f>
        <v>566000</v>
      </c>
      <c r="F28" s="220"/>
      <c r="G28" s="220">
        <f t="shared" si="1"/>
        <v>1223958</v>
      </c>
      <c r="I28" s="14"/>
      <c r="K28" s="14"/>
    </row>
    <row r="29" spans="1:11" ht="21" customHeight="1">
      <c r="A29" s="192">
        <v>801</v>
      </c>
      <c r="B29" s="192"/>
      <c r="C29" s="192" t="s">
        <v>490</v>
      </c>
      <c r="D29" s="232">
        <v>321921533</v>
      </c>
      <c r="E29" s="232">
        <f>E30+E38+E52+E54+E57+E60+E66+E70+E74+E82+E88</f>
        <v>491011</v>
      </c>
      <c r="F29" s="232">
        <f>F30+F38+F52+F54+F57+F60+F66+F70+F74+F82+F88</f>
        <v>491011</v>
      </c>
      <c r="G29" s="232">
        <f t="shared" si="1"/>
        <v>321921533</v>
      </c>
      <c r="I29" s="8"/>
      <c r="K29" s="8"/>
    </row>
    <row r="30" spans="1:11" ht="21" customHeight="1">
      <c r="A30" s="99"/>
      <c r="B30" s="174">
        <v>80101</v>
      </c>
      <c r="C30" s="174" t="s">
        <v>491</v>
      </c>
      <c r="D30" s="233">
        <v>90752965</v>
      </c>
      <c r="E30" s="233">
        <f>E31+E33+E35+E37</f>
        <v>18000</v>
      </c>
      <c r="F30" s="233">
        <f>F31+F33+F35+F37</f>
        <v>22107</v>
      </c>
      <c r="G30" s="233">
        <f t="shared" si="1"/>
        <v>90757072</v>
      </c>
      <c r="I30" s="8"/>
      <c r="K30" s="8"/>
    </row>
    <row r="31" spans="1:11" ht="21" customHeight="1">
      <c r="A31" s="99"/>
      <c r="B31" s="99"/>
      <c r="C31" s="196" t="s">
        <v>492</v>
      </c>
      <c r="D31" s="197">
        <v>55574400</v>
      </c>
      <c r="E31" s="197">
        <f>SUM(E32:E32)</f>
        <v>18000</v>
      </c>
      <c r="F31" s="197"/>
      <c r="G31" s="197">
        <f t="shared" si="1"/>
        <v>55556400</v>
      </c>
      <c r="I31" s="8"/>
      <c r="K31" s="8"/>
    </row>
    <row r="32" spans="1:11" s="13" customFormat="1" ht="21" customHeight="1" hidden="1">
      <c r="A32" s="202"/>
      <c r="B32" s="202"/>
      <c r="C32" s="202" t="s">
        <v>896</v>
      </c>
      <c r="D32" s="242">
        <v>51372042</v>
      </c>
      <c r="E32" s="242">
        <v>18000</v>
      </c>
      <c r="F32" s="242"/>
      <c r="G32" s="242">
        <f t="shared" si="1"/>
        <v>51354042</v>
      </c>
      <c r="I32" s="14"/>
      <c r="K32" s="14"/>
    </row>
    <row r="33" spans="1:11" ht="21" customHeight="1">
      <c r="A33" s="229"/>
      <c r="B33" s="229"/>
      <c r="C33" s="1125" t="s">
        <v>1176</v>
      </c>
      <c r="D33" s="1126">
        <v>11864693</v>
      </c>
      <c r="E33" s="1126"/>
      <c r="F33" s="1126">
        <f>51596-46781</f>
        <v>4815</v>
      </c>
      <c r="G33" s="1126">
        <f t="shared" si="1"/>
        <v>11869508</v>
      </c>
      <c r="I33" s="8"/>
      <c r="K33" s="8"/>
    </row>
    <row r="34" spans="1:11" s="13" customFormat="1" ht="21" customHeight="1">
      <c r="A34" s="202"/>
      <c r="B34" s="202"/>
      <c r="C34" s="99" t="s">
        <v>802</v>
      </c>
      <c r="D34" s="260">
        <v>707383</v>
      </c>
      <c r="E34" s="260"/>
      <c r="F34" s="260">
        <v>4700</v>
      </c>
      <c r="G34" s="260">
        <f t="shared" si="1"/>
        <v>712083</v>
      </c>
      <c r="I34" s="14"/>
      <c r="K34" s="14"/>
    </row>
    <row r="35" spans="1:11" s="13" customFormat="1" ht="21" customHeight="1">
      <c r="A35" s="99"/>
      <c r="B35" s="99"/>
      <c r="C35" s="1120" t="s">
        <v>553</v>
      </c>
      <c r="D35" s="1121">
        <v>10840937</v>
      </c>
      <c r="E35" s="1121"/>
      <c r="F35" s="1121">
        <f>F36</f>
        <v>17000</v>
      </c>
      <c r="G35" s="1121">
        <f aca="true" t="shared" si="2" ref="G35:G48">D35+F35-E35</f>
        <v>10857937</v>
      </c>
      <c r="I35" s="14"/>
      <c r="K35" s="14"/>
    </row>
    <row r="36" spans="1:11" s="13" customFormat="1" ht="21" customHeight="1" hidden="1">
      <c r="A36" s="202"/>
      <c r="B36" s="202"/>
      <c r="C36" s="203" t="s">
        <v>487</v>
      </c>
      <c r="D36" s="220">
        <v>9460817</v>
      </c>
      <c r="E36" s="220"/>
      <c r="F36" s="220">
        <v>17000</v>
      </c>
      <c r="G36" s="220">
        <f t="shared" si="2"/>
        <v>9477817</v>
      </c>
      <c r="I36" s="14"/>
      <c r="K36" s="14"/>
    </row>
    <row r="37" spans="1:11" ht="21" customHeight="1">
      <c r="A37" s="99"/>
      <c r="B37" s="99"/>
      <c r="C37" s="99" t="s">
        <v>837</v>
      </c>
      <c r="D37" s="260">
        <v>370000</v>
      </c>
      <c r="E37" s="260"/>
      <c r="F37" s="260">
        <f>1130-838</f>
        <v>292</v>
      </c>
      <c r="G37" s="260">
        <f t="shared" si="2"/>
        <v>370292</v>
      </c>
      <c r="I37" s="8"/>
      <c r="K37" s="8"/>
    </row>
    <row r="38" spans="1:11" s="13" customFormat="1" ht="21" customHeight="1">
      <c r="A38" s="173"/>
      <c r="B38" s="338">
        <v>80104</v>
      </c>
      <c r="C38" s="175" t="s">
        <v>619</v>
      </c>
      <c r="D38" s="176">
        <v>44711190</v>
      </c>
      <c r="E38" s="176">
        <f>E39+E47</f>
        <v>900</v>
      </c>
      <c r="F38" s="176">
        <f>F39+F47</f>
        <v>24236</v>
      </c>
      <c r="G38" s="176">
        <f t="shared" si="2"/>
        <v>44734526</v>
      </c>
      <c r="I38" s="14"/>
      <c r="K38" s="14"/>
    </row>
    <row r="39" spans="1:11" s="13" customFormat="1" ht="21" customHeight="1">
      <c r="A39" s="173"/>
      <c r="B39" s="379"/>
      <c r="C39" s="380" t="s">
        <v>632</v>
      </c>
      <c r="D39" s="381">
        <v>1237720</v>
      </c>
      <c r="E39" s="381"/>
      <c r="F39" s="381">
        <f>F40+F42+F44</f>
        <v>24236</v>
      </c>
      <c r="G39" s="381">
        <f t="shared" si="2"/>
        <v>1261956</v>
      </c>
      <c r="I39" s="14"/>
      <c r="K39" s="14"/>
    </row>
    <row r="40" spans="1:11" s="13" customFormat="1" ht="21" customHeight="1">
      <c r="A40" s="99"/>
      <c r="B40" s="99"/>
      <c r="C40" s="324" t="s">
        <v>492</v>
      </c>
      <c r="D40" s="237">
        <v>933000</v>
      </c>
      <c r="E40" s="237"/>
      <c r="F40" s="237">
        <f>F41</f>
        <v>18000</v>
      </c>
      <c r="G40" s="237">
        <f t="shared" si="2"/>
        <v>951000</v>
      </c>
      <c r="I40" s="14"/>
      <c r="K40" s="14"/>
    </row>
    <row r="41" spans="1:11" s="13" customFormat="1" ht="21" customHeight="1" hidden="1">
      <c r="A41" s="202"/>
      <c r="B41" s="202"/>
      <c r="C41" s="202" t="s">
        <v>896</v>
      </c>
      <c r="D41" s="242">
        <v>867996</v>
      </c>
      <c r="E41" s="242"/>
      <c r="F41" s="242">
        <v>18000</v>
      </c>
      <c r="G41" s="242">
        <f t="shared" si="2"/>
        <v>885996</v>
      </c>
      <c r="I41" s="14"/>
      <c r="K41" s="14"/>
    </row>
    <row r="42" spans="1:11" s="13" customFormat="1" ht="21" customHeight="1">
      <c r="A42" s="99"/>
      <c r="B42" s="99"/>
      <c r="C42" s="310" t="s">
        <v>1176</v>
      </c>
      <c r="D42" s="307">
        <v>132180</v>
      </c>
      <c r="E42" s="307"/>
      <c r="F42" s="307">
        <f>SUM(F43:F43)</f>
        <v>386</v>
      </c>
      <c r="G42" s="307">
        <f t="shared" si="2"/>
        <v>132566</v>
      </c>
      <c r="I42" s="14"/>
      <c r="K42" s="14"/>
    </row>
    <row r="43" spans="1:11" s="13" customFormat="1" ht="21" customHeight="1" hidden="1">
      <c r="A43" s="202"/>
      <c r="B43" s="202"/>
      <c r="C43" s="181" t="s">
        <v>630</v>
      </c>
      <c r="D43" s="204">
        <v>51700</v>
      </c>
      <c r="E43" s="204"/>
      <c r="F43" s="204">
        <v>386</v>
      </c>
      <c r="G43" s="204">
        <f t="shared" si="2"/>
        <v>52086</v>
      </c>
      <c r="I43" s="14"/>
      <c r="K43" s="14"/>
    </row>
    <row r="44" spans="1:11" s="13" customFormat="1" ht="21" customHeight="1">
      <c r="A44" s="99"/>
      <c r="B44" s="99"/>
      <c r="C44" s="310" t="s">
        <v>553</v>
      </c>
      <c r="D44" s="307">
        <v>172540</v>
      </c>
      <c r="E44" s="307"/>
      <c r="F44" s="307">
        <f>SUM(F45:F46)</f>
        <v>5850</v>
      </c>
      <c r="G44" s="307">
        <f t="shared" si="2"/>
        <v>178390</v>
      </c>
      <c r="I44" s="14"/>
      <c r="K44" s="14"/>
    </row>
    <row r="45" spans="1:11" s="13" customFormat="1" ht="21" customHeight="1" hidden="1">
      <c r="A45" s="202"/>
      <c r="B45" s="202"/>
      <c r="C45" s="181" t="s">
        <v>1178</v>
      </c>
      <c r="D45" s="204">
        <v>150950</v>
      </c>
      <c r="E45" s="204"/>
      <c r="F45" s="204">
        <v>5100</v>
      </c>
      <c r="G45" s="204">
        <f t="shared" si="2"/>
        <v>156050</v>
      </c>
      <c r="I45" s="14"/>
      <c r="K45" s="14"/>
    </row>
    <row r="46" spans="1:11" s="13" customFormat="1" ht="21" customHeight="1" hidden="1">
      <c r="A46" s="202"/>
      <c r="B46" s="202"/>
      <c r="C46" s="300" t="s">
        <v>487</v>
      </c>
      <c r="D46" s="372">
        <v>21590</v>
      </c>
      <c r="E46" s="372"/>
      <c r="F46" s="372">
        <v>750</v>
      </c>
      <c r="G46" s="372">
        <f t="shared" si="2"/>
        <v>22340</v>
      </c>
      <c r="I46" s="14"/>
      <c r="K46" s="14"/>
    </row>
    <row r="47" spans="1:11" s="13" customFormat="1" ht="21" customHeight="1">
      <c r="A47" s="173"/>
      <c r="B47" s="379"/>
      <c r="C47" s="1122" t="s">
        <v>624</v>
      </c>
      <c r="D47" s="1123">
        <v>43473470</v>
      </c>
      <c r="E47" s="1123">
        <f>E48+E50</f>
        <v>900</v>
      </c>
      <c r="F47" s="1123"/>
      <c r="G47" s="1123">
        <f t="shared" si="2"/>
        <v>43472570</v>
      </c>
      <c r="I47" s="14"/>
      <c r="K47" s="14"/>
    </row>
    <row r="48" spans="1:11" s="13" customFormat="1" ht="21" customHeight="1">
      <c r="A48" s="99"/>
      <c r="B48" s="99"/>
      <c r="C48" s="99" t="s">
        <v>1176</v>
      </c>
      <c r="D48" s="260">
        <v>5923317</v>
      </c>
      <c r="E48" s="260">
        <f>900-207</f>
        <v>693</v>
      </c>
      <c r="F48" s="260"/>
      <c r="G48" s="260">
        <f t="shared" si="2"/>
        <v>5922624</v>
      </c>
      <c r="I48" s="14"/>
      <c r="K48" s="14"/>
    </row>
    <row r="49" spans="1:11" s="13" customFormat="1" ht="21" customHeight="1">
      <c r="A49" s="202"/>
      <c r="B49" s="202"/>
      <c r="C49" s="957" t="s">
        <v>803</v>
      </c>
      <c r="D49" s="1124">
        <v>244924</v>
      </c>
      <c r="E49" s="1124"/>
      <c r="F49" s="1124">
        <v>13238</v>
      </c>
      <c r="G49" s="1124">
        <f>D49+F49-E49</f>
        <v>258162</v>
      </c>
      <c r="I49" s="14"/>
      <c r="K49" s="14"/>
    </row>
    <row r="50" spans="1:11" s="13" customFormat="1" ht="21" customHeight="1">
      <c r="A50" s="202"/>
      <c r="B50" s="181"/>
      <c r="C50" s="324" t="s">
        <v>960</v>
      </c>
      <c r="D50" s="237">
        <v>34200</v>
      </c>
      <c r="E50" s="237">
        <f>E51</f>
        <v>207</v>
      </c>
      <c r="F50" s="237"/>
      <c r="G50" s="237">
        <f>D50-E50+F50</f>
        <v>33993</v>
      </c>
      <c r="I50" s="14"/>
      <c r="K50" s="14"/>
    </row>
    <row r="51" spans="1:11" s="13" customFormat="1" ht="21" customHeight="1" hidden="1">
      <c r="A51" s="202"/>
      <c r="B51" s="181"/>
      <c r="C51" s="202" t="s">
        <v>1005</v>
      </c>
      <c r="D51" s="242">
        <v>4200</v>
      </c>
      <c r="E51" s="242">
        <v>207</v>
      </c>
      <c r="F51" s="242"/>
      <c r="G51" s="242">
        <f>D51-E51+F51</f>
        <v>3993</v>
      </c>
      <c r="I51" s="14"/>
      <c r="K51" s="14"/>
    </row>
    <row r="52" spans="1:11" ht="21" customHeight="1">
      <c r="A52" s="173"/>
      <c r="B52" s="168">
        <v>80110</v>
      </c>
      <c r="C52" s="174" t="s">
        <v>1133</v>
      </c>
      <c r="D52" s="233">
        <v>53564499</v>
      </c>
      <c r="E52" s="233">
        <f>E53</f>
        <v>57811</v>
      </c>
      <c r="F52" s="233"/>
      <c r="G52" s="233">
        <f aca="true" t="shared" si="3" ref="G52:G59">D52+F52-E52</f>
        <v>53506688</v>
      </c>
      <c r="I52" s="8"/>
      <c r="K52" s="8"/>
    </row>
    <row r="53" spans="1:11" ht="21" customHeight="1">
      <c r="A53" s="173"/>
      <c r="B53" s="193"/>
      <c r="C53" s="193" t="s">
        <v>1176</v>
      </c>
      <c r="D53" s="1020">
        <v>6366798</v>
      </c>
      <c r="E53" s="1020">
        <f>60611-2800</f>
        <v>57811</v>
      </c>
      <c r="F53" s="1020"/>
      <c r="G53" s="1020">
        <f t="shared" si="3"/>
        <v>6308987</v>
      </c>
      <c r="I53" s="8"/>
      <c r="K53" s="8"/>
    </row>
    <row r="54" spans="1:11" s="13" customFormat="1" ht="21" customHeight="1">
      <c r="A54" s="173"/>
      <c r="B54" s="168">
        <v>80113</v>
      </c>
      <c r="C54" s="168" t="s">
        <v>635</v>
      </c>
      <c r="D54" s="194">
        <v>462380</v>
      </c>
      <c r="E54" s="194"/>
      <c r="F54" s="194">
        <f>F55</f>
        <v>13490</v>
      </c>
      <c r="G54" s="194">
        <f t="shared" si="3"/>
        <v>475870</v>
      </c>
      <c r="I54" s="14"/>
      <c r="K54" s="14"/>
    </row>
    <row r="55" spans="1:11" s="13" customFormat="1" ht="21" customHeight="1">
      <c r="A55" s="99"/>
      <c r="B55" s="193"/>
      <c r="C55" s="193" t="s">
        <v>636</v>
      </c>
      <c r="D55" s="1020">
        <v>462380</v>
      </c>
      <c r="E55" s="1020"/>
      <c r="F55" s="1020">
        <f>F56+900</f>
        <v>13490</v>
      </c>
      <c r="G55" s="1020">
        <f t="shared" si="3"/>
        <v>475870</v>
      </c>
      <c r="I55" s="14"/>
      <c r="K55" s="14"/>
    </row>
    <row r="56" spans="1:11" s="13" customFormat="1" ht="21" customHeight="1" hidden="1">
      <c r="A56" s="202"/>
      <c r="B56" s="181"/>
      <c r="C56" s="181" t="s">
        <v>1173</v>
      </c>
      <c r="D56" s="204">
        <v>462380</v>
      </c>
      <c r="E56" s="204"/>
      <c r="F56" s="204">
        <v>12590</v>
      </c>
      <c r="G56" s="204">
        <f t="shared" si="3"/>
        <v>474970</v>
      </c>
      <c r="I56" s="14"/>
      <c r="K56" s="14"/>
    </row>
    <row r="57" spans="1:11" s="13" customFormat="1" ht="21" customHeight="1">
      <c r="A57" s="173"/>
      <c r="B57" s="168">
        <v>80120</v>
      </c>
      <c r="C57" s="168" t="s">
        <v>921</v>
      </c>
      <c r="D57" s="194">
        <v>40436079</v>
      </c>
      <c r="E57" s="194"/>
      <c r="F57" s="194">
        <f>F58</f>
        <v>4131</v>
      </c>
      <c r="G57" s="194">
        <f t="shared" si="3"/>
        <v>40440210</v>
      </c>
      <c r="I57" s="14"/>
      <c r="K57" s="14"/>
    </row>
    <row r="58" spans="1:11" s="13" customFormat="1" ht="21" customHeight="1">
      <c r="A58" s="173"/>
      <c r="B58" s="173"/>
      <c r="C58" s="196" t="s">
        <v>1176</v>
      </c>
      <c r="D58" s="197">
        <v>5148679</v>
      </c>
      <c r="E58" s="197"/>
      <c r="F58" s="197">
        <f>8400-4269</f>
        <v>4131</v>
      </c>
      <c r="G58" s="197">
        <f t="shared" si="3"/>
        <v>5152810</v>
      </c>
      <c r="I58" s="14"/>
      <c r="K58" s="14"/>
    </row>
    <row r="59" spans="1:11" s="13" customFormat="1" ht="21" customHeight="1">
      <c r="A59" s="202"/>
      <c r="B59" s="202"/>
      <c r="C59" s="1125" t="s">
        <v>802</v>
      </c>
      <c r="D59" s="1126">
        <v>358619</v>
      </c>
      <c r="E59" s="1126">
        <v>4269</v>
      </c>
      <c r="F59" s="1126"/>
      <c r="G59" s="1126">
        <f t="shared" si="3"/>
        <v>354350</v>
      </c>
      <c r="I59" s="14"/>
      <c r="K59" s="14"/>
    </row>
    <row r="60" spans="1:11" s="13" customFormat="1" ht="21" customHeight="1">
      <c r="A60" s="202"/>
      <c r="B60" s="174">
        <v>80121</v>
      </c>
      <c r="C60" s="174" t="s">
        <v>530</v>
      </c>
      <c r="D60" s="233">
        <v>1288000</v>
      </c>
      <c r="E60" s="233"/>
      <c r="F60" s="233">
        <f>F61+F63</f>
        <v>117000</v>
      </c>
      <c r="G60" s="233">
        <f aca="true" t="shared" si="4" ref="G60:G65">D60-E60+F60</f>
        <v>1405000</v>
      </c>
      <c r="I60" s="14"/>
      <c r="K60" s="14"/>
    </row>
    <row r="61" spans="1:11" s="13" customFormat="1" ht="21" customHeight="1">
      <c r="A61" s="202"/>
      <c r="B61" s="202"/>
      <c r="C61" s="196" t="s">
        <v>492</v>
      </c>
      <c r="D61" s="197">
        <v>983000</v>
      </c>
      <c r="E61" s="197"/>
      <c r="F61" s="197">
        <f>F62</f>
        <v>100000</v>
      </c>
      <c r="G61" s="197">
        <f t="shared" si="4"/>
        <v>1083000</v>
      </c>
      <c r="I61" s="14"/>
      <c r="K61" s="14"/>
    </row>
    <row r="62" spans="1:11" s="13" customFormat="1" ht="21" customHeight="1" hidden="1">
      <c r="A62" s="202"/>
      <c r="B62" s="202"/>
      <c r="C62" s="202" t="s">
        <v>896</v>
      </c>
      <c r="D62" s="242">
        <v>907911</v>
      </c>
      <c r="E62" s="242"/>
      <c r="F62" s="242">
        <v>100000</v>
      </c>
      <c r="G62" s="242">
        <f t="shared" si="4"/>
        <v>1007911</v>
      </c>
      <c r="I62" s="14"/>
      <c r="K62" s="14"/>
    </row>
    <row r="63" spans="1:11" s="13" customFormat="1" ht="21" customHeight="1">
      <c r="A63" s="202"/>
      <c r="B63" s="202"/>
      <c r="C63" s="1125" t="s">
        <v>553</v>
      </c>
      <c r="D63" s="1126">
        <v>191000</v>
      </c>
      <c r="E63" s="1126"/>
      <c r="F63" s="1126">
        <f>SUM(F64:F65)</f>
        <v>17000</v>
      </c>
      <c r="G63" s="1126">
        <f t="shared" si="4"/>
        <v>208000</v>
      </c>
      <c r="I63" s="14"/>
      <c r="K63" s="14"/>
    </row>
    <row r="64" spans="1:11" s="13" customFormat="1" ht="21" customHeight="1" hidden="1">
      <c r="A64" s="202"/>
      <c r="B64" s="202"/>
      <c r="C64" s="181" t="s">
        <v>1178</v>
      </c>
      <c r="D64" s="204">
        <v>168000</v>
      </c>
      <c r="E64" s="204"/>
      <c r="F64" s="204">
        <v>15000</v>
      </c>
      <c r="G64" s="204">
        <f t="shared" si="4"/>
        <v>183000</v>
      </c>
      <c r="I64" s="14"/>
      <c r="K64" s="14"/>
    </row>
    <row r="65" spans="1:11" s="13" customFormat="1" ht="21" customHeight="1" hidden="1">
      <c r="A65" s="202"/>
      <c r="B65" s="202"/>
      <c r="C65" s="181" t="s">
        <v>487</v>
      </c>
      <c r="D65" s="204">
        <v>23000</v>
      </c>
      <c r="E65" s="204"/>
      <c r="F65" s="204">
        <v>2000</v>
      </c>
      <c r="G65" s="204">
        <f t="shared" si="4"/>
        <v>25000</v>
      </c>
      <c r="I65" s="14"/>
      <c r="K65" s="14"/>
    </row>
    <row r="66" spans="1:11" s="13" customFormat="1" ht="21" customHeight="1">
      <c r="A66" s="173"/>
      <c r="B66" s="174">
        <v>80123</v>
      </c>
      <c r="C66" s="168" t="s">
        <v>637</v>
      </c>
      <c r="D66" s="194">
        <v>6101280</v>
      </c>
      <c r="E66" s="194"/>
      <c r="F66" s="194">
        <f>F67</f>
        <v>7000</v>
      </c>
      <c r="G66" s="194">
        <f aca="true" t="shared" si="5" ref="G66:G77">D66+F66-E66</f>
        <v>6108280</v>
      </c>
      <c r="I66" s="14"/>
      <c r="K66" s="14"/>
    </row>
    <row r="67" spans="1:11" s="13" customFormat="1" ht="21" customHeight="1">
      <c r="A67" s="99"/>
      <c r="B67" s="99"/>
      <c r="C67" s="196" t="s">
        <v>1176</v>
      </c>
      <c r="D67" s="197">
        <v>496590</v>
      </c>
      <c r="E67" s="197"/>
      <c r="F67" s="197">
        <f>SUM(F68:F69)</f>
        <v>7000</v>
      </c>
      <c r="G67" s="197">
        <f t="shared" si="5"/>
        <v>503590</v>
      </c>
      <c r="I67" s="14"/>
      <c r="K67" s="14"/>
    </row>
    <row r="68" spans="1:11" s="13" customFormat="1" ht="21" customHeight="1" hidden="1">
      <c r="A68" s="202"/>
      <c r="B68" s="202"/>
      <c r="C68" s="181" t="s">
        <v>1174</v>
      </c>
      <c r="D68" s="204">
        <v>59100</v>
      </c>
      <c r="E68" s="204"/>
      <c r="F68" s="204">
        <v>4000</v>
      </c>
      <c r="G68" s="204">
        <f t="shared" si="5"/>
        <v>63100</v>
      </c>
      <c r="I68" s="14"/>
      <c r="K68" s="14"/>
    </row>
    <row r="69" spans="1:11" s="13" customFormat="1" ht="21" customHeight="1" hidden="1">
      <c r="A69" s="202"/>
      <c r="B69" s="202"/>
      <c r="C69" s="202" t="s">
        <v>1173</v>
      </c>
      <c r="D69" s="242">
        <v>34320</v>
      </c>
      <c r="E69" s="242"/>
      <c r="F69" s="242">
        <v>3000</v>
      </c>
      <c r="G69" s="242">
        <f t="shared" si="5"/>
        <v>37320</v>
      </c>
      <c r="I69" s="14"/>
      <c r="K69" s="14"/>
    </row>
    <row r="70" spans="1:11" s="13" customFormat="1" ht="21" customHeight="1">
      <c r="A70" s="202"/>
      <c r="B70" s="174">
        <v>80124</v>
      </c>
      <c r="C70" s="174" t="s">
        <v>531</v>
      </c>
      <c r="D70" s="233">
        <v>286000</v>
      </c>
      <c r="E70" s="233">
        <f>E71</f>
        <v>2000</v>
      </c>
      <c r="F70" s="233"/>
      <c r="G70" s="233">
        <f t="shared" si="5"/>
        <v>284000</v>
      </c>
      <c r="I70" s="14"/>
      <c r="K70" s="14"/>
    </row>
    <row r="71" spans="1:11" s="13" customFormat="1" ht="21" customHeight="1">
      <c r="A71" s="202"/>
      <c r="B71" s="202"/>
      <c r="C71" s="196" t="s">
        <v>553</v>
      </c>
      <c r="D71" s="197">
        <v>42000</v>
      </c>
      <c r="E71" s="197">
        <f>E72</f>
        <v>2000</v>
      </c>
      <c r="F71" s="197"/>
      <c r="G71" s="197">
        <f t="shared" si="5"/>
        <v>40000</v>
      </c>
      <c r="I71" s="14"/>
      <c r="K71" s="14"/>
    </row>
    <row r="72" spans="1:11" s="13" customFormat="1" ht="21" customHeight="1" hidden="1">
      <c r="A72" s="202"/>
      <c r="B72" s="202"/>
      <c r="C72" s="202" t="s">
        <v>1178</v>
      </c>
      <c r="D72" s="242">
        <v>36380</v>
      </c>
      <c r="E72" s="242">
        <v>2000</v>
      </c>
      <c r="F72" s="242"/>
      <c r="G72" s="242">
        <f t="shared" si="5"/>
        <v>34380</v>
      </c>
      <c r="I72" s="14"/>
      <c r="K72" s="14"/>
    </row>
    <row r="73" spans="1:11" s="13" customFormat="1" ht="42.75" customHeight="1">
      <c r="A73" s="1109"/>
      <c r="B73" s="1109"/>
      <c r="C73" s="1109"/>
      <c r="D73" s="1276"/>
      <c r="E73" s="1276"/>
      <c r="F73" s="1276"/>
      <c r="G73" s="1276"/>
      <c r="I73" s="14"/>
      <c r="K73" s="14"/>
    </row>
    <row r="74" spans="1:11" s="13" customFormat="1" ht="21" customHeight="1">
      <c r="A74" s="173"/>
      <c r="B74" s="168">
        <v>80130</v>
      </c>
      <c r="C74" s="168" t="s">
        <v>638</v>
      </c>
      <c r="D74" s="194">
        <v>54505738</v>
      </c>
      <c r="E74" s="194">
        <f>E75+E77+E79</f>
        <v>295300</v>
      </c>
      <c r="F74" s="194">
        <f>F75+F77+F79</f>
        <v>12376</v>
      </c>
      <c r="G74" s="194">
        <f t="shared" si="5"/>
        <v>54222814</v>
      </c>
      <c r="I74" s="14"/>
      <c r="K74" s="14"/>
    </row>
    <row r="75" spans="1:11" s="13" customFormat="1" ht="21" customHeight="1">
      <c r="A75" s="99"/>
      <c r="B75" s="99"/>
      <c r="C75" s="310" t="s">
        <v>492</v>
      </c>
      <c r="D75" s="307">
        <v>28295510</v>
      </c>
      <c r="E75" s="307">
        <f>E76</f>
        <v>256000</v>
      </c>
      <c r="F75" s="307"/>
      <c r="G75" s="307">
        <f t="shared" si="5"/>
        <v>28039510</v>
      </c>
      <c r="I75" s="14"/>
      <c r="K75" s="14"/>
    </row>
    <row r="76" spans="1:11" s="13" customFormat="1" ht="21" customHeight="1" hidden="1">
      <c r="A76" s="202"/>
      <c r="B76" s="202"/>
      <c r="C76" s="202" t="s">
        <v>896</v>
      </c>
      <c r="D76" s="242">
        <v>26258085</v>
      </c>
      <c r="E76" s="242">
        <v>256000</v>
      </c>
      <c r="F76" s="242"/>
      <c r="G76" s="242">
        <f t="shared" si="5"/>
        <v>26002085</v>
      </c>
      <c r="I76" s="14"/>
      <c r="K76" s="14"/>
    </row>
    <row r="77" spans="1:11" s="13" customFormat="1" ht="21" customHeight="1">
      <c r="A77" s="99"/>
      <c r="B77" s="99"/>
      <c r="C77" s="310" t="s">
        <v>1176</v>
      </c>
      <c r="D77" s="307">
        <v>5531937</v>
      </c>
      <c r="E77" s="307"/>
      <c r="F77" s="307">
        <f>21876-9500</f>
        <v>12376</v>
      </c>
      <c r="G77" s="307">
        <f t="shared" si="5"/>
        <v>5544313</v>
      </c>
      <c r="I77" s="14"/>
      <c r="K77" s="14"/>
    </row>
    <row r="78" spans="1:11" s="13" customFormat="1" ht="21" customHeight="1">
      <c r="A78" s="202"/>
      <c r="B78" s="202"/>
      <c r="C78" s="99" t="s">
        <v>802</v>
      </c>
      <c r="D78" s="260">
        <v>590237</v>
      </c>
      <c r="E78" s="260"/>
      <c r="F78" s="260">
        <v>4569</v>
      </c>
      <c r="G78" s="260">
        <f>D78+F78-E78</f>
        <v>594806</v>
      </c>
      <c r="I78" s="14"/>
      <c r="K78" s="14"/>
    </row>
    <row r="79" spans="1:11" s="13" customFormat="1" ht="21" customHeight="1">
      <c r="A79" s="99"/>
      <c r="B79" s="99"/>
      <c r="C79" s="1120" t="s">
        <v>553</v>
      </c>
      <c r="D79" s="1121">
        <v>5494150</v>
      </c>
      <c r="E79" s="1121">
        <f>SUM(E80:E81)</f>
        <v>39300</v>
      </c>
      <c r="F79" s="1121"/>
      <c r="G79" s="1121">
        <f aca="true" t="shared" si="6" ref="G79:G84">D79+F79-E79</f>
        <v>5454850</v>
      </c>
      <c r="I79" s="14"/>
      <c r="K79" s="14"/>
    </row>
    <row r="80" spans="1:11" s="13" customFormat="1" ht="21" customHeight="1" hidden="1">
      <c r="A80" s="202"/>
      <c r="B80" s="202"/>
      <c r="C80" s="202" t="s">
        <v>1178</v>
      </c>
      <c r="D80" s="242">
        <v>4829660</v>
      </c>
      <c r="E80" s="242">
        <v>34800</v>
      </c>
      <c r="F80" s="242"/>
      <c r="G80" s="242">
        <f t="shared" si="6"/>
        <v>4794860</v>
      </c>
      <c r="I80" s="14"/>
      <c r="K80" s="14"/>
    </row>
    <row r="81" spans="1:11" s="13" customFormat="1" ht="21" customHeight="1" hidden="1">
      <c r="A81" s="202"/>
      <c r="B81" s="181"/>
      <c r="C81" s="205" t="s">
        <v>487</v>
      </c>
      <c r="D81" s="207">
        <v>664490</v>
      </c>
      <c r="E81" s="207">
        <v>4500</v>
      </c>
      <c r="F81" s="207"/>
      <c r="G81" s="207">
        <f t="shared" si="6"/>
        <v>659990</v>
      </c>
      <c r="I81" s="14"/>
      <c r="K81" s="14"/>
    </row>
    <row r="82" spans="1:11" s="13" customFormat="1" ht="21" customHeight="1">
      <c r="A82" s="173"/>
      <c r="B82" s="174">
        <v>80134</v>
      </c>
      <c r="C82" s="174" t="s">
        <v>639</v>
      </c>
      <c r="D82" s="233">
        <v>4171500</v>
      </c>
      <c r="E82" s="233">
        <f>E83+E85</f>
        <v>117000</v>
      </c>
      <c r="F82" s="233"/>
      <c r="G82" s="233">
        <f t="shared" si="6"/>
        <v>4054500</v>
      </c>
      <c r="I82" s="14"/>
      <c r="K82" s="14"/>
    </row>
    <row r="83" spans="1:11" s="13" customFormat="1" ht="21" customHeight="1">
      <c r="A83" s="99"/>
      <c r="B83" s="99"/>
      <c r="C83" s="196" t="s">
        <v>492</v>
      </c>
      <c r="D83" s="197">
        <v>3148000</v>
      </c>
      <c r="E83" s="197">
        <f>E84</f>
        <v>100000</v>
      </c>
      <c r="F83" s="197"/>
      <c r="G83" s="197">
        <f t="shared" si="6"/>
        <v>3048000</v>
      </c>
      <c r="I83" s="14"/>
      <c r="K83" s="14"/>
    </row>
    <row r="84" spans="1:11" s="13" customFormat="1" ht="21" customHeight="1" hidden="1">
      <c r="A84" s="202"/>
      <c r="B84" s="202"/>
      <c r="C84" s="202" t="s">
        <v>896</v>
      </c>
      <c r="D84" s="242">
        <v>2920263</v>
      </c>
      <c r="E84" s="242">
        <v>100000</v>
      </c>
      <c r="F84" s="242"/>
      <c r="G84" s="242">
        <f t="shared" si="6"/>
        <v>2820263</v>
      </c>
      <c r="I84" s="14"/>
      <c r="K84" s="14"/>
    </row>
    <row r="85" spans="1:11" s="13" customFormat="1" ht="21" customHeight="1">
      <c r="A85" s="202"/>
      <c r="B85" s="202"/>
      <c r="C85" s="310" t="s">
        <v>553</v>
      </c>
      <c r="D85" s="307">
        <v>613500</v>
      </c>
      <c r="E85" s="307">
        <f>SUM(E86:E87)</f>
        <v>17000</v>
      </c>
      <c r="F85" s="307"/>
      <c r="G85" s="307">
        <f>D85-E85+F85</f>
        <v>596500</v>
      </c>
      <c r="I85" s="14"/>
      <c r="K85" s="14"/>
    </row>
    <row r="86" spans="1:11" s="13" customFormat="1" ht="21" customHeight="1" hidden="1">
      <c r="A86" s="202"/>
      <c r="B86" s="202"/>
      <c r="C86" s="181" t="s">
        <v>1178</v>
      </c>
      <c r="D86" s="204">
        <v>540500</v>
      </c>
      <c r="E86" s="204">
        <v>15000</v>
      </c>
      <c r="F86" s="204"/>
      <c r="G86" s="204"/>
      <c r="I86" s="14"/>
      <c r="K86" s="14"/>
    </row>
    <row r="87" spans="1:11" s="13" customFormat="1" ht="21" customHeight="1" hidden="1">
      <c r="A87" s="202"/>
      <c r="B87" s="181"/>
      <c r="C87" s="181" t="s">
        <v>487</v>
      </c>
      <c r="D87" s="204">
        <v>73000</v>
      </c>
      <c r="E87" s="204">
        <v>2000</v>
      </c>
      <c r="F87" s="204"/>
      <c r="G87" s="204"/>
      <c r="I87" s="14"/>
      <c r="K87" s="14"/>
    </row>
    <row r="88" spans="1:11" s="13" customFormat="1" ht="21" customHeight="1">
      <c r="A88" s="173"/>
      <c r="B88" s="174">
        <v>80195</v>
      </c>
      <c r="C88" s="174" t="s">
        <v>488</v>
      </c>
      <c r="D88" s="233">
        <v>1844283</v>
      </c>
      <c r="E88" s="233"/>
      <c r="F88" s="233">
        <f>F89</f>
        <v>290671</v>
      </c>
      <c r="G88" s="233">
        <f>D88+F88-E88</f>
        <v>2134954</v>
      </c>
      <c r="I88" s="14"/>
      <c r="K88" s="14"/>
    </row>
    <row r="89" spans="1:11" s="13" customFormat="1" ht="26.25" customHeight="1">
      <c r="A89" s="99"/>
      <c r="B89" s="99"/>
      <c r="C89" s="240" t="s">
        <v>804</v>
      </c>
      <c r="D89" s="241">
        <v>1819033</v>
      </c>
      <c r="E89" s="241"/>
      <c r="F89" s="241">
        <f>F90</f>
        <v>290671</v>
      </c>
      <c r="G89" s="241">
        <f>D89+F89-E89</f>
        <v>2109704</v>
      </c>
      <c r="I89" s="14"/>
      <c r="K89" s="14"/>
    </row>
    <row r="90" spans="1:11" s="13" customFormat="1" ht="21" customHeight="1" hidden="1">
      <c r="A90" s="99"/>
      <c r="B90" s="99"/>
      <c r="C90" s="181" t="s">
        <v>630</v>
      </c>
      <c r="D90" s="204">
        <v>1816033</v>
      </c>
      <c r="E90" s="204"/>
      <c r="F90" s="204">
        <v>290671</v>
      </c>
      <c r="G90" s="204">
        <f>D90+F90-E90</f>
        <v>2106704</v>
      </c>
      <c r="I90" s="14"/>
      <c r="K90" s="14"/>
    </row>
    <row r="91" spans="1:11" s="13" customFormat="1" ht="21" customHeight="1">
      <c r="A91" s="170">
        <v>851</v>
      </c>
      <c r="B91" s="170"/>
      <c r="C91" s="170" t="s">
        <v>963</v>
      </c>
      <c r="D91" s="297">
        <v>8260000</v>
      </c>
      <c r="E91" s="297"/>
      <c r="F91" s="297"/>
      <c r="G91" s="297">
        <f>D91-E91+F91</f>
        <v>8260000</v>
      </c>
      <c r="I91" s="14"/>
      <c r="K91" s="14"/>
    </row>
    <row r="92" spans="1:11" s="13" customFormat="1" ht="21" customHeight="1">
      <c r="A92" s="286"/>
      <c r="B92" s="168">
        <v>85154</v>
      </c>
      <c r="C92" s="168" t="s">
        <v>1430</v>
      </c>
      <c r="D92" s="194">
        <v>4500000</v>
      </c>
      <c r="E92" s="194"/>
      <c r="F92" s="194"/>
      <c r="G92" s="194">
        <f>D92-E92+F92</f>
        <v>4500000</v>
      </c>
      <c r="I92" s="14"/>
      <c r="K92" s="14"/>
    </row>
    <row r="93" spans="1:11" s="13" customFormat="1" ht="24.75" customHeight="1">
      <c r="A93" s="99"/>
      <c r="B93" s="99"/>
      <c r="C93" s="271" t="s">
        <v>1432</v>
      </c>
      <c r="D93" s="197">
        <v>4500000</v>
      </c>
      <c r="E93" s="197"/>
      <c r="F93" s="197"/>
      <c r="G93" s="197">
        <f>D93-E93+F93</f>
        <v>4500000</v>
      </c>
      <c r="I93" s="14"/>
      <c r="K93" s="14"/>
    </row>
    <row r="94" spans="1:11" s="13" customFormat="1" ht="21" customHeight="1">
      <c r="A94" s="229"/>
      <c r="B94" s="229"/>
      <c r="C94" s="181" t="s">
        <v>515</v>
      </c>
      <c r="D94" s="204">
        <v>11500</v>
      </c>
      <c r="E94" s="204"/>
      <c r="F94" s="204">
        <v>5000</v>
      </c>
      <c r="G94" s="204">
        <f>D94-E94+F94</f>
        <v>16500</v>
      </c>
      <c r="I94" s="14"/>
      <c r="K94" s="14"/>
    </row>
    <row r="95" spans="1:11" s="13" customFormat="1" ht="21" customHeight="1">
      <c r="A95" s="192">
        <v>852</v>
      </c>
      <c r="B95" s="192"/>
      <c r="C95" s="192" t="s">
        <v>485</v>
      </c>
      <c r="D95" s="232">
        <v>76226476</v>
      </c>
      <c r="E95" s="232">
        <f>E96+E99+E108</f>
        <v>175723</v>
      </c>
      <c r="F95" s="232">
        <f>F96+F99</f>
        <v>305723</v>
      </c>
      <c r="G95" s="232">
        <f>D95+F95-E95</f>
        <v>76356476</v>
      </c>
      <c r="I95" s="14"/>
      <c r="K95" s="14"/>
    </row>
    <row r="96" spans="1:11" s="13" customFormat="1" ht="21" customHeight="1">
      <c r="A96" s="99"/>
      <c r="B96" s="174">
        <v>85201</v>
      </c>
      <c r="C96" s="174" t="s">
        <v>686</v>
      </c>
      <c r="D96" s="233">
        <v>9267700</v>
      </c>
      <c r="E96" s="233"/>
      <c r="F96" s="233">
        <f>F97</f>
        <v>130000</v>
      </c>
      <c r="G96" s="233">
        <f>D96+F96-E96</f>
        <v>9397700</v>
      </c>
      <c r="I96" s="14"/>
      <c r="K96" s="14"/>
    </row>
    <row r="97" spans="1:11" s="13" customFormat="1" ht="21" customHeight="1">
      <c r="A97" s="99"/>
      <c r="B97" s="99"/>
      <c r="C97" s="240" t="s">
        <v>960</v>
      </c>
      <c r="D97" s="241">
        <v>156000</v>
      </c>
      <c r="E97" s="241"/>
      <c r="F97" s="241">
        <f>F98</f>
        <v>130000</v>
      </c>
      <c r="G97" s="241">
        <f>D97+F97-E97</f>
        <v>286000</v>
      </c>
      <c r="I97" s="14"/>
      <c r="K97" s="14"/>
    </row>
    <row r="98" spans="1:11" s="13" customFormat="1" ht="21" customHeight="1" hidden="1">
      <c r="A98" s="99"/>
      <c r="B98" s="99"/>
      <c r="C98" s="202" t="s">
        <v>1124</v>
      </c>
      <c r="D98" s="242">
        <v>150000</v>
      </c>
      <c r="E98" s="242"/>
      <c r="F98" s="242">
        <v>130000</v>
      </c>
      <c r="G98" s="242">
        <f>D98+F98-E98</f>
        <v>280000</v>
      </c>
      <c r="I98" s="14"/>
      <c r="K98" s="14"/>
    </row>
    <row r="99" spans="1:11" s="13" customFormat="1" ht="21" customHeight="1">
      <c r="A99" s="99"/>
      <c r="B99" s="174">
        <v>85202</v>
      </c>
      <c r="C99" s="174" t="s">
        <v>988</v>
      </c>
      <c r="D99" s="233">
        <v>13452010</v>
      </c>
      <c r="E99" s="233">
        <f>E100+E102</f>
        <v>140000</v>
      </c>
      <c r="F99" s="233">
        <f>F100+F102+F107</f>
        <v>175723</v>
      </c>
      <c r="G99" s="233">
        <f aca="true" t="shared" si="7" ref="G99:G106">D99-E99+F99</f>
        <v>13487733</v>
      </c>
      <c r="I99" s="14"/>
      <c r="K99" s="14"/>
    </row>
    <row r="100" spans="1:11" s="13" customFormat="1" ht="21" customHeight="1">
      <c r="A100" s="99"/>
      <c r="B100" s="178"/>
      <c r="C100" s="196" t="s">
        <v>989</v>
      </c>
      <c r="D100" s="197">
        <v>7351200</v>
      </c>
      <c r="E100" s="197">
        <f>E101</f>
        <v>140000</v>
      </c>
      <c r="F100" s="197"/>
      <c r="G100" s="197">
        <f t="shared" si="7"/>
        <v>7211200</v>
      </c>
      <c r="I100" s="14"/>
      <c r="K100" s="14"/>
    </row>
    <row r="101" spans="1:11" s="13" customFormat="1" ht="21" customHeight="1" hidden="1">
      <c r="A101" s="99"/>
      <c r="B101" s="99"/>
      <c r="C101" s="202" t="s">
        <v>896</v>
      </c>
      <c r="D101" s="242">
        <v>6826790</v>
      </c>
      <c r="E101" s="242">
        <v>140000</v>
      </c>
      <c r="F101" s="242"/>
      <c r="G101" s="242">
        <f t="shared" si="7"/>
        <v>6686790</v>
      </c>
      <c r="I101" s="14"/>
      <c r="K101" s="14"/>
    </row>
    <row r="102" spans="1:11" s="13" customFormat="1" ht="21" customHeight="1">
      <c r="A102" s="99"/>
      <c r="B102" s="99"/>
      <c r="C102" s="310" t="s">
        <v>1176</v>
      </c>
      <c r="D102" s="307">
        <v>3444250</v>
      </c>
      <c r="E102" s="307"/>
      <c r="F102" s="307">
        <f>SUM(F103:F106)</f>
        <v>140000</v>
      </c>
      <c r="G102" s="307">
        <f t="shared" si="7"/>
        <v>3584250</v>
      </c>
      <c r="I102" s="14"/>
      <c r="K102" s="14"/>
    </row>
    <row r="103" spans="1:11" s="13" customFormat="1" ht="21" customHeight="1" hidden="1">
      <c r="A103" s="99"/>
      <c r="B103" s="99"/>
      <c r="C103" s="181" t="s">
        <v>1174</v>
      </c>
      <c r="D103" s="204">
        <v>528950</v>
      </c>
      <c r="E103" s="204"/>
      <c r="F103" s="204">
        <v>30000</v>
      </c>
      <c r="G103" s="204">
        <f t="shared" si="7"/>
        <v>558950</v>
      </c>
      <c r="I103" s="14"/>
      <c r="K103" s="14"/>
    </row>
    <row r="104" spans="1:11" s="13" customFormat="1" ht="21" customHeight="1" hidden="1">
      <c r="A104" s="99"/>
      <c r="B104" s="99"/>
      <c r="C104" s="181" t="s">
        <v>990</v>
      </c>
      <c r="D104" s="204">
        <v>1107500</v>
      </c>
      <c r="E104" s="204"/>
      <c r="F104" s="204">
        <v>20000</v>
      </c>
      <c r="G104" s="204">
        <f t="shared" si="7"/>
        <v>1127500</v>
      </c>
      <c r="I104" s="14"/>
      <c r="K104" s="14"/>
    </row>
    <row r="105" spans="1:11" s="13" customFormat="1" ht="21" customHeight="1" hidden="1">
      <c r="A105" s="99"/>
      <c r="B105" s="99"/>
      <c r="C105" s="205" t="s">
        <v>1177</v>
      </c>
      <c r="D105" s="207">
        <v>753900</v>
      </c>
      <c r="E105" s="207"/>
      <c r="F105" s="207">
        <v>60000</v>
      </c>
      <c r="G105" s="207">
        <f t="shared" si="7"/>
        <v>813900</v>
      </c>
      <c r="I105" s="14"/>
      <c r="K105" s="14"/>
    </row>
    <row r="106" spans="1:11" s="142" customFormat="1" ht="21" customHeight="1" hidden="1">
      <c r="A106" s="99"/>
      <c r="B106" s="229"/>
      <c r="C106" s="205" t="s">
        <v>1173</v>
      </c>
      <c r="D106" s="207">
        <v>444300</v>
      </c>
      <c r="E106" s="207"/>
      <c r="F106" s="207">
        <v>30000</v>
      </c>
      <c r="G106" s="207">
        <f t="shared" si="7"/>
        <v>474300</v>
      </c>
      <c r="I106" s="147"/>
      <c r="K106" s="147"/>
    </row>
    <row r="107" spans="1:11" s="126" customFormat="1" ht="21" customHeight="1">
      <c r="A107" s="99"/>
      <c r="B107" s="229"/>
      <c r="C107" s="229" t="s">
        <v>960</v>
      </c>
      <c r="D107" s="1119">
        <v>540760</v>
      </c>
      <c r="E107" s="1119"/>
      <c r="F107" s="1119">
        <v>35723</v>
      </c>
      <c r="G107" s="1119">
        <f>D107-E107+F107</f>
        <v>576483</v>
      </c>
      <c r="I107" s="148"/>
      <c r="K107" s="148"/>
    </row>
    <row r="108" spans="1:11" s="126" customFormat="1" ht="21" customHeight="1">
      <c r="A108" s="99"/>
      <c r="B108" s="168">
        <v>85203</v>
      </c>
      <c r="C108" s="168" t="s">
        <v>973</v>
      </c>
      <c r="D108" s="194">
        <v>3493866</v>
      </c>
      <c r="E108" s="194">
        <f>E109</f>
        <v>35723</v>
      </c>
      <c r="F108" s="194"/>
      <c r="G108" s="194">
        <f>D108-E108+F108</f>
        <v>3458143</v>
      </c>
      <c r="I108" s="148"/>
      <c r="K108" s="148"/>
    </row>
    <row r="109" spans="1:11" s="126" customFormat="1" ht="21" customHeight="1">
      <c r="A109" s="229"/>
      <c r="B109" s="229"/>
      <c r="C109" s="229" t="s">
        <v>960</v>
      </c>
      <c r="D109" s="1119">
        <v>825000</v>
      </c>
      <c r="E109" s="1119">
        <v>35723</v>
      </c>
      <c r="F109" s="1119"/>
      <c r="G109" s="1119">
        <f>D109-E109+F109</f>
        <v>789277</v>
      </c>
      <c r="I109" s="148"/>
      <c r="K109" s="148"/>
    </row>
    <row r="110" spans="1:11" s="13" customFormat="1" ht="21" customHeight="1">
      <c r="A110" s="192">
        <v>854</v>
      </c>
      <c r="B110" s="192"/>
      <c r="C110" s="192" t="s">
        <v>640</v>
      </c>
      <c r="D110" s="232">
        <v>34065847</v>
      </c>
      <c r="E110" s="232">
        <f>E111+E119+E126+E131+E137+E149+E143+E146</f>
        <v>123375</v>
      </c>
      <c r="F110" s="232">
        <f>F111+F119+F126+F131+F137+F149+F143+F146</f>
        <v>123375</v>
      </c>
      <c r="G110" s="232">
        <f aca="true" t="shared" si="8" ref="G110:G139">D110+F110-E110</f>
        <v>34065847</v>
      </c>
      <c r="I110" s="14"/>
      <c r="K110" s="14"/>
    </row>
    <row r="111" spans="1:11" s="13" customFormat="1" ht="21" customHeight="1">
      <c r="A111" s="99"/>
      <c r="B111" s="174">
        <v>85401</v>
      </c>
      <c r="C111" s="174" t="s">
        <v>641</v>
      </c>
      <c r="D111" s="233">
        <v>5361200</v>
      </c>
      <c r="E111" s="233">
        <f>E112+E114+E116</f>
        <v>9897</v>
      </c>
      <c r="F111" s="233">
        <f>F112+F114</f>
        <v>2310</v>
      </c>
      <c r="G111" s="233">
        <f t="shared" si="8"/>
        <v>5353613</v>
      </c>
      <c r="I111" s="14"/>
      <c r="K111" s="14"/>
    </row>
    <row r="112" spans="1:11" s="13" customFormat="1" ht="21" customHeight="1">
      <c r="A112" s="99"/>
      <c r="B112" s="99"/>
      <c r="C112" s="196" t="s">
        <v>492</v>
      </c>
      <c r="D112" s="197">
        <v>4222700</v>
      </c>
      <c r="E112" s="197"/>
      <c r="F112" s="197">
        <f>F113</f>
        <v>2310</v>
      </c>
      <c r="G112" s="197">
        <f t="shared" si="8"/>
        <v>4225010</v>
      </c>
      <c r="I112" s="14"/>
      <c r="K112" s="14"/>
    </row>
    <row r="113" spans="1:11" s="13" customFormat="1" ht="21" customHeight="1" hidden="1">
      <c r="A113" s="99"/>
      <c r="B113" s="99"/>
      <c r="C113" s="181" t="s">
        <v>896</v>
      </c>
      <c r="D113" s="204">
        <v>3894442</v>
      </c>
      <c r="E113" s="204"/>
      <c r="F113" s="204">
        <f>11200-8890</f>
        <v>2310</v>
      </c>
      <c r="G113" s="204">
        <f t="shared" si="8"/>
        <v>3896752</v>
      </c>
      <c r="I113" s="14"/>
      <c r="K113" s="14"/>
    </row>
    <row r="114" spans="1:11" s="13" customFormat="1" ht="21" customHeight="1">
      <c r="A114" s="99"/>
      <c r="B114" s="99"/>
      <c r="C114" s="324" t="s">
        <v>1176</v>
      </c>
      <c r="D114" s="237">
        <v>304900</v>
      </c>
      <c r="E114" s="237">
        <f>E115</f>
        <v>5504</v>
      </c>
      <c r="F114" s="237"/>
      <c r="G114" s="237">
        <f t="shared" si="8"/>
        <v>299396</v>
      </c>
      <c r="I114" s="14"/>
      <c r="K114" s="14"/>
    </row>
    <row r="115" spans="1:11" s="13" customFormat="1" ht="21" customHeight="1" hidden="1">
      <c r="A115" s="99"/>
      <c r="B115" s="99"/>
      <c r="C115" s="202" t="s">
        <v>1173</v>
      </c>
      <c r="D115" s="242">
        <v>15543</v>
      </c>
      <c r="E115" s="242">
        <v>5504</v>
      </c>
      <c r="F115" s="242"/>
      <c r="G115" s="242">
        <f t="shared" si="8"/>
        <v>10039</v>
      </c>
      <c r="I115" s="14"/>
      <c r="K115" s="14"/>
    </row>
    <row r="116" spans="1:11" s="13" customFormat="1" ht="21" customHeight="1">
      <c r="A116" s="229"/>
      <c r="B116" s="229"/>
      <c r="C116" s="1125" t="s">
        <v>553</v>
      </c>
      <c r="D116" s="1126">
        <v>833600</v>
      </c>
      <c r="E116" s="1126">
        <f>SUM(E117:E118)</f>
        <v>4393</v>
      </c>
      <c r="F116" s="1126"/>
      <c r="G116" s="1126">
        <f t="shared" si="8"/>
        <v>829207</v>
      </c>
      <c r="I116" s="14"/>
      <c r="K116" s="14"/>
    </row>
    <row r="117" spans="1:11" s="13" customFormat="1" ht="21" customHeight="1" hidden="1">
      <c r="A117" s="99"/>
      <c r="B117" s="99"/>
      <c r="C117" s="181" t="s">
        <v>1178</v>
      </c>
      <c r="D117" s="204">
        <v>728340</v>
      </c>
      <c r="E117" s="204">
        <v>4070</v>
      </c>
      <c r="F117" s="204"/>
      <c r="G117" s="204">
        <f t="shared" si="8"/>
        <v>724270</v>
      </c>
      <c r="I117" s="14"/>
      <c r="K117" s="14"/>
    </row>
    <row r="118" spans="1:11" s="13" customFormat="1" ht="21" customHeight="1" hidden="1">
      <c r="A118" s="99"/>
      <c r="B118" s="99"/>
      <c r="C118" s="205" t="s">
        <v>487</v>
      </c>
      <c r="D118" s="207">
        <v>105260</v>
      </c>
      <c r="E118" s="207">
        <v>323</v>
      </c>
      <c r="F118" s="207"/>
      <c r="G118" s="207">
        <f t="shared" si="8"/>
        <v>104937</v>
      </c>
      <c r="I118" s="14"/>
      <c r="K118" s="14"/>
    </row>
    <row r="119" spans="1:11" s="13" customFormat="1" ht="21" customHeight="1">
      <c r="A119" s="99"/>
      <c r="B119" s="174">
        <v>85403</v>
      </c>
      <c r="C119" s="168" t="s">
        <v>643</v>
      </c>
      <c r="D119" s="194">
        <v>7642992</v>
      </c>
      <c r="E119" s="194">
        <f>E120+E122+E124</f>
        <v>47992</v>
      </c>
      <c r="F119" s="194"/>
      <c r="G119" s="194">
        <f t="shared" si="8"/>
        <v>7595000</v>
      </c>
      <c r="I119" s="14"/>
      <c r="K119" s="14"/>
    </row>
    <row r="120" spans="1:11" s="13" customFormat="1" ht="21" customHeight="1">
      <c r="A120" s="99"/>
      <c r="B120" s="99"/>
      <c r="C120" s="196" t="s">
        <v>492</v>
      </c>
      <c r="D120" s="197">
        <v>4886992</v>
      </c>
      <c r="E120" s="197">
        <f>E121</f>
        <v>19992</v>
      </c>
      <c r="F120" s="197"/>
      <c r="G120" s="197">
        <f t="shared" si="8"/>
        <v>4867000</v>
      </c>
      <c r="I120" s="14"/>
      <c r="K120" s="14"/>
    </row>
    <row r="121" spans="1:11" s="13" customFormat="1" ht="21" customHeight="1" hidden="1">
      <c r="A121" s="202"/>
      <c r="B121" s="202"/>
      <c r="C121" s="181" t="s">
        <v>896</v>
      </c>
      <c r="D121" s="204">
        <v>4532860</v>
      </c>
      <c r="E121" s="204">
        <v>19992</v>
      </c>
      <c r="F121" s="204"/>
      <c r="G121" s="204">
        <f t="shared" si="8"/>
        <v>4512868</v>
      </c>
      <c r="I121" s="14"/>
      <c r="K121" s="14"/>
    </row>
    <row r="122" spans="1:11" s="13" customFormat="1" ht="21" customHeight="1">
      <c r="A122" s="99"/>
      <c r="B122" s="99"/>
      <c r="C122" s="324" t="s">
        <v>1176</v>
      </c>
      <c r="D122" s="237">
        <v>1119000</v>
      </c>
      <c r="E122" s="237">
        <f>40000-28000</f>
        <v>12000</v>
      </c>
      <c r="F122" s="237"/>
      <c r="G122" s="237">
        <f t="shared" si="8"/>
        <v>1107000</v>
      </c>
      <c r="I122" s="14"/>
      <c r="K122" s="14"/>
    </row>
    <row r="123" spans="1:11" s="13" customFormat="1" ht="21" customHeight="1">
      <c r="A123" s="202"/>
      <c r="B123" s="202"/>
      <c r="C123" s="957" t="s">
        <v>803</v>
      </c>
      <c r="D123" s="1124">
        <v>15000</v>
      </c>
      <c r="E123" s="1124"/>
      <c r="F123" s="1124">
        <v>28000</v>
      </c>
      <c r="G123" s="1124">
        <f t="shared" si="8"/>
        <v>43000</v>
      </c>
      <c r="I123" s="14"/>
      <c r="K123" s="14"/>
    </row>
    <row r="124" spans="1:11" s="13" customFormat="1" ht="21" customHeight="1">
      <c r="A124" s="202"/>
      <c r="B124" s="181"/>
      <c r="C124" s="229" t="s">
        <v>553</v>
      </c>
      <c r="D124" s="1119">
        <v>955000</v>
      </c>
      <c r="E124" s="1119">
        <f>E125</f>
        <v>16000</v>
      </c>
      <c r="F124" s="1119"/>
      <c r="G124" s="1119">
        <f t="shared" si="8"/>
        <v>939000</v>
      </c>
      <c r="I124" s="14"/>
      <c r="K124" s="14"/>
    </row>
    <row r="125" spans="1:11" s="13" customFormat="1" ht="21" customHeight="1" hidden="1">
      <c r="A125" s="202"/>
      <c r="B125" s="181"/>
      <c r="C125" s="181" t="s">
        <v>1178</v>
      </c>
      <c r="D125" s="204">
        <v>851000</v>
      </c>
      <c r="E125" s="204">
        <v>16000</v>
      </c>
      <c r="F125" s="204"/>
      <c r="G125" s="204">
        <f t="shared" si="8"/>
        <v>835000</v>
      </c>
      <c r="I125" s="14"/>
      <c r="K125" s="14"/>
    </row>
    <row r="126" spans="1:11" s="13" customFormat="1" ht="28.5" customHeight="1">
      <c r="A126" s="173"/>
      <c r="B126" s="254">
        <v>85406</v>
      </c>
      <c r="C126" s="208" t="s">
        <v>644</v>
      </c>
      <c r="D126" s="211">
        <v>4854094</v>
      </c>
      <c r="E126" s="211">
        <f>E127+E129</f>
        <v>15000</v>
      </c>
      <c r="F126" s="211">
        <f>F127+F129</f>
        <v>4000</v>
      </c>
      <c r="G126" s="211">
        <f t="shared" si="8"/>
        <v>4843094</v>
      </c>
      <c r="I126" s="14"/>
      <c r="K126" s="14"/>
    </row>
    <row r="127" spans="1:11" s="13" customFormat="1" ht="21" customHeight="1">
      <c r="A127" s="99"/>
      <c r="B127" s="99"/>
      <c r="C127" s="196" t="s">
        <v>492</v>
      </c>
      <c r="D127" s="197">
        <v>3639000</v>
      </c>
      <c r="E127" s="197">
        <f>E128</f>
        <v>15000</v>
      </c>
      <c r="F127" s="197"/>
      <c r="G127" s="197">
        <f t="shared" si="8"/>
        <v>3624000</v>
      </c>
      <c r="I127" s="14"/>
      <c r="K127" s="14"/>
    </row>
    <row r="128" spans="1:11" s="13" customFormat="1" ht="21" customHeight="1" hidden="1">
      <c r="A128" s="202"/>
      <c r="B128" s="202"/>
      <c r="C128" s="181" t="s">
        <v>896</v>
      </c>
      <c r="D128" s="204">
        <v>3386283</v>
      </c>
      <c r="E128" s="204">
        <v>15000</v>
      </c>
      <c r="F128" s="204"/>
      <c r="G128" s="204">
        <f t="shared" si="8"/>
        <v>3371283</v>
      </c>
      <c r="I128" s="14"/>
      <c r="K128" s="14"/>
    </row>
    <row r="129" spans="1:11" s="13" customFormat="1" ht="21" customHeight="1">
      <c r="A129" s="99"/>
      <c r="B129" s="229"/>
      <c r="C129" s="229" t="s">
        <v>1176</v>
      </c>
      <c r="D129" s="1119">
        <v>513094</v>
      </c>
      <c r="E129" s="1119"/>
      <c r="F129" s="1119">
        <f>SUM(F130:F130)</f>
        <v>4000</v>
      </c>
      <c r="G129" s="1119">
        <f t="shared" si="8"/>
        <v>517094</v>
      </c>
      <c r="I129" s="14"/>
      <c r="K129" s="14"/>
    </row>
    <row r="130" spans="1:11" s="13" customFormat="1" ht="21" customHeight="1" hidden="1">
      <c r="A130" s="202"/>
      <c r="B130" s="202"/>
      <c r="C130" s="181" t="s">
        <v>1173</v>
      </c>
      <c r="D130" s="204">
        <v>125998</v>
      </c>
      <c r="E130" s="204"/>
      <c r="F130" s="204">
        <v>4000</v>
      </c>
      <c r="G130" s="204">
        <f t="shared" si="8"/>
        <v>129998</v>
      </c>
      <c r="I130" s="14"/>
      <c r="K130" s="14"/>
    </row>
    <row r="131" spans="1:11" s="13" customFormat="1" ht="21" customHeight="1">
      <c r="A131" s="173"/>
      <c r="B131" s="174">
        <v>85407</v>
      </c>
      <c r="C131" s="168" t="s">
        <v>645</v>
      </c>
      <c r="D131" s="194">
        <v>2101250</v>
      </c>
      <c r="E131" s="194">
        <f>E132+E134</f>
        <v>18250</v>
      </c>
      <c r="F131" s="194"/>
      <c r="G131" s="194">
        <f t="shared" si="8"/>
        <v>2083000</v>
      </c>
      <c r="I131" s="14"/>
      <c r="K131" s="14"/>
    </row>
    <row r="132" spans="1:11" s="13" customFormat="1" ht="21" customHeight="1">
      <c r="A132" s="99"/>
      <c r="B132" s="99"/>
      <c r="C132" s="196" t="s">
        <v>492</v>
      </c>
      <c r="D132" s="197">
        <v>1491950</v>
      </c>
      <c r="E132" s="197">
        <f>E133</f>
        <v>10950</v>
      </c>
      <c r="F132" s="197"/>
      <c r="G132" s="197">
        <f t="shared" si="8"/>
        <v>1481000</v>
      </c>
      <c r="I132" s="14"/>
      <c r="K132" s="14"/>
    </row>
    <row r="133" spans="1:11" s="13" customFormat="1" ht="21" customHeight="1" hidden="1">
      <c r="A133" s="202"/>
      <c r="B133" s="202"/>
      <c r="C133" s="202" t="s">
        <v>896</v>
      </c>
      <c r="D133" s="242">
        <v>1383420</v>
      </c>
      <c r="E133" s="242">
        <v>10950</v>
      </c>
      <c r="F133" s="242"/>
      <c r="G133" s="242">
        <f t="shared" si="8"/>
        <v>1372470</v>
      </c>
      <c r="I133" s="14"/>
      <c r="K133" s="14"/>
    </row>
    <row r="134" spans="1:11" s="142" customFormat="1" ht="21" customHeight="1">
      <c r="A134" s="202"/>
      <c r="B134" s="181"/>
      <c r="C134" s="1125" t="s">
        <v>1176</v>
      </c>
      <c r="D134" s="1126">
        <v>317300</v>
      </c>
      <c r="E134" s="1126">
        <f>12300-5000</f>
        <v>7300</v>
      </c>
      <c r="F134" s="1126"/>
      <c r="G134" s="1126">
        <f t="shared" si="8"/>
        <v>310000</v>
      </c>
      <c r="I134" s="147"/>
      <c r="K134" s="147"/>
    </row>
    <row r="135" spans="1:11" s="126" customFormat="1" ht="21" customHeight="1" hidden="1">
      <c r="A135" s="198"/>
      <c r="B135" s="202"/>
      <c r="C135" s="181" t="s">
        <v>1177</v>
      </c>
      <c r="D135" s="204">
        <v>97300</v>
      </c>
      <c r="E135" s="204">
        <v>12300</v>
      </c>
      <c r="F135" s="204"/>
      <c r="G135" s="204">
        <f t="shared" si="8"/>
        <v>85000</v>
      </c>
      <c r="I135" s="148"/>
      <c r="K135" s="148"/>
    </row>
    <row r="136" spans="1:11" s="126" customFormat="1" ht="21" customHeight="1" hidden="1">
      <c r="A136" s="198"/>
      <c r="B136" s="181"/>
      <c r="C136" s="205" t="s">
        <v>1173</v>
      </c>
      <c r="D136" s="207">
        <v>59000</v>
      </c>
      <c r="E136" s="207"/>
      <c r="F136" s="207">
        <v>5000</v>
      </c>
      <c r="G136" s="194">
        <f t="shared" si="8"/>
        <v>64000</v>
      </c>
      <c r="I136" s="148"/>
      <c r="K136" s="148"/>
    </row>
    <row r="137" spans="1:11" s="13" customFormat="1" ht="21" customHeight="1">
      <c r="A137" s="173"/>
      <c r="B137" s="168">
        <v>85410</v>
      </c>
      <c r="C137" s="168" t="s">
        <v>646</v>
      </c>
      <c r="D137" s="194">
        <v>6471139</v>
      </c>
      <c r="E137" s="194">
        <f>E138+E140</f>
        <v>22606</v>
      </c>
      <c r="F137" s="194"/>
      <c r="G137" s="194">
        <f t="shared" si="8"/>
        <v>6448533</v>
      </c>
      <c r="I137" s="14"/>
      <c r="K137" s="14"/>
    </row>
    <row r="138" spans="1:11" s="13" customFormat="1" ht="21" customHeight="1">
      <c r="A138" s="99"/>
      <c r="B138" s="99"/>
      <c r="C138" s="196" t="s">
        <v>492</v>
      </c>
      <c r="D138" s="197">
        <v>3878500</v>
      </c>
      <c r="E138" s="197">
        <f>E139</f>
        <v>14600</v>
      </c>
      <c r="F138" s="197"/>
      <c r="G138" s="197">
        <f t="shared" si="8"/>
        <v>3863900</v>
      </c>
      <c r="I138" s="14"/>
      <c r="K138" s="14"/>
    </row>
    <row r="139" spans="1:11" s="13" customFormat="1" ht="21" customHeight="1" hidden="1">
      <c r="A139" s="202"/>
      <c r="B139" s="202"/>
      <c r="C139" s="181" t="s">
        <v>896</v>
      </c>
      <c r="D139" s="204">
        <v>3589272</v>
      </c>
      <c r="E139" s="204">
        <v>14600</v>
      </c>
      <c r="F139" s="204"/>
      <c r="G139" s="204">
        <f t="shared" si="8"/>
        <v>3574672</v>
      </c>
      <c r="I139" s="14"/>
      <c r="K139" s="14"/>
    </row>
    <row r="140" spans="1:11" s="13" customFormat="1" ht="21" customHeight="1">
      <c r="A140" s="99"/>
      <c r="B140" s="99"/>
      <c r="C140" s="324" t="s">
        <v>1176</v>
      </c>
      <c r="D140" s="237">
        <v>1303606</v>
      </c>
      <c r="E140" s="237">
        <f>SUM(E141:E142)</f>
        <v>8006</v>
      </c>
      <c r="F140" s="237"/>
      <c r="G140" s="237">
        <f aca="true" t="shared" si="9" ref="G140:G167">D140+F140-E140</f>
        <v>1295600</v>
      </c>
      <c r="I140" s="14"/>
      <c r="K140" s="14"/>
    </row>
    <row r="141" spans="1:11" s="13" customFormat="1" ht="21" customHeight="1" hidden="1">
      <c r="A141" s="202"/>
      <c r="B141" s="202"/>
      <c r="C141" s="181" t="s">
        <v>1177</v>
      </c>
      <c r="D141" s="204">
        <v>709586</v>
      </c>
      <c r="E141" s="204">
        <f>-22000+28606</f>
        <v>6606</v>
      </c>
      <c r="F141" s="204"/>
      <c r="G141" s="204">
        <f t="shared" si="9"/>
        <v>702980</v>
      </c>
      <c r="I141" s="14"/>
      <c r="K141" s="14"/>
    </row>
    <row r="142" spans="1:11" s="13" customFormat="1" ht="21" customHeight="1" hidden="1">
      <c r="A142" s="202"/>
      <c r="B142" s="202"/>
      <c r="C142" s="202" t="s">
        <v>630</v>
      </c>
      <c r="D142" s="242">
        <v>216460</v>
      </c>
      <c r="E142" s="242">
        <v>1400</v>
      </c>
      <c r="F142" s="242"/>
      <c r="G142" s="242">
        <f t="shared" si="9"/>
        <v>215060</v>
      </c>
      <c r="I142" s="14"/>
      <c r="K142" s="14"/>
    </row>
    <row r="143" spans="1:11" s="13" customFormat="1" ht="21" customHeight="1">
      <c r="A143" s="202"/>
      <c r="B143" s="174">
        <v>85415</v>
      </c>
      <c r="C143" s="174" t="s">
        <v>1179</v>
      </c>
      <c r="D143" s="233">
        <v>1207914</v>
      </c>
      <c r="E143" s="233"/>
      <c r="F143" s="233">
        <f>F144</f>
        <v>27589</v>
      </c>
      <c r="G143" s="233">
        <f t="shared" si="9"/>
        <v>1235503</v>
      </c>
      <c r="I143" s="14"/>
      <c r="K143" s="14"/>
    </row>
    <row r="144" spans="1:11" s="13" customFormat="1" ht="21" customHeight="1">
      <c r="A144" s="202"/>
      <c r="B144" s="202"/>
      <c r="C144" s="196" t="s">
        <v>554</v>
      </c>
      <c r="D144" s="197">
        <v>310000</v>
      </c>
      <c r="E144" s="197"/>
      <c r="F144" s="197">
        <f>F145</f>
        <v>27589</v>
      </c>
      <c r="G144" s="197">
        <f t="shared" si="9"/>
        <v>337589</v>
      </c>
      <c r="I144" s="14"/>
      <c r="K144" s="14"/>
    </row>
    <row r="145" spans="1:11" s="13" customFormat="1" ht="21" customHeight="1" hidden="1">
      <c r="A145" s="202"/>
      <c r="B145" s="202"/>
      <c r="C145" s="202" t="s">
        <v>1181</v>
      </c>
      <c r="D145" s="242">
        <v>177000</v>
      </c>
      <c r="E145" s="242"/>
      <c r="F145" s="242">
        <f>90141-62552</f>
        <v>27589</v>
      </c>
      <c r="G145" s="242">
        <f t="shared" si="9"/>
        <v>204589</v>
      </c>
      <c r="I145" s="14"/>
      <c r="K145" s="14"/>
    </row>
    <row r="146" spans="1:11" s="13" customFormat="1" ht="21" customHeight="1">
      <c r="A146" s="202"/>
      <c r="B146" s="174">
        <v>85417</v>
      </c>
      <c r="C146" s="174" t="s">
        <v>1484</v>
      </c>
      <c r="D146" s="233">
        <v>244000</v>
      </c>
      <c r="E146" s="233"/>
      <c r="F146" s="233">
        <f>F147</f>
        <v>4000</v>
      </c>
      <c r="G146" s="233">
        <f t="shared" si="9"/>
        <v>248000</v>
      </c>
      <c r="I146" s="14"/>
      <c r="K146" s="14"/>
    </row>
    <row r="147" spans="1:11" s="13" customFormat="1" ht="21" customHeight="1">
      <c r="A147" s="202"/>
      <c r="B147" s="202"/>
      <c r="C147" s="196" t="s">
        <v>1176</v>
      </c>
      <c r="D147" s="197">
        <v>56000</v>
      </c>
      <c r="E147" s="197"/>
      <c r="F147" s="197">
        <f>F148</f>
        <v>4000</v>
      </c>
      <c r="G147" s="197">
        <f t="shared" si="9"/>
        <v>60000</v>
      </c>
      <c r="I147" s="14"/>
      <c r="K147" s="14"/>
    </row>
    <row r="148" spans="1:11" s="13" customFormat="1" ht="21" customHeight="1" hidden="1">
      <c r="A148" s="202"/>
      <c r="B148" s="202"/>
      <c r="C148" s="181" t="s">
        <v>1177</v>
      </c>
      <c r="D148" s="204">
        <v>19400</v>
      </c>
      <c r="E148" s="204"/>
      <c r="F148" s="204">
        <v>4000</v>
      </c>
      <c r="G148" s="242">
        <f t="shared" si="9"/>
        <v>23400</v>
      </c>
      <c r="I148" s="14"/>
      <c r="K148" s="14"/>
    </row>
    <row r="149" spans="1:11" s="13" customFormat="1" ht="21" customHeight="1">
      <c r="A149" s="173"/>
      <c r="B149" s="174">
        <v>85495</v>
      </c>
      <c r="C149" s="174" t="s">
        <v>488</v>
      </c>
      <c r="D149" s="233">
        <v>5369258</v>
      </c>
      <c r="E149" s="233">
        <f>E150</f>
        <v>9630</v>
      </c>
      <c r="F149" s="233">
        <f>F150</f>
        <v>85476</v>
      </c>
      <c r="G149" s="233">
        <f t="shared" si="9"/>
        <v>5445104</v>
      </c>
      <c r="I149" s="14"/>
      <c r="K149" s="14"/>
    </row>
    <row r="150" spans="1:11" s="13" customFormat="1" ht="21" customHeight="1">
      <c r="A150" s="99"/>
      <c r="B150" s="99"/>
      <c r="C150" s="915" t="s">
        <v>1009</v>
      </c>
      <c r="D150" s="916">
        <v>5181250</v>
      </c>
      <c r="E150" s="916">
        <f>E151+E153+E158</f>
        <v>9630</v>
      </c>
      <c r="F150" s="916">
        <f>F151+F153+F158</f>
        <v>85476</v>
      </c>
      <c r="G150" s="916">
        <f t="shared" si="9"/>
        <v>5257096</v>
      </c>
      <c r="I150" s="14"/>
      <c r="K150" s="14"/>
    </row>
    <row r="151" spans="1:11" s="13" customFormat="1" ht="21" customHeight="1">
      <c r="A151" s="99"/>
      <c r="B151" s="99"/>
      <c r="C151" s="917" t="s">
        <v>492</v>
      </c>
      <c r="D151" s="918">
        <v>3230350</v>
      </c>
      <c r="E151" s="918"/>
      <c r="F151" s="918">
        <f>F152</f>
        <v>58223</v>
      </c>
      <c r="G151" s="918">
        <f t="shared" si="9"/>
        <v>3288573</v>
      </c>
      <c r="I151" s="14"/>
      <c r="K151" s="14"/>
    </row>
    <row r="152" spans="1:11" s="13" customFormat="1" ht="21" customHeight="1" hidden="1">
      <c r="A152" s="99"/>
      <c r="B152" s="99"/>
      <c r="C152" s="202" t="s">
        <v>896</v>
      </c>
      <c r="D152" s="242">
        <v>2966551</v>
      </c>
      <c r="E152" s="242"/>
      <c r="F152" s="242">
        <f>73942-15719</f>
        <v>58223</v>
      </c>
      <c r="G152" s="242">
        <f t="shared" si="9"/>
        <v>3024774</v>
      </c>
      <c r="I152" s="14"/>
      <c r="K152" s="14"/>
    </row>
    <row r="153" spans="1:11" s="13" customFormat="1" ht="21" customHeight="1">
      <c r="A153" s="99"/>
      <c r="B153" s="99"/>
      <c r="C153" s="310" t="s">
        <v>1176</v>
      </c>
      <c r="D153" s="307">
        <v>1352586</v>
      </c>
      <c r="E153" s="307">
        <f>SUM(E154:E157)</f>
        <v>9630</v>
      </c>
      <c r="F153" s="307"/>
      <c r="G153" s="307">
        <f t="shared" si="9"/>
        <v>1342956</v>
      </c>
      <c r="I153" s="14"/>
      <c r="K153" s="14"/>
    </row>
    <row r="154" spans="1:11" s="13" customFormat="1" ht="21" customHeight="1" hidden="1">
      <c r="A154" s="99"/>
      <c r="B154" s="99"/>
      <c r="C154" s="181" t="s">
        <v>489</v>
      </c>
      <c r="D154" s="204">
        <v>33551</v>
      </c>
      <c r="E154" s="204">
        <v>1000</v>
      </c>
      <c r="F154" s="204"/>
      <c r="G154" s="204">
        <f t="shared" si="9"/>
        <v>32551</v>
      </c>
      <c r="I154" s="14"/>
      <c r="K154" s="14"/>
    </row>
    <row r="155" spans="1:11" s="13" customFormat="1" ht="21" customHeight="1" hidden="1">
      <c r="A155" s="99"/>
      <c r="B155" s="99"/>
      <c r="C155" s="205" t="s">
        <v>1174</v>
      </c>
      <c r="D155" s="207">
        <v>193310</v>
      </c>
      <c r="E155" s="207">
        <v>4000</v>
      </c>
      <c r="F155" s="207"/>
      <c r="G155" s="207">
        <f t="shared" si="9"/>
        <v>189310</v>
      </c>
      <c r="I155" s="14"/>
      <c r="K155" s="14"/>
    </row>
    <row r="156" spans="1:11" s="13" customFormat="1" ht="24.75" customHeight="1" hidden="1">
      <c r="A156" s="202"/>
      <c r="B156" s="202"/>
      <c r="C156" s="203" t="s">
        <v>1173</v>
      </c>
      <c r="D156" s="220">
        <v>129333</v>
      </c>
      <c r="E156" s="220">
        <v>4000</v>
      </c>
      <c r="F156" s="220"/>
      <c r="G156" s="220">
        <f t="shared" si="9"/>
        <v>125333</v>
      </c>
      <c r="I156" s="14"/>
      <c r="K156" s="14"/>
    </row>
    <row r="157" spans="1:11" s="13" customFormat="1" ht="21" customHeight="1" hidden="1">
      <c r="A157" s="99"/>
      <c r="B157" s="99"/>
      <c r="C157" s="205" t="s">
        <v>630</v>
      </c>
      <c r="D157" s="207">
        <v>158851</v>
      </c>
      <c r="E157" s="207">
        <v>630</v>
      </c>
      <c r="F157" s="207"/>
      <c r="G157" s="207">
        <f t="shared" si="9"/>
        <v>158221</v>
      </c>
      <c r="I157" s="14"/>
      <c r="K157" s="14"/>
    </row>
    <row r="158" spans="1:11" s="13" customFormat="1" ht="21" customHeight="1">
      <c r="A158" s="229"/>
      <c r="B158" s="229"/>
      <c r="C158" s="229" t="s">
        <v>553</v>
      </c>
      <c r="D158" s="1119">
        <v>598314</v>
      </c>
      <c r="E158" s="1119"/>
      <c r="F158" s="1119">
        <f>SUM(F159:F160)</f>
        <v>27253</v>
      </c>
      <c r="G158" s="1119">
        <f t="shared" si="9"/>
        <v>625567</v>
      </c>
      <c r="I158" s="14"/>
      <c r="K158" s="14"/>
    </row>
    <row r="159" spans="1:11" s="13" customFormat="1" ht="21" customHeight="1" hidden="1">
      <c r="A159" s="202"/>
      <c r="B159" s="202"/>
      <c r="C159" s="181" t="s">
        <v>1178</v>
      </c>
      <c r="D159" s="204">
        <v>513390</v>
      </c>
      <c r="E159" s="204"/>
      <c r="F159" s="204">
        <f>26690-990</f>
        <v>25700</v>
      </c>
      <c r="G159" s="204">
        <f t="shared" si="9"/>
        <v>539090</v>
      </c>
      <c r="I159" s="14"/>
      <c r="K159" s="14"/>
    </row>
    <row r="160" spans="1:11" s="13" customFormat="1" ht="21" customHeight="1" hidden="1">
      <c r="A160" s="181"/>
      <c r="B160" s="181"/>
      <c r="C160" s="205" t="s">
        <v>487</v>
      </c>
      <c r="D160" s="207">
        <v>84924</v>
      </c>
      <c r="E160" s="207"/>
      <c r="F160" s="207">
        <f>1933-380</f>
        <v>1553</v>
      </c>
      <c r="G160" s="207">
        <f t="shared" si="9"/>
        <v>86477</v>
      </c>
      <c r="I160" s="14"/>
      <c r="K160" s="14"/>
    </row>
    <row r="161" spans="1:11" ht="21" customHeight="1">
      <c r="A161" s="192">
        <v>900</v>
      </c>
      <c r="B161" s="192"/>
      <c r="C161" s="192" t="s">
        <v>1128</v>
      </c>
      <c r="D161" s="232">
        <v>44679866</v>
      </c>
      <c r="E161" s="232">
        <f>E162+E166+E171</f>
        <v>500000</v>
      </c>
      <c r="F161" s="232">
        <f>F162+F166+F171</f>
        <v>500000</v>
      </c>
      <c r="G161" s="232">
        <f t="shared" si="9"/>
        <v>44679866</v>
      </c>
      <c r="I161" s="8"/>
      <c r="K161" s="8"/>
    </row>
    <row r="162" spans="1:11" ht="21" customHeight="1">
      <c r="A162" s="173"/>
      <c r="B162" s="174">
        <v>90001</v>
      </c>
      <c r="C162" s="174" t="s">
        <v>1129</v>
      </c>
      <c r="D162" s="233">
        <v>7332000</v>
      </c>
      <c r="E162" s="233"/>
      <c r="F162" s="233">
        <f>F163</f>
        <v>100000</v>
      </c>
      <c r="G162" s="233">
        <f t="shared" si="9"/>
        <v>7432000</v>
      </c>
      <c r="I162" s="8"/>
      <c r="K162" s="8"/>
    </row>
    <row r="163" spans="1:11" ht="21" customHeight="1">
      <c r="A163" s="99"/>
      <c r="B163" s="99"/>
      <c r="C163" s="196" t="s">
        <v>960</v>
      </c>
      <c r="D163" s="197">
        <v>4862000</v>
      </c>
      <c r="E163" s="197"/>
      <c r="F163" s="197">
        <f>F165</f>
        <v>100000</v>
      </c>
      <c r="G163" s="197">
        <f t="shared" si="9"/>
        <v>4962000</v>
      </c>
      <c r="I163" s="8"/>
      <c r="K163" s="8"/>
    </row>
    <row r="164" spans="1:11" s="13" customFormat="1" ht="21" customHeight="1" hidden="1">
      <c r="A164" s="202"/>
      <c r="B164" s="202"/>
      <c r="C164" s="387" t="s">
        <v>1488</v>
      </c>
      <c r="D164" s="387">
        <v>182000</v>
      </c>
      <c r="E164" s="387"/>
      <c r="F164" s="387">
        <v>100000</v>
      </c>
      <c r="G164" s="387">
        <f t="shared" si="9"/>
        <v>282000</v>
      </c>
      <c r="I164" s="14"/>
      <c r="K164" s="14"/>
    </row>
    <row r="165" spans="1:11" s="13" customFormat="1" ht="21" customHeight="1" hidden="1">
      <c r="A165" s="202"/>
      <c r="B165" s="202"/>
      <c r="C165" s="202" t="s">
        <v>1124</v>
      </c>
      <c r="D165" s="242">
        <v>4862000</v>
      </c>
      <c r="E165" s="242"/>
      <c r="F165" s="242">
        <f>F164</f>
        <v>100000</v>
      </c>
      <c r="G165" s="242">
        <f t="shared" si="9"/>
        <v>4962000</v>
      </c>
      <c r="I165" s="14"/>
      <c r="K165" s="14"/>
    </row>
    <row r="166" spans="1:11" ht="21" customHeight="1">
      <c r="A166" s="173"/>
      <c r="B166" s="174">
        <v>90002</v>
      </c>
      <c r="C166" s="174" t="s">
        <v>1130</v>
      </c>
      <c r="D166" s="233">
        <v>7125000</v>
      </c>
      <c r="E166" s="233">
        <f>E167</f>
        <v>500000</v>
      </c>
      <c r="F166" s="233"/>
      <c r="G166" s="233">
        <f t="shared" si="9"/>
        <v>6625000</v>
      </c>
      <c r="I166" s="8"/>
      <c r="K166" s="8"/>
    </row>
    <row r="167" spans="1:11" ht="21" customHeight="1">
      <c r="A167" s="229"/>
      <c r="B167" s="193"/>
      <c r="C167" s="193" t="s">
        <v>960</v>
      </c>
      <c r="D167" s="1020">
        <v>1225000</v>
      </c>
      <c r="E167" s="1020">
        <f>E170</f>
        <v>500000</v>
      </c>
      <c r="F167" s="1020"/>
      <c r="G167" s="1020">
        <f t="shared" si="9"/>
        <v>725000</v>
      </c>
      <c r="I167" s="8"/>
      <c r="K167" s="8"/>
    </row>
    <row r="168" spans="1:11" ht="21" customHeight="1" hidden="1">
      <c r="A168" s="99"/>
      <c r="B168" s="99"/>
      <c r="C168" s="1127" t="s">
        <v>1489</v>
      </c>
      <c r="D168" s="1128">
        <v>1005000</v>
      </c>
      <c r="E168" s="1128">
        <v>400000</v>
      </c>
      <c r="F168" s="1128"/>
      <c r="G168" s="1128">
        <f>D168-E168+F168</f>
        <v>605000</v>
      </c>
      <c r="I168" s="8"/>
      <c r="K168" s="8"/>
    </row>
    <row r="169" spans="1:11" s="13" customFormat="1" ht="28.5" customHeight="1" hidden="1">
      <c r="A169" s="202"/>
      <c r="B169" s="202"/>
      <c r="C169" s="940" t="s">
        <v>1131</v>
      </c>
      <c r="D169" s="940">
        <v>220000</v>
      </c>
      <c r="E169" s="940">
        <v>100000</v>
      </c>
      <c r="F169" s="940"/>
      <c r="G169" s="940">
        <f aca="true" t="shared" si="10" ref="G169:G174">D169+F169-E169</f>
        <v>120000</v>
      </c>
      <c r="I169" s="14"/>
      <c r="K169" s="14"/>
    </row>
    <row r="170" spans="1:11" s="13" customFormat="1" ht="21" customHeight="1" hidden="1">
      <c r="A170" s="202"/>
      <c r="B170" s="181"/>
      <c r="C170" s="941" t="s">
        <v>1124</v>
      </c>
      <c r="D170" s="942"/>
      <c r="E170" s="942">
        <f>SUM(E168:E169)</f>
        <v>500000</v>
      </c>
      <c r="F170" s="942"/>
      <c r="G170" s="942">
        <f t="shared" si="10"/>
        <v>-500000</v>
      </c>
      <c r="I170" s="14"/>
      <c r="K170" s="14"/>
    </row>
    <row r="171" spans="1:11" s="13" customFormat="1" ht="21" customHeight="1">
      <c r="A171" s="173"/>
      <c r="B171" s="168">
        <v>90095</v>
      </c>
      <c r="C171" s="168" t="s">
        <v>488</v>
      </c>
      <c r="D171" s="194">
        <v>10109277</v>
      </c>
      <c r="E171" s="194"/>
      <c r="F171" s="194">
        <f>F172</f>
        <v>400000</v>
      </c>
      <c r="G171" s="194">
        <f t="shared" si="10"/>
        <v>10509277</v>
      </c>
      <c r="I171" s="14"/>
      <c r="K171" s="14"/>
    </row>
    <row r="172" spans="1:11" s="13" customFormat="1" ht="21" customHeight="1">
      <c r="A172" s="99"/>
      <c r="B172" s="99"/>
      <c r="C172" s="324" t="s">
        <v>960</v>
      </c>
      <c r="D172" s="237">
        <v>1039277</v>
      </c>
      <c r="E172" s="237"/>
      <c r="F172" s="237">
        <f>F173</f>
        <v>400000</v>
      </c>
      <c r="G172" s="237">
        <f t="shared" si="10"/>
        <v>1439277</v>
      </c>
      <c r="I172" s="14"/>
      <c r="K172" s="14"/>
    </row>
    <row r="173" spans="1:11" s="13" customFormat="1" ht="27" customHeight="1" hidden="1">
      <c r="A173" s="202"/>
      <c r="B173" s="202"/>
      <c r="C173" s="386" t="s">
        <v>1490</v>
      </c>
      <c r="D173" s="285">
        <v>2230000</v>
      </c>
      <c r="E173" s="285"/>
      <c r="F173" s="285">
        <v>400000</v>
      </c>
      <c r="G173" s="285">
        <f t="shared" si="10"/>
        <v>2630000</v>
      </c>
      <c r="I173" s="14"/>
      <c r="K173" s="14"/>
    </row>
    <row r="174" spans="1:11" s="13" customFormat="1" ht="18" customHeight="1" hidden="1">
      <c r="A174" s="99"/>
      <c r="B174" s="99"/>
      <c r="C174" s="202" t="s">
        <v>1124</v>
      </c>
      <c r="D174" s="242">
        <v>10039277</v>
      </c>
      <c r="E174" s="242"/>
      <c r="F174" s="242">
        <f>F173</f>
        <v>400000</v>
      </c>
      <c r="G174" s="242">
        <f t="shared" si="10"/>
        <v>10439277</v>
      </c>
      <c r="I174" s="14"/>
      <c r="K174" s="14"/>
    </row>
    <row r="175" spans="1:11" s="13" customFormat="1" ht="19.5" customHeight="1">
      <c r="A175" s="170">
        <v>921</v>
      </c>
      <c r="B175" s="170"/>
      <c r="C175" s="170" t="s">
        <v>1443</v>
      </c>
      <c r="D175" s="297">
        <v>12570000</v>
      </c>
      <c r="E175" s="297">
        <f>E176</f>
        <v>3000</v>
      </c>
      <c r="F175" s="297">
        <f>F176</f>
        <v>3000</v>
      </c>
      <c r="G175" s="297">
        <f>D175-E175+F175</f>
        <v>12570000</v>
      </c>
      <c r="I175" s="14"/>
      <c r="K175" s="14"/>
    </row>
    <row r="176" spans="1:11" s="13" customFormat="1" ht="19.5" customHeight="1">
      <c r="A176" s="99"/>
      <c r="B176" s="174">
        <v>92105</v>
      </c>
      <c r="C176" s="174" t="s">
        <v>1492</v>
      </c>
      <c r="D176" s="233">
        <v>810000</v>
      </c>
      <c r="E176" s="233">
        <f>E177</f>
        <v>3000</v>
      </c>
      <c r="F176" s="233">
        <f>F177+F179</f>
        <v>3000</v>
      </c>
      <c r="G176" s="194">
        <f>D176+F176-E176</f>
        <v>810000</v>
      </c>
      <c r="I176" s="14"/>
      <c r="K176" s="14"/>
    </row>
    <row r="177" spans="1:11" s="13" customFormat="1" ht="29.25" customHeight="1">
      <c r="A177" s="99"/>
      <c r="B177" s="99"/>
      <c r="C177" s="1273" t="s">
        <v>809</v>
      </c>
      <c r="D177" s="1274">
        <v>750000</v>
      </c>
      <c r="E177" s="1274">
        <v>3000</v>
      </c>
      <c r="F177" s="1274"/>
      <c r="G177" s="1274">
        <f>D177+F177-E177</f>
        <v>747000</v>
      </c>
      <c r="I177" s="14"/>
      <c r="K177" s="14"/>
    </row>
    <row r="178" spans="1:11" s="13" customFormat="1" ht="19.5" customHeight="1" hidden="1">
      <c r="A178" s="99"/>
      <c r="B178" s="99"/>
      <c r="C178" s="202" t="s">
        <v>1173</v>
      </c>
      <c r="D178" s="242">
        <v>16000</v>
      </c>
      <c r="E178" s="242">
        <v>3000</v>
      </c>
      <c r="F178" s="242"/>
      <c r="G178" s="242">
        <f>D178-E178+F178</f>
        <v>13000</v>
      </c>
      <c r="I178" s="14"/>
      <c r="K178" s="14"/>
    </row>
    <row r="179" spans="1:11" s="13" customFormat="1" ht="19.5" customHeight="1">
      <c r="A179" s="99"/>
      <c r="B179" s="99"/>
      <c r="C179" s="1120" t="s">
        <v>1495</v>
      </c>
      <c r="D179" s="1121">
        <v>30000</v>
      </c>
      <c r="E179" s="1121"/>
      <c r="F179" s="1121">
        <f>F180</f>
        <v>3000</v>
      </c>
      <c r="G179" s="1121">
        <f>D179-E179+F179</f>
        <v>33000</v>
      </c>
      <c r="I179" s="14"/>
      <c r="K179" s="14"/>
    </row>
    <row r="180" spans="1:11" s="13" customFormat="1" ht="19.5" customHeight="1" hidden="1">
      <c r="A180" s="99"/>
      <c r="B180" s="99"/>
      <c r="C180" s="181" t="s">
        <v>1181</v>
      </c>
      <c r="D180" s="204">
        <v>30000</v>
      </c>
      <c r="E180" s="204"/>
      <c r="F180" s="204">
        <v>3000</v>
      </c>
      <c r="G180" s="204">
        <f>D180-E180+F180</f>
        <v>33000</v>
      </c>
      <c r="I180" s="14"/>
      <c r="K180" s="14"/>
    </row>
    <row r="181" spans="1:7" ht="29.25" customHeight="1" thickBot="1">
      <c r="A181" s="99"/>
      <c r="B181" s="99"/>
      <c r="C181" s="1097" t="s">
        <v>549</v>
      </c>
      <c r="D181" s="1098">
        <v>154159</v>
      </c>
      <c r="E181" s="1098"/>
      <c r="F181" s="1098"/>
      <c r="G181" s="1098">
        <f aca="true" t="shared" si="11" ref="G181:G196">D181+F181-E181</f>
        <v>154159</v>
      </c>
    </row>
    <row r="182" spans="1:7" ht="22.5" customHeight="1" thickBot="1">
      <c r="A182" s="379"/>
      <c r="B182" s="403"/>
      <c r="C182" s="1099" t="s">
        <v>923</v>
      </c>
      <c r="D182" s="1100">
        <v>63920852</v>
      </c>
      <c r="E182" s="1100">
        <f>E183+E196</f>
        <v>6524</v>
      </c>
      <c r="F182" s="1100">
        <f>F183+F196</f>
        <v>1032329</v>
      </c>
      <c r="G182" s="1100">
        <f t="shared" si="11"/>
        <v>64946657</v>
      </c>
    </row>
    <row r="183" spans="1:8" s="19" customFormat="1" ht="18.75" customHeight="1" thickBot="1">
      <c r="A183" s="229"/>
      <c r="B183" s="229"/>
      <c r="C183" s="308" t="s">
        <v>493</v>
      </c>
      <c r="D183" s="309">
        <v>44242538</v>
      </c>
      <c r="E183" s="309">
        <f>E184</f>
        <v>5509</v>
      </c>
      <c r="F183" s="309">
        <f>F184+F190</f>
        <v>1005509</v>
      </c>
      <c r="G183" s="309">
        <f t="shared" si="11"/>
        <v>45242538</v>
      </c>
      <c r="H183" s="18"/>
    </row>
    <row r="184" spans="1:8" s="19" customFormat="1" ht="19.5" customHeight="1" thickTop="1">
      <c r="A184" s="191">
        <v>750</v>
      </c>
      <c r="B184" s="192"/>
      <c r="C184" s="171" t="s">
        <v>1175</v>
      </c>
      <c r="D184" s="152">
        <v>1499616</v>
      </c>
      <c r="E184" s="152">
        <f>E185</f>
        <v>5509</v>
      </c>
      <c r="F184" s="152">
        <f>F185</f>
        <v>5509</v>
      </c>
      <c r="G184" s="152">
        <f t="shared" si="11"/>
        <v>1499616</v>
      </c>
      <c r="H184" s="103"/>
    </row>
    <row r="185" spans="1:8" s="19" customFormat="1" ht="18.75" customHeight="1">
      <c r="A185" s="99"/>
      <c r="B185" s="254">
        <v>75011</v>
      </c>
      <c r="C185" s="208" t="s">
        <v>539</v>
      </c>
      <c r="D185" s="211">
        <v>1499616</v>
      </c>
      <c r="E185" s="211">
        <f>E186+E188</f>
        <v>5509</v>
      </c>
      <c r="F185" s="211">
        <f>F186+F188</f>
        <v>5509</v>
      </c>
      <c r="G185" s="211">
        <f t="shared" si="11"/>
        <v>1499616</v>
      </c>
      <c r="H185" s="103"/>
    </row>
    <row r="186" spans="1:8" s="19" customFormat="1" ht="18.75" customHeight="1">
      <c r="A186" s="99"/>
      <c r="B186" s="178"/>
      <c r="C186" s="271" t="s">
        <v>1176</v>
      </c>
      <c r="D186" s="179">
        <v>44116</v>
      </c>
      <c r="E186" s="179"/>
      <c r="F186" s="179">
        <f>SUM(F187:F189)</f>
        <v>5509</v>
      </c>
      <c r="G186" s="179">
        <f t="shared" si="11"/>
        <v>49625</v>
      </c>
      <c r="H186" s="103"/>
    </row>
    <row r="187" spans="1:8" s="19" customFormat="1" ht="18.75" customHeight="1" hidden="1">
      <c r="A187" s="99"/>
      <c r="B187" s="99"/>
      <c r="C187" s="1107" t="s">
        <v>630</v>
      </c>
      <c r="D187" s="940">
        <v>44116</v>
      </c>
      <c r="E187" s="940"/>
      <c r="F187" s="940">
        <v>5509</v>
      </c>
      <c r="G187" s="940">
        <f t="shared" si="11"/>
        <v>49625</v>
      </c>
      <c r="H187" s="103"/>
    </row>
    <row r="188" spans="1:8" s="19" customFormat="1" ht="18.75" customHeight="1">
      <c r="A188" s="99"/>
      <c r="B188" s="99"/>
      <c r="C188" s="1129" t="s">
        <v>553</v>
      </c>
      <c r="D188" s="956">
        <v>239300</v>
      </c>
      <c r="E188" s="956">
        <f>E189</f>
        <v>5509</v>
      </c>
      <c r="F188" s="956"/>
      <c r="G188" s="956">
        <f t="shared" si="11"/>
        <v>233791</v>
      </c>
      <c r="H188" s="103"/>
    </row>
    <row r="189" spans="1:8" s="19" customFormat="1" ht="18.75" customHeight="1" hidden="1">
      <c r="A189" s="99"/>
      <c r="B189" s="99"/>
      <c r="C189" s="1107" t="s">
        <v>1178</v>
      </c>
      <c r="D189" s="940">
        <v>210300</v>
      </c>
      <c r="E189" s="940">
        <v>5509</v>
      </c>
      <c r="F189" s="940"/>
      <c r="G189" s="940">
        <f t="shared" si="11"/>
        <v>204791</v>
      </c>
      <c r="H189" s="103"/>
    </row>
    <row r="190" spans="1:8" s="19" customFormat="1" ht="18.75" customHeight="1">
      <c r="A190" s="170">
        <v>852</v>
      </c>
      <c r="B190" s="170"/>
      <c r="C190" s="315" t="s">
        <v>485</v>
      </c>
      <c r="D190" s="316">
        <v>42232982</v>
      </c>
      <c r="E190" s="316"/>
      <c r="F190" s="316">
        <f>F191</f>
        <v>1000000</v>
      </c>
      <c r="G190" s="316">
        <f aca="true" t="shared" si="12" ref="G190:G195">D190-E190+F190</f>
        <v>43232982</v>
      </c>
      <c r="H190" s="103"/>
    </row>
    <row r="191" spans="1:8" s="19" customFormat="1" ht="24.75" customHeight="1">
      <c r="A191" s="99"/>
      <c r="B191" s="174">
        <v>85212</v>
      </c>
      <c r="C191" s="175" t="s">
        <v>796</v>
      </c>
      <c r="D191" s="176">
        <v>25693642</v>
      </c>
      <c r="E191" s="176"/>
      <c r="F191" s="176">
        <f>SUM(F192:F195)</f>
        <v>1000000</v>
      </c>
      <c r="G191" s="176">
        <f t="shared" si="12"/>
        <v>26693642</v>
      </c>
      <c r="H191" s="103"/>
    </row>
    <row r="192" spans="1:8" s="19" customFormat="1" ht="19.5" customHeight="1">
      <c r="A192" s="99"/>
      <c r="B192" s="173"/>
      <c r="C192" s="271" t="s">
        <v>492</v>
      </c>
      <c r="D192" s="179">
        <v>312618</v>
      </c>
      <c r="E192" s="179"/>
      <c r="F192" s="179">
        <v>12110</v>
      </c>
      <c r="G192" s="179">
        <f t="shared" si="12"/>
        <v>324728</v>
      </c>
      <c r="H192" s="103"/>
    </row>
    <row r="193" spans="1:8" s="19" customFormat="1" ht="19.5" customHeight="1">
      <c r="A193" s="99"/>
      <c r="B193" s="173"/>
      <c r="C193" s="240" t="s">
        <v>1176</v>
      </c>
      <c r="D193" s="241">
        <v>448215</v>
      </c>
      <c r="E193" s="241"/>
      <c r="F193" s="241">
        <v>5400</v>
      </c>
      <c r="G193" s="241">
        <f t="shared" si="12"/>
        <v>453615</v>
      </c>
      <c r="H193" s="103"/>
    </row>
    <row r="194" spans="1:8" s="19" customFormat="1" ht="19.5" customHeight="1">
      <c r="A194" s="99"/>
      <c r="B194" s="173"/>
      <c r="C194" s="240" t="s">
        <v>553</v>
      </c>
      <c r="D194" s="241">
        <v>64322</v>
      </c>
      <c r="E194" s="241"/>
      <c r="F194" s="241">
        <v>2490</v>
      </c>
      <c r="G194" s="241">
        <f t="shared" si="12"/>
        <v>66812</v>
      </c>
      <c r="H194" s="103"/>
    </row>
    <row r="195" spans="1:8" s="19" customFormat="1" ht="19.5" customHeight="1">
      <c r="A195" s="99"/>
      <c r="B195" s="99"/>
      <c r="C195" s="1129" t="s">
        <v>805</v>
      </c>
      <c r="D195" s="956">
        <v>24694997</v>
      </c>
      <c r="E195" s="956"/>
      <c r="F195" s="956">
        <v>980000</v>
      </c>
      <c r="G195" s="956">
        <f t="shared" si="12"/>
        <v>25674997</v>
      </c>
      <c r="H195" s="103"/>
    </row>
    <row r="196" spans="1:7" s="19" customFormat="1" ht="27.75" customHeight="1" thickBot="1">
      <c r="A196" s="254"/>
      <c r="B196" s="255"/>
      <c r="C196" s="109" t="s">
        <v>496</v>
      </c>
      <c r="D196" s="256">
        <v>19678314</v>
      </c>
      <c r="E196" s="256">
        <f>E204+E198</f>
        <v>1015</v>
      </c>
      <c r="F196" s="256">
        <f>F204+F198</f>
        <v>26820</v>
      </c>
      <c r="G196" s="256">
        <f t="shared" si="11"/>
        <v>19704119</v>
      </c>
    </row>
    <row r="197" spans="1:7" s="19" customFormat="1" ht="19.5" customHeight="1" hidden="1">
      <c r="A197" s="229"/>
      <c r="B197" s="229"/>
      <c r="C197" s="206" t="s">
        <v>497</v>
      </c>
      <c r="D197" s="222"/>
      <c r="E197" s="222"/>
      <c r="F197" s="222"/>
      <c r="G197" s="222"/>
    </row>
    <row r="198" spans="1:7" s="19" customFormat="1" ht="19.5" customHeight="1" thickTop="1">
      <c r="A198" s="192">
        <v>754</v>
      </c>
      <c r="B198" s="192"/>
      <c r="C198" s="192" t="s">
        <v>690</v>
      </c>
      <c r="D198" s="232">
        <v>11806000</v>
      </c>
      <c r="E198" s="232"/>
      <c r="F198" s="232">
        <f>F199</f>
        <v>20000</v>
      </c>
      <c r="G198" s="232">
        <f aca="true" t="shared" si="13" ref="G198:G203">D198-E198+F198</f>
        <v>11826000</v>
      </c>
    </row>
    <row r="199" spans="1:7" s="19" customFormat="1" ht="18.75" customHeight="1">
      <c r="A199" s="178"/>
      <c r="B199" s="168">
        <v>75411</v>
      </c>
      <c r="C199" s="168" t="s">
        <v>691</v>
      </c>
      <c r="D199" s="194">
        <v>11806000</v>
      </c>
      <c r="E199" s="194"/>
      <c r="F199" s="194">
        <f>F200</f>
        <v>20000</v>
      </c>
      <c r="G199" s="194">
        <f t="shared" si="13"/>
        <v>11826000</v>
      </c>
    </row>
    <row r="200" spans="1:7" s="19" customFormat="1" ht="18.75" customHeight="1">
      <c r="A200" s="229"/>
      <c r="B200" s="193"/>
      <c r="C200" s="193" t="s">
        <v>1176</v>
      </c>
      <c r="D200" s="1020">
        <v>2927200</v>
      </c>
      <c r="E200" s="1020"/>
      <c r="F200" s="1020">
        <f>SUM(F201:F203)</f>
        <v>20000</v>
      </c>
      <c r="G200" s="1020">
        <f t="shared" si="13"/>
        <v>2947200</v>
      </c>
    </row>
    <row r="201" spans="1:7" s="19" customFormat="1" ht="18.75" customHeight="1" hidden="1">
      <c r="A201" s="99"/>
      <c r="B201" s="99"/>
      <c r="C201" s="181" t="s">
        <v>1174</v>
      </c>
      <c r="D201" s="204">
        <v>300000</v>
      </c>
      <c r="E201" s="204"/>
      <c r="F201" s="204">
        <v>9000</v>
      </c>
      <c r="G201" s="204">
        <f t="shared" si="13"/>
        <v>309000</v>
      </c>
    </row>
    <row r="202" spans="1:7" s="19" customFormat="1" ht="18.75" customHeight="1" hidden="1">
      <c r="A202" s="99"/>
      <c r="B202" s="99"/>
      <c r="C202" s="181" t="s">
        <v>1173</v>
      </c>
      <c r="D202" s="204">
        <v>137000</v>
      </c>
      <c r="E202" s="204"/>
      <c r="F202" s="204">
        <v>7000</v>
      </c>
      <c r="G202" s="204">
        <f t="shared" si="13"/>
        <v>144000</v>
      </c>
    </row>
    <row r="203" spans="1:7" s="19" customFormat="1" ht="18.75" customHeight="1" hidden="1">
      <c r="A203" s="229"/>
      <c r="B203" s="229"/>
      <c r="C203" s="181" t="s">
        <v>1006</v>
      </c>
      <c r="D203" s="204">
        <v>20000</v>
      </c>
      <c r="E203" s="204"/>
      <c r="F203" s="204">
        <v>4000</v>
      </c>
      <c r="G203" s="204">
        <f t="shared" si="13"/>
        <v>24000</v>
      </c>
    </row>
    <row r="204" spans="1:7" s="19" customFormat="1" ht="19.5" customHeight="1">
      <c r="A204" s="191">
        <v>853</v>
      </c>
      <c r="B204" s="192"/>
      <c r="C204" s="171" t="s">
        <v>684</v>
      </c>
      <c r="D204" s="152">
        <v>551105</v>
      </c>
      <c r="E204" s="152">
        <f>E205</f>
        <v>1015</v>
      </c>
      <c r="F204" s="152">
        <f>F205+F212</f>
        <v>6820</v>
      </c>
      <c r="G204" s="152">
        <f>D204+F204-E204</f>
        <v>556910</v>
      </c>
    </row>
    <row r="205" spans="1:7" s="19" customFormat="1" ht="19.5" customHeight="1">
      <c r="A205" s="99"/>
      <c r="B205" s="168">
        <v>85321</v>
      </c>
      <c r="C205" s="168" t="s">
        <v>685</v>
      </c>
      <c r="D205" s="194">
        <v>509000</v>
      </c>
      <c r="E205" s="194">
        <f>E206+E208</f>
        <v>1015</v>
      </c>
      <c r="F205" s="194">
        <f>F208</f>
        <v>1015</v>
      </c>
      <c r="G205" s="194">
        <f>D205+F205-E205</f>
        <v>509000</v>
      </c>
    </row>
    <row r="206" spans="1:7" s="19" customFormat="1" ht="16.5" customHeight="1">
      <c r="A206" s="99"/>
      <c r="B206" s="173"/>
      <c r="C206" s="196" t="s">
        <v>492</v>
      </c>
      <c r="D206" s="197">
        <v>259389</v>
      </c>
      <c r="E206" s="197">
        <f>E207</f>
        <v>1015</v>
      </c>
      <c r="F206" s="197"/>
      <c r="G206" s="197">
        <f>D206-E206+F206</f>
        <v>258374</v>
      </c>
    </row>
    <row r="207" spans="1:7" s="19" customFormat="1" ht="0.75" customHeight="1" hidden="1">
      <c r="A207" s="99"/>
      <c r="B207" s="173"/>
      <c r="C207" s="199" t="s">
        <v>896</v>
      </c>
      <c r="D207" s="200">
        <v>240702</v>
      </c>
      <c r="E207" s="200">
        <v>1015</v>
      </c>
      <c r="F207" s="200"/>
      <c r="G207" s="200">
        <f>D207-E207+F207</f>
        <v>239687</v>
      </c>
    </row>
    <row r="208" spans="1:7" s="19" customFormat="1" ht="18.75" customHeight="1">
      <c r="A208" s="99"/>
      <c r="B208" s="99"/>
      <c r="C208" s="1130" t="s">
        <v>1176</v>
      </c>
      <c r="D208" s="307">
        <v>186311</v>
      </c>
      <c r="E208" s="307"/>
      <c r="F208" s="307">
        <f>SUM(F209:F211)</f>
        <v>1015</v>
      </c>
      <c r="G208" s="307">
        <f>D208+F208-E208</f>
        <v>187326</v>
      </c>
    </row>
    <row r="209" spans="1:7" s="126" customFormat="1" ht="18.75" customHeight="1" hidden="1">
      <c r="A209" s="202"/>
      <c r="B209" s="202"/>
      <c r="C209" s="203" t="s">
        <v>1174</v>
      </c>
      <c r="D209" s="204">
        <v>6191</v>
      </c>
      <c r="E209" s="204"/>
      <c r="F209" s="204">
        <v>500</v>
      </c>
      <c r="G209" s="204">
        <f>D209+F209-E209</f>
        <v>6691</v>
      </c>
    </row>
    <row r="210" spans="1:7" s="126" customFormat="1" ht="18.75" customHeight="1" hidden="1">
      <c r="A210" s="202"/>
      <c r="B210" s="202"/>
      <c r="C210" s="206" t="s">
        <v>1173</v>
      </c>
      <c r="D210" s="207">
        <v>171722</v>
      </c>
      <c r="E210" s="207"/>
      <c r="F210" s="207">
        <v>500</v>
      </c>
      <c r="G210" s="207">
        <f>D210+F210-E210</f>
        <v>172222</v>
      </c>
    </row>
    <row r="211" spans="1:7" s="126" customFormat="1" ht="18.75" customHeight="1" hidden="1">
      <c r="A211" s="202"/>
      <c r="B211" s="181"/>
      <c r="C211" s="206" t="s">
        <v>630</v>
      </c>
      <c r="D211" s="207">
        <v>6398</v>
      </c>
      <c r="E211" s="207"/>
      <c r="F211" s="207">
        <v>15</v>
      </c>
      <c r="G211" s="207">
        <f>D211+F211-E211</f>
        <v>6413</v>
      </c>
    </row>
    <row r="212" spans="1:7" ht="19.5" customHeight="1">
      <c r="A212" s="365"/>
      <c r="B212" s="272">
        <v>85334</v>
      </c>
      <c r="C212" s="272" t="s">
        <v>1386</v>
      </c>
      <c r="D212" s="363">
        <v>42105</v>
      </c>
      <c r="E212" s="363"/>
      <c r="F212" s="363">
        <f>F213</f>
        <v>5805</v>
      </c>
      <c r="G212" s="363">
        <f>D212+F212</f>
        <v>47910</v>
      </c>
    </row>
    <row r="213" spans="1:7" ht="19.5" customHeight="1">
      <c r="A213" s="364"/>
      <c r="B213" s="1131"/>
      <c r="C213" s="1131" t="s">
        <v>1389</v>
      </c>
      <c r="D213" s="498">
        <v>42105</v>
      </c>
      <c r="E213" s="498"/>
      <c r="F213" s="498">
        <f>F214</f>
        <v>5805</v>
      </c>
      <c r="G213" s="498">
        <f>D213+F213</f>
        <v>47910</v>
      </c>
    </row>
    <row r="214" spans="1:7" ht="19.5" customHeight="1" hidden="1">
      <c r="A214" s="364"/>
      <c r="B214" s="364"/>
      <c r="C214" s="11" t="s">
        <v>1496</v>
      </c>
      <c r="D214" s="12">
        <v>22865</v>
      </c>
      <c r="E214" s="12"/>
      <c r="F214" s="12">
        <v>5805</v>
      </c>
      <c r="G214" s="12">
        <f>D214+F214</f>
        <v>28670</v>
      </c>
    </row>
    <row r="216" spans="3:5" ht="12.75">
      <c r="C216" s="1383" t="s">
        <v>874</v>
      </c>
      <c r="E216" s="1383" t="s">
        <v>871</v>
      </c>
    </row>
    <row r="217" spans="3:5" ht="12.75">
      <c r="C217" s="1383"/>
      <c r="E217" s="1383" t="s">
        <v>872</v>
      </c>
    </row>
    <row r="218" spans="3:5" ht="12.75">
      <c r="C218" s="1383" t="s">
        <v>875</v>
      </c>
      <c r="E218" s="1383"/>
    </row>
    <row r="219" spans="3:5" ht="12.75">
      <c r="C219" s="1383" t="s">
        <v>876</v>
      </c>
      <c r="E219" s="1383" t="s">
        <v>873</v>
      </c>
    </row>
    <row r="220" spans="3:5" ht="12.75">
      <c r="C220" s="1383"/>
      <c r="E220" s="1383"/>
    </row>
    <row r="221" spans="3:5" ht="12.75">
      <c r="C221" s="1383"/>
      <c r="E221" s="1383"/>
    </row>
    <row r="222" spans="3:5" ht="12.75">
      <c r="C222" s="1383"/>
      <c r="E222" s="1383"/>
    </row>
  </sheetData>
  <printOptions horizontalCentered="1"/>
  <pageMargins left="0.3937007874015748" right="0.3937007874015748" top="0.61" bottom="0.47" header="0.5118110236220472" footer="0.31496062992125984"/>
  <pageSetup firstPageNumber="6" useFirstPageNumber="1" horizontalDpi="300" verticalDpi="300" orientation="landscape" paperSize="9" scale="85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zoomScale="75" zoomScaleNormal="75" zoomScaleSheetLayoutView="75" workbookViewId="0" topLeftCell="A1">
      <selection activeCell="G44" sqref="G44"/>
    </sheetView>
  </sheetViews>
  <sheetFormatPr defaultColWidth="9.00390625" defaultRowHeight="12.75"/>
  <cols>
    <col min="1" max="1" width="4.875" style="0" customWidth="1"/>
    <col min="2" max="2" width="7.00390625" style="0" customWidth="1"/>
    <col min="3" max="3" width="39.00390625" style="102" customWidth="1"/>
    <col min="4" max="4" width="14.75390625" style="0" customWidth="1"/>
    <col min="5" max="8" width="12.75390625" style="0" customWidth="1"/>
    <col min="9" max="9" width="13.75390625" style="0" customWidth="1"/>
    <col min="10" max="12" width="12.75390625" style="0" customWidth="1"/>
    <col min="13" max="13" width="11.625" style="0" customWidth="1"/>
    <col min="14" max="14" width="12.75390625" style="0" customWidth="1"/>
  </cols>
  <sheetData>
    <row r="1" spans="3:10" s="1" customFormat="1" ht="15.75" customHeight="1">
      <c r="C1" s="78"/>
      <c r="J1" s="79" t="s">
        <v>807</v>
      </c>
    </row>
    <row r="2" spans="3:10" s="1" customFormat="1" ht="15.75" customHeight="1">
      <c r="C2" s="78"/>
      <c r="J2" s="1" t="s">
        <v>877</v>
      </c>
    </row>
    <row r="3" spans="3:10" s="1" customFormat="1" ht="15.75" customHeight="1">
      <c r="C3" s="112" t="s">
        <v>542</v>
      </c>
      <c r="J3" s="1" t="s">
        <v>1161</v>
      </c>
    </row>
    <row r="4" spans="3:10" s="1" customFormat="1" ht="15.75" customHeight="1">
      <c r="C4" s="78"/>
      <c r="J4" s="1" t="s">
        <v>1345</v>
      </c>
    </row>
    <row r="5" spans="2:12" s="1" customFormat="1" ht="14.25" customHeight="1" thickBot="1">
      <c r="B5" s="20"/>
      <c r="C5" s="78"/>
      <c r="K5" s="57"/>
      <c r="L5" s="80" t="s">
        <v>1163</v>
      </c>
    </row>
    <row r="6" spans="1:12" s="1" customFormat="1" ht="42" customHeight="1" thickBot="1" thickTop="1">
      <c r="A6" s="81"/>
      <c r="B6" s="81"/>
      <c r="C6" s="82"/>
      <c r="D6" s="1389" t="s">
        <v>545</v>
      </c>
      <c r="E6" s="83" t="s">
        <v>1171</v>
      </c>
      <c r="F6" s="84"/>
      <c r="G6" s="84"/>
      <c r="H6" s="85"/>
      <c r="I6" s="86" t="s">
        <v>1151</v>
      </c>
      <c r="J6" s="83" t="s">
        <v>1171</v>
      </c>
      <c r="K6" s="87"/>
      <c r="L6" s="88"/>
    </row>
    <row r="7" spans="1:12" s="1" customFormat="1" ht="67.5" customHeight="1" thickBot="1" thickTop="1">
      <c r="A7" s="89" t="s">
        <v>1164</v>
      </c>
      <c r="B7" s="90" t="s">
        <v>1152</v>
      </c>
      <c r="C7" s="90" t="s">
        <v>1153</v>
      </c>
      <c r="D7" s="1390"/>
      <c r="E7" s="91" t="s">
        <v>1154</v>
      </c>
      <c r="F7" s="91" t="s">
        <v>1155</v>
      </c>
      <c r="G7" s="91" t="s">
        <v>1156</v>
      </c>
      <c r="H7" s="92" t="s">
        <v>1140</v>
      </c>
      <c r="I7" s="90" t="s">
        <v>1157</v>
      </c>
      <c r="J7" s="91" t="s">
        <v>1154</v>
      </c>
      <c r="K7" s="91" t="s">
        <v>1155</v>
      </c>
      <c r="L7" s="91" t="s">
        <v>1156</v>
      </c>
    </row>
    <row r="8" spans="1:12" s="96" customFormat="1" ht="15" customHeight="1" thickBot="1" thickTop="1">
      <c r="A8" s="93">
        <v>1</v>
      </c>
      <c r="B8" s="93">
        <v>2</v>
      </c>
      <c r="C8" s="94">
        <v>3</v>
      </c>
      <c r="D8" s="93">
        <v>4</v>
      </c>
      <c r="E8" s="93">
        <v>5</v>
      </c>
      <c r="F8" s="95">
        <v>6</v>
      </c>
      <c r="G8" s="93">
        <v>7</v>
      </c>
      <c r="H8" s="93">
        <v>8</v>
      </c>
      <c r="I8" s="93">
        <v>9</v>
      </c>
      <c r="J8" s="93">
        <v>10</v>
      </c>
      <c r="K8" s="95">
        <v>11</v>
      </c>
      <c r="L8" s="95">
        <v>12</v>
      </c>
    </row>
    <row r="9" spans="1:14" s="22" customFormat="1" ht="26.25" customHeight="1" thickBot="1" thickTop="1">
      <c r="A9" s="97"/>
      <c r="B9" s="97"/>
      <c r="C9" s="1070" t="s">
        <v>1158</v>
      </c>
      <c r="D9" s="1071">
        <f>SUM(E9:G9)</f>
        <v>101729221</v>
      </c>
      <c r="E9" s="1071">
        <v>70958910</v>
      </c>
      <c r="F9" s="1071">
        <v>23909948</v>
      </c>
      <c r="G9" s="1071">
        <v>6860363</v>
      </c>
      <c r="H9" s="1072">
        <f>H11+H40</f>
        <v>134793</v>
      </c>
      <c r="I9" s="1073">
        <f>SUM(J9:L9)</f>
        <v>101864014</v>
      </c>
      <c r="J9" s="1071">
        <f>E9+H9-352301-260494+612795</f>
        <v>71093703</v>
      </c>
      <c r="K9" s="1071">
        <f>F9+223600-223600</f>
        <v>23909948</v>
      </c>
      <c r="L9" s="1071">
        <f>G9</f>
        <v>6860363</v>
      </c>
      <c r="M9" s="98"/>
      <c r="N9" s="28"/>
    </row>
    <row r="10" spans="1:12" s="101" customFormat="1" ht="11.25" customHeight="1">
      <c r="A10" s="99"/>
      <c r="B10" s="99"/>
      <c r="C10" s="100" t="s">
        <v>1171</v>
      </c>
      <c r="D10" s="298"/>
      <c r="E10" s="298"/>
      <c r="F10" s="298"/>
      <c r="G10" s="1074"/>
      <c r="H10" s="1075"/>
      <c r="I10" s="439"/>
      <c r="J10" s="298"/>
      <c r="K10" s="298"/>
      <c r="L10" s="298"/>
    </row>
    <row r="11" spans="1:14" ht="23.25" customHeight="1" thickBot="1">
      <c r="A11" s="29"/>
      <c r="B11" s="248"/>
      <c r="C11" s="1076" t="s">
        <v>1172</v>
      </c>
      <c r="D11" s="1077">
        <f aca="true" t="shared" si="0" ref="D11:D18">SUM(E11:G11)</f>
        <v>101414731</v>
      </c>
      <c r="E11" s="1077">
        <v>70958910</v>
      </c>
      <c r="F11" s="1077">
        <v>23909948</v>
      </c>
      <c r="G11" s="1077">
        <v>6545873</v>
      </c>
      <c r="H11" s="1078">
        <f>H12+H16+H19+H25+H32</f>
        <v>134793</v>
      </c>
      <c r="I11" s="1079">
        <f aca="true" t="shared" si="1" ref="I11:I18">SUM(J11:L11)</f>
        <v>101549524</v>
      </c>
      <c r="J11" s="1077">
        <f>E11+H11-352301-260494+612795</f>
        <v>71093703</v>
      </c>
      <c r="K11" s="1077">
        <f>F11+223600-223600</f>
        <v>23909948</v>
      </c>
      <c r="L11" s="1077">
        <f>G11</f>
        <v>6545873</v>
      </c>
      <c r="M11" s="28"/>
      <c r="N11" s="28"/>
    </row>
    <row r="12" spans="1:14" s="1" customFormat="1" ht="23.25" customHeight="1" thickTop="1">
      <c r="A12" s="943">
        <v>600</v>
      </c>
      <c r="B12" s="943"/>
      <c r="C12" s="232" t="s">
        <v>551</v>
      </c>
      <c r="D12" s="232">
        <f t="shared" si="0"/>
        <v>36395023</v>
      </c>
      <c r="E12" s="232">
        <v>29309150</v>
      </c>
      <c r="F12" s="232">
        <v>540000</v>
      </c>
      <c r="G12" s="944">
        <v>6545873</v>
      </c>
      <c r="H12" s="945">
        <f>H13</f>
        <v>0</v>
      </c>
      <c r="I12" s="946">
        <f t="shared" si="1"/>
        <v>36395023</v>
      </c>
      <c r="J12" s="232">
        <f>E12+H13</f>
        <v>29309150</v>
      </c>
      <c r="K12" s="232">
        <f>F12</f>
        <v>540000</v>
      </c>
      <c r="L12" s="232">
        <f>G12</f>
        <v>6545873</v>
      </c>
      <c r="M12" s="8"/>
      <c r="N12" s="8"/>
    </row>
    <row r="13" spans="1:14" s="1" customFormat="1" ht="27" customHeight="1">
      <c r="A13" s="947"/>
      <c r="B13" s="948">
        <v>60015</v>
      </c>
      <c r="C13" s="176" t="s">
        <v>1123</v>
      </c>
      <c r="D13" s="176">
        <f t="shared" si="0"/>
        <v>32698973</v>
      </c>
      <c r="E13" s="176">
        <v>26153100</v>
      </c>
      <c r="F13" s="176"/>
      <c r="G13" s="924">
        <v>6545873</v>
      </c>
      <c r="H13" s="925">
        <f>SUM(H14:H15)</f>
        <v>0</v>
      </c>
      <c r="I13" s="340">
        <f t="shared" si="1"/>
        <v>32698973</v>
      </c>
      <c r="J13" s="176">
        <f aca="true" t="shared" si="2" ref="J13:J19">E13+H13</f>
        <v>26153100</v>
      </c>
      <c r="K13" s="176"/>
      <c r="L13" s="176">
        <f>G13</f>
        <v>6545873</v>
      </c>
      <c r="M13" s="8"/>
      <c r="N13" s="8"/>
    </row>
    <row r="14" spans="1:14" s="1" customFormat="1" ht="26.25" customHeight="1">
      <c r="A14" s="199"/>
      <c r="B14" s="199"/>
      <c r="C14" s="241" t="s">
        <v>1127</v>
      </c>
      <c r="D14" s="241">
        <f t="shared" si="0"/>
        <v>1395950</v>
      </c>
      <c r="E14" s="241">
        <v>1395950</v>
      </c>
      <c r="F14" s="241"/>
      <c r="G14" s="949"/>
      <c r="H14" s="950">
        <v>-670000</v>
      </c>
      <c r="I14" s="951">
        <f t="shared" si="1"/>
        <v>725950</v>
      </c>
      <c r="J14" s="241">
        <f t="shared" si="2"/>
        <v>725950</v>
      </c>
      <c r="K14" s="241"/>
      <c r="L14" s="241"/>
      <c r="M14" s="8"/>
      <c r="N14" s="8"/>
    </row>
    <row r="15" spans="1:14" s="1" customFormat="1" ht="20.25" customHeight="1">
      <c r="A15" s="199"/>
      <c r="B15" s="199"/>
      <c r="C15" s="1068" t="s">
        <v>1487</v>
      </c>
      <c r="D15" s="952">
        <f t="shared" si="0"/>
        <v>1100000</v>
      </c>
      <c r="E15" s="952">
        <v>1100000</v>
      </c>
      <c r="F15" s="952"/>
      <c r="G15" s="953"/>
      <c r="H15" s="954">
        <v>670000</v>
      </c>
      <c r="I15" s="955">
        <f t="shared" si="1"/>
        <v>1770000</v>
      </c>
      <c r="J15" s="952">
        <f t="shared" si="2"/>
        <v>1770000</v>
      </c>
      <c r="K15" s="952"/>
      <c r="L15" s="952"/>
      <c r="M15" s="8"/>
      <c r="N15" s="8"/>
    </row>
    <row r="16" spans="1:14" s="1" customFormat="1" ht="19.5" customHeight="1">
      <c r="A16" s="1069">
        <v>801</v>
      </c>
      <c r="B16" s="943"/>
      <c r="C16" s="316" t="s">
        <v>490</v>
      </c>
      <c r="D16" s="316">
        <f t="shared" si="0"/>
        <v>31508923</v>
      </c>
      <c r="E16" s="316">
        <v>13551923</v>
      </c>
      <c r="F16" s="316">
        <v>17957000</v>
      </c>
      <c r="G16" s="919"/>
      <c r="H16" s="920">
        <f>H17</f>
        <v>-207</v>
      </c>
      <c r="I16" s="317">
        <f t="shared" si="1"/>
        <v>31508716</v>
      </c>
      <c r="J16" s="316">
        <f t="shared" si="2"/>
        <v>13551716</v>
      </c>
      <c r="K16" s="316">
        <f>F16+223600-223600</f>
        <v>17957000</v>
      </c>
      <c r="L16" s="316"/>
      <c r="M16" s="8"/>
      <c r="N16" s="8"/>
    </row>
    <row r="17" spans="1:14" s="1" customFormat="1" ht="19.5" customHeight="1">
      <c r="A17" s="922"/>
      <c r="B17" s="923">
        <v>80104</v>
      </c>
      <c r="C17" s="176" t="s">
        <v>625</v>
      </c>
      <c r="D17" s="176">
        <f t="shared" si="0"/>
        <v>34200</v>
      </c>
      <c r="E17" s="176">
        <v>34200</v>
      </c>
      <c r="F17" s="176"/>
      <c r="G17" s="924"/>
      <c r="H17" s="925">
        <f>SUM(H18:H18)</f>
        <v>-207</v>
      </c>
      <c r="I17" s="340">
        <f t="shared" si="1"/>
        <v>33993</v>
      </c>
      <c r="J17" s="176">
        <f t="shared" si="2"/>
        <v>33993</v>
      </c>
      <c r="K17" s="176"/>
      <c r="L17" s="176"/>
      <c r="M17" s="8"/>
      <c r="N17" s="8"/>
    </row>
    <row r="18" spans="1:14" s="1" customFormat="1" ht="19.5" customHeight="1">
      <c r="A18" s="926"/>
      <c r="B18" s="927"/>
      <c r="C18" s="928" t="s">
        <v>631</v>
      </c>
      <c r="D18" s="188">
        <f t="shared" si="0"/>
        <v>4200</v>
      </c>
      <c r="E18" s="188">
        <v>4200</v>
      </c>
      <c r="F18" s="188"/>
      <c r="G18" s="929"/>
      <c r="H18" s="930">
        <v>-207</v>
      </c>
      <c r="I18" s="931">
        <f t="shared" si="1"/>
        <v>3993</v>
      </c>
      <c r="J18" s="188">
        <f t="shared" si="2"/>
        <v>3993</v>
      </c>
      <c r="K18" s="188"/>
      <c r="L18" s="188"/>
      <c r="M18" s="8"/>
      <c r="N18" s="8"/>
    </row>
    <row r="19" spans="1:14" s="19" customFormat="1" ht="19.5" customHeight="1">
      <c r="A19" s="170">
        <v>851</v>
      </c>
      <c r="B19" s="305"/>
      <c r="C19" s="315" t="s">
        <v>963</v>
      </c>
      <c r="D19" s="316">
        <f aca="true" t="shared" si="3" ref="D19:D27">SUM(E19:G19)</f>
        <v>1665000</v>
      </c>
      <c r="E19" s="316">
        <v>1665000</v>
      </c>
      <c r="F19" s="316"/>
      <c r="G19" s="919"/>
      <c r="H19" s="920">
        <f>H20+H23</f>
        <v>5000</v>
      </c>
      <c r="I19" s="317">
        <f aca="true" t="shared" si="4" ref="I19:I27">SUM(J19:L19)</f>
        <v>1670000</v>
      </c>
      <c r="J19" s="316">
        <f t="shared" si="2"/>
        <v>1670000</v>
      </c>
      <c r="K19" s="316"/>
      <c r="L19" s="316"/>
      <c r="M19" s="150"/>
      <c r="N19" s="150"/>
    </row>
    <row r="20" spans="1:14" s="19" customFormat="1" ht="19.5" customHeight="1">
      <c r="A20" s="286"/>
      <c r="B20" s="168">
        <v>85121</v>
      </c>
      <c r="C20" s="208" t="s">
        <v>688</v>
      </c>
      <c r="D20" s="211">
        <f t="shared" si="3"/>
        <v>240000</v>
      </c>
      <c r="E20" s="211">
        <v>240000</v>
      </c>
      <c r="F20" s="211"/>
      <c r="G20" s="246"/>
      <c r="H20" s="247">
        <f>SUM(H21:H22)</f>
        <v>0</v>
      </c>
      <c r="I20" s="212">
        <f t="shared" si="4"/>
        <v>240000</v>
      </c>
      <c r="J20" s="211">
        <f>E20</f>
        <v>240000</v>
      </c>
      <c r="K20" s="211"/>
      <c r="L20" s="211"/>
      <c r="M20" s="150"/>
      <c r="N20" s="150"/>
    </row>
    <row r="21" spans="1:14" s="19" customFormat="1" ht="19.5" customHeight="1">
      <c r="A21" s="173"/>
      <c r="B21" s="199"/>
      <c r="C21" s="271" t="s">
        <v>494</v>
      </c>
      <c r="D21" s="179">
        <f t="shared" si="3"/>
        <v>160000</v>
      </c>
      <c r="E21" s="179">
        <v>160000</v>
      </c>
      <c r="F21" s="179"/>
      <c r="G21" s="288"/>
      <c r="H21" s="289">
        <v>80000</v>
      </c>
      <c r="I21" s="290">
        <f t="shared" si="4"/>
        <v>240000</v>
      </c>
      <c r="J21" s="179">
        <f>E21+H21</f>
        <v>240000</v>
      </c>
      <c r="K21" s="179"/>
      <c r="L21" s="179"/>
      <c r="M21" s="150"/>
      <c r="N21" s="150"/>
    </row>
    <row r="22" spans="1:14" s="19" customFormat="1" ht="19.5" customHeight="1">
      <c r="A22" s="173"/>
      <c r="B22" s="248"/>
      <c r="C22" s="249" t="s">
        <v>631</v>
      </c>
      <c r="D22" s="250">
        <f t="shared" si="3"/>
        <v>80000</v>
      </c>
      <c r="E22" s="250">
        <v>80000</v>
      </c>
      <c r="F22" s="250"/>
      <c r="G22" s="251"/>
      <c r="H22" s="252">
        <v>-80000</v>
      </c>
      <c r="I22" s="253">
        <f t="shared" si="4"/>
        <v>0</v>
      </c>
      <c r="J22" s="250">
        <f>E22+H22</f>
        <v>0</v>
      </c>
      <c r="K22" s="250"/>
      <c r="L22" s="250"/>
      <c r="M22" s="150"/>
      <c r="N22" s="150"/>
    </row>
    <row r="23" spans="1:14" s="19" customFormat="1" ht="19.5" customHeight="1">
      <c r="A23" s="173"/>
      <c r="B23" s="168">
        <v>85154</v>
      </c>
      <c r="C23" s="208" t="s">
        <v>1430</v>
      </c>
      <c r="D23" s="211">
        <f>SUM(E23:G23)</f>
        <v>1425200</v>
      </c>
      <c r="E23" s="211">
        <v>1425200</v>
      </c>
      <c r="F23" s="211"/>
      <c r="G23" s="246"/>
      <c r="H23" s="247">
        <f>H24</f>
        <v>5000</v>
      </c>
      <c r="I23" s="212">
        <f>SUM(J23:L23)</f>
        <v>1430200</v>
      </c>
      <c r="J23" s="211">
        <f>E23+H23</f>
        <v>1430200</v>
      </c>
      <c r="K23" s="211"/>
      <c r="L23" s="211"/>
      <c r="M23" s="150"/>
      <c r="N23" s="150"/>
    </row>
    <row r="24" spans="1:14" s="19" customFormat="1" ht="19.5" customHeight="1">
      <c r="A24" s="168"/>
      <c r="B24" s="248"/>
      <c r="C24" s="249" t="s">
        <v>631</v>
      </c>
      <c r="D24" s="250">
        <f>SUM(E24:G24)</f>
        <v>25200</v>
      </c>
      <c r="E24" s="250">
        <v>25200</v>
      </c>
      <c r="F24" s="250"/>
      <c r="G24" s="251"/>
      <c r="H24" s="252">
        <v>5000</v>
      </c>
      <c r="I24" s="253">
        <f>SUM(J24:L24)</f>
        <v>30200</v>
      </c>
      <c r="J24" s="250">
        <f>E24+H24</f>
        <v>30200</v>
      </c>
      <c r="K24" s="250"/>
      <c r="L24" s="250"/>
      <c r="M24" s="150"/>
      <c r="N24" s="150"/>
    </row>
    <row r="25" spans="1:14" s="19" customFormat="1" ht="19.5" customHeight="1">
      <c r="A25" s="192">
        <v>852</v>
      </c>
      <c r="B25" s="192"/>
      <c r="C25" s="171" t="s">
        <v>485</v>
      </c>
      <c r="D25" s="152">
        <f t="shared" si="3"/>
        <v>1525760</v>
      </c>
      <c r="E25" s="152">
        <v>1525760</v>
      </c>
      <c r="F25" s="152"/>
      <c r="G25" s="243"/>
      <c r="H25" s="244">
        <f>H26+H28+H30</f>
        <v>130000</v>
      </c>
      <c r="I25" s="225">
        <f t="shared" si="4"/>
        <v>1655760</v>
      </c>
      <c r="J25" s="152">
        <f>E25+130000</f>
        <v>1655760</v>
      </c>
      <c r="K25" s="152"/>
      <c r="L25" s="152"/>
      <c r="M25" s="150"/>
      <c r="N25" s="150"/>
    </row>
    <row r="26" spans="1:14" s="19" customFormat="1" ht="19.5" customHeight="1">
      <c r="A26" s="245"/>
      <c r="B26" s="168">
        <v>85201</v>
      </c>
      <c r="C26" s="208" t="s">
        <v>686</v>
      </c>
      <c r="D26" s="211">
        <f t="shared" si="3"/>
        <v>156000</v>
      </c>
      <c r="E26" s="211">
        <v>156000</v>
      </c>
      <c r="F26" s="211"/>
      <c r="G26" s="246"/>
      <c r="H26" s="247">
        <f>H27</f>
        <v>130000</v>
      </c>
      <c r="I26" s="212">
        <f t="shared" si="4"/>
        <v>286000</v>
      </c>
      <c r="J26" s="211">
        <f>E26+130000</f>
        <v>286000</v>
      </c>
      <c r="K26" s="211"/>
      <c r="L26" s="211"/>
      <c r="M26" s="150"/>
      <c r="N26" s="150"/>
    </row>
    <row r="27" spans="1:14" s="19" customFormat="1" ht="19.5" customHeight="1">
      <c r="A27" s="199"/>
      <c r="B27" s="248"/>
      <c r="C27" s="249" t="s">
        <v>687</v>
      </c>
      <c r="D27" s="250">
        <f t="shared" si="3"/>
        <v>150000</v>
      </c>
      <c r="E27" s="250">
        <v>150000</v>
      </c>
      <c r="F27" s="250"/>
      <c r="G27" s="251"/>
      <c r="H27" s="252">
        <v>130000</v>
      </c>
      <c r="I27" s="253">
        <f t="shared" si="4"/>
        <v>280000</v>
      </c>
      <c r="J27" s="250">
        <f>E27+130000</f>
        <v>280000</v>
      </c>
      <c r="K27" s="250"/>
      <c r="L27" s="250"/>
      <c r="M27" s="150"/>
      <c r="N27" s="150"/>
    </row>
    <row r="28" spans="1:14" s="19" customFormat="1" ht="19.5" customHeight="1">
      <c r="A28" s="199"/>
      <c r="B28" s="168">
        <v>85202</v>
      </c>
      <c r="C28" s="208" t="s">
        <v>988</v>
      </c>
      <c r="D28" s="211">
        <f>SUM(E28:G28)</f>
        <v>540760</v>
      </c>
      <c r="E28" s="211">
        <v>540760</v>
      </c>
      <c r="F28" s="211"/>
      <c r="G28" s="246"/>
      <c r="H28" s="247">
        <f>H29</f>
        <v>35723</v>
      </c>
      <c r="I28" s="212">
        <f>J28</f>
        <v>576483</v>
      </c>
      <c r="J28" s="211">
        <f>E28+H28</f>
        <v>576483</v>
      </c>
      <c r="K28" s="211"/>
      <c r="L28" s="211"/>
      <c r="M28" s="150"/>
      <c r="N28" s="150"/>
    </row>
    <row r="29" spans="1:14" s="19" customFormat="1" ht="19.5" customHeight="1">
      <c r="A29" s="199"/>
      <c r="B29" s="248"/>
      <c r="C29" s="249" t="s">
        <v>687</v>
      </c>
      <c r="D29" s="250">
        <f>SUM(E29:G29)</f>
        <v>469500</v>
      </c>
      <c r="E29" s="250">
        <v>469500</v>
      </c>
      <c r="F29" s="250"/>
      <c r="G29" s="251"/>
      <c r="H29" s="252">
        <v>35723</v>
      </c>
      <c r="I29" s="253">
        <f>J29</f>
        <v>505223</v>
      </c>
      <c r="J29" s="250">
        <f>E29+H29</f>
        <v>505223</v>
      </c>
      <c r="K29" s="250"/>
      <c r="L29" s="250"/>
      <c r="M29" s="150"/>
      <c r="N29" s="150"/>
    </row>
    <row r="30" spans="1:14" s="19" customFormat="1" ht="19.5" customHeight="1">
      <c r="A30" s="199"/>
      <c r="B30" s="168">
        <v>85203</v>
      </c>
      <c r="C30" s="208" t="s">
        <v>973</v>
      </c>
      <c r="D30" s="211">
        <f>SUM(E30:G30)</f>
        <v>825000</v>
      </c>
      <c r="E30" s="211">
        <v>825000</v>
      </c>
      <c r="F30" s="211"/>
      <c r="G30" s="246"/>
      <c r="H30" s="247">
        <f>H31</f>
        <v>-35723</v>
      </c>
      <c r="I30" s="212">
        <f>J30</f>
        <v>789277</v>
      </c>
      <c r="J30" s="211">
        <f>E30+H30</f>
        <v>789277</v>
      </c>
      <c r="K30" s="211"/>
      <c r="L30" s="211"/>
      <c r="M30" s="150"/>
      <c r="N30" s="150"/>
    </row>
    <row r="31" spans="1:14" s="19" customFormat="1" ht="19.5" customHeight="1">
      <c r="A31" s="248"/>
      <c r="B31" s="248"/>
      <c r="C31" s="249" t="s">
        <v>974</v>
      </c>
      <c r="D31" s="250">
        <f>SUM(E31:G31)</f>
        <v>825000</v>
      </c>
      <c r="E31" s="250">
        <v>825000</v>
      </c>
      <c r="F31" s="250"/>
      <c r="G31" s="251"/>
      <c r="H31" s="252">
        <v>-35723</v>
      </c>
      <c r="I31" s="253">
        <f>J31</f>
        <v>789277</v>
      </c>
      <c r="J31" s="250">
        <f>E31+H31</f>
        <v>789277</v>
      </c>
      <c r="K31" s="250"/>
      <c r="L31" s="250"/>
      <c r="M31" s="150"/>
      <c r="N31" s="150"/>
    </row>
    <row r="32" spans="1:14" s="1" customFormat="1" ht="24" customHeight="1">
      <c r="A32" s="134">
        <v>900</v>
      </c>
      <c r="B32" s="921"/>
      <c r="C32" s="152" t="s">
        <v>1132</v>
      </c>
      <c r="D32" s="152">
        <f aca="true" t="shared" si="5" ref="D32:D39">SUM(E32:G32)</f>
        <v>16441277</v>
      </c>
      <c r="E32" s="152">
        <v>11711277</v>
      </c>
      <c r="F32" s="152">
        <v>4730000</v>
      </c>
      <c r="G32" s="243"/>
      <c r="H32" s="244">
        <f>H33+H35+H38</f>
        <v>0</v>
      </c>
      <c r="I32" s="225">
        <f aca="true" t="shared" si="6" ref="I32:I40">SUM(J32:L32)</f>
        <v>16441277</v>
      </c>
      <c r="J32" s="152">
        <f aca="true" t="shared" si="7" ref="J32:J39">E32+H32</f>
        <v>11711277</v>
      </c>
      <c r="K32" s="152">
        <f>F32</f>
        <v>4730000</v>
      </c>
      <c r="L32" s="152"/>
      <c r="M32" s="8"/>
      <c r="N32" s="8"/>
    </row>
    <row r="33" spans="1:14" s="1" customFormat="1" ht="19.5" customHeight="1">
      <c r="A33" s="127"/>
      <c r="B33" s="959">
        <v>90001</v>
      </c>
      <c r="C33" s="211" t="s">
        <v>1129</v>
      </c>
      <c r="D33" s="211">
        <f t="shared" si="5"/>
        <v>4862000</v>
      </c>
      <c r="E33" s="211">
        <v>4762000</v>
      </c>
      <c r="F33" s="211">
        <v>100000</v>
      </c>
      <c r="G33" s="246"/>
      <c r="H33" s="247">
        <f>H34</f>
        <v>100000</v>
      </c>
      <c r="I33" s="212">
        <f t="shared" si="6"/>
        <v>4962000</v>
      </c>
      <c r="J33" s="211">
        <f t="shared" si="7"/>
        <v>4862000</v>
      </c>
      <c r="K33" s="211">
        <f>F33</f>
        <v>100000</v>
      </c>
      <c r="L33" s="211"/>
      <c r="M33" s="8"/>
      <c r="N33" s="8"/>
    </row>
    <row r="34" spans="1:14" s="1" customFormat="1" ht="19.5" customHeight="1">
      <c r="A34" s="17"/>
      <c r="B34" s="248"/>
      <c r="C34" s="693" t="s">
        <v>1488</v>
      </c>
      <c r="D34" s="250">
        <f t="shared" si="5"/>
        <v>182000</v>
      </c>
      <c r="E34" s="250">
        <v>182000</v>
      </c>
      <c r="F34" s="250"/>
      <c r="G34" s="251"/>
      <c r="H34" s="252">
        <v>100000</v>
      </c>
      <c r="I34" s="253">
        <f t="shared" si="6"/>
        <v>282000</v>
      </c>
      <c r="J34" s="250">
        <f t="shared" si="7"/>
        <v>282000</v>
      </c>
      <c r="K34" s="250"/>
      <c r="L34" s="250"/>
      <c r="M34" s="8"/>
      <c r="N34" s="8"/>
    </row>
    <row r="35" spans="1:14" s="1" customFormat="1" ht="19.5" customHeight="1">
      <c r="A35" s="127"/>
      <c r="B35" s="960">
        <v>90002</v>
      </c>
      <c r="C35" s="194" t="s">
        <v>1130</v>
      </c>
      <c r="D35" s="194">
        <f t="shared" si="5"/>
        <v>1225000</v>
      </c>
      <c r="E35" s="194">
        <v>725000</v>
      </c>
      <c r="F35" s="194">
        <v>500000</v>
      </c>
      <c r="G35" s="961"/>
      <c r="H35" s="962">
        <f>H36+H37</f>
        <v>-500000</v>
      </c>
      <c r="I35" s="963">
        <f t="shared" si="6"/>
        <v>725000</v>
      </c>
      <c r="J35" s="194">
        <f t="shared" si="7"/>
        <v>225000</v>
      </c>
      <c r="K35" s="194">
        <f>F35</f>
        <v>500000</v>
      </c>
      <c r="L35" s="194"/>
      <c r="M35" s="8"/>
      <c r="N35" s="8"/>
    </row>
    <row r="36" spans="1:14" s="1" customFormat="1" ht="19.5" customHeight="1">
      <c r="A36" s="17"/>
      <c r="B36" s="199"/>
      <c r="C36" s="957" t="s">
        <v>1489</v>
      </c>
      <c r="D36" s="188">
        <f t="shared" si="5"/>
        <v>1005000</v>
      </c>
      <c r="E36" s="188">
        <v>505000</v>
      </c>
      <c r="F36" s="188">
        <v>500000</v>
      </c>
      <c r="G36" s="929"/>
      <c r="H36" s="930">
        <v>-400000</v>
      </c>
      <c r="I36" s="931">
        <f t="shared" si="6"/>
        <v>605000</v>
      </c>
      <c r="J36" s="188">
        <f t="shared" si="7"/>
        <v>105000</v>
      </c>
      <c r="K36" s="188">
        <f>F36</f>
        <v>500000</v>
      </c>
      <c r="L36" s="188"/>
      <c r="M36" s="8"/>
      <c r="N36" s="8"/>
    </row>
    <row r="37" spans="1:14" s="1" customFormat="1" ht="26.25" customHeight="1">
      <c r="A37" s="17"/>
      <c r="B37" s="248"/>
      <c r="C37" s="956" t="s">
        <v>1131</v>
      </c>
      <c r="D37" s="956">
        <f>SUM(E37:G37)</f>
        <v>220000</v>
      </c>
      <c r="E37" s="956">
        <v>220000</v>
      </c>
      <c r="F37" s="956"/>
      <c r="G37" s="964"/>
      <c r="H37" s="965">
        <v>-100000</v>
      </c>
      <c r="I37" s="966">
        <f>SUM(J37:L37)</f>
        <v>120000</v>
      </c>
      <c r="J37" s="956">
        <f>E37+H37</f>
        <v>120000</v>
      </c>
      <c r="K37" s="956"/>
      <c r="L37" s="956"/>
      <c r="M37" s="8"/>
      <c r="N37" s="8"/>
    </row>
    <row r="38" spans="1:14" s="1" customFormat="1" ht="22.5" customHeight="1">
      <c r="A38" s="127"/>
      <c r="B38" s="960">
        <v>90095</v>
      </c>
      <c r="C38" s="233" t="s">
        <v>488</v>
      </c>
      <c r="D38" s="233">
        <f t="shared" si="5"/>
        <v>10039277</v>
      </c>
      <c r="E38" s="233">
        <v>5909277</v>
      </c>
      <c r="F38" s="233">
        <v>4130000</v>
      </c>
      <c r="G38" s="967"/>
      <c r="H38" s="968">
        <f>H39</f>
        <v>400000</v>
      </c>
      <c r="I38" s="374">
        <f t="shared" si="6"/>
        <v>10439277</v>
      </c>
      <c r="J38" s="233">
        <f t="shared" si="7"/>
        <v>6309277</v>
      </c>
      <c r="K38" s="233">
        <f>F38</f>
        <v>4130000</v>
      </c>
      <c r="L38" s="233"/>
      <c r="M38" s="8"/>
      <c r="N38" s="8"/>
    </row>
    <row r="39" spans="1:14" s="1" customFormat="1" ht="27" customHeight="1">
      <c r="A39" s="17"/>
      <c r="B39" s="199"/>
      <c r="C39" s="958" t="s">
        <v>1490</v>
      </c>
      <c r="D39" s="307">
        <f t="shared" si="5"/>
        <v>2230000</v>
      </c>
      <c r="E39" s="307">
        <v>1500000</v>
      </c>
      <c r="F39" s="307">
        <v>730000</v>
      </c>
      <c r="G39" s="969"/>
      <c r="H39" s="970">
        <v>400000</v>
      </c>
      <c r="I39" s="971">
        <f t="shared" si="6"/>
        <v>2630000</v>
      </c>
      <c r="J39" s="307">
        <f t="shared" si="7"/>
        <v>1900000</v>
      </c>
      <c r="K39" s="307">
        <f>F39</f>
        <v>730000</v>
      </c>
      <c r="L39" s="307"/>
      <c r="M39" s="8"/>
      <c r="N39" s="8"/>
    </row>
    <row r="40" spans="1:12" ht="19.5" customHeight="1" thickBot="1">
      <c r="A40" s="248"/>
      <c r="B40" s="248"/>
      <c r="C40" s="1080" t="s">
        <v>1159</v>
      </c>
      <c r="D40" s="1081">
        <f>SUM(E40:G40)</f>
        <v>314490</v>
      </c>
      <c r="E40" s="1081"/>
      <c r="F40" s="1081"/>
      <c r="G40" s="1082">
        <v>314490</v>
      </c>
      <c r="H40" s="1083"/>
      <c r="I40" s="1084">
        <f t="shared" si="6"/>
        <v>314490</v>
      </c>
      <c r="J40" s="1081"/>
      <c r="K40" s="1081"/>
      <c r="L40" s="1081">
        <f>G40</f>
        <v>314490</v>
      </c>
    </row>
    <row r="41" ht="13.5" thickTop="1"/>
    <row r="42" spans="3:7" ht="12.75">
      <c r="C42" s="1388" t="s">
        <v>874</v>
      </c>
      <c r="F42" s="1384" t="s">
        <v>871</v>
      </c>
      <c r="G42" s="1384"/>
    </row>
    <row r="43" spans="3:7" ht="12.75">
      <c r="C43" s="1388"/>
      <c r="F43" s="1384" t="s">
        <v>872</v>
      </c>
      <c r="G43" s="1384"/>
    </row>
    <row r="44" spans="3:7" ht="12.75">
      <c r="C44" s="1388" t="s">
        <v>875</v>
      </c>
      <c r="F44" s="1384"/>
      <c r="G44" s="1384"/>
    </row>
    <row r="45" spans="3:7" ht="12.75">
      <c r="C45" s="1388" t="s">
        <v>876</v>
      </c>
      <c r="F45" s="1384" t="s">
        <v>873</v>
      </c>
      <c r="G45" s="1384"/>
    </row>
    <row r="46" spans="3:7" ht="12.75">
      <c r="C46" s="1388"/>
      <c r="F46" s="1384"/>
      <c r="G46" s="1384"/>
    </row>
    <row r="47" ht="12.75">
      <c r="C47" s="1388"/>
    </row>
    <row r="48" ht="13.5" customHeight="1"/>
  </sheetData>
  <mergeCells count="1">
    <mergeCell ref="D6:D7"/>
  </mergeCells>
  <printOptions horizontalCentered="1"/>
  <pageMargins left="0.38" right="0.3937007874015748" top="0.43" bottom="0.3937007874015748" header="0.31" footer="0.1968503937007874"/>
  <pageSetup firstPageNumber="11" useFirstPageNumber="1" horizontalDpi="300" verticalDpi="300" orientation="landscape" paperSize="9" scale="80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7"/>
  <sheetViews>
    <sheetView zoomScale="75" zoomScaleNormal="75" zoomScaleSheetLayoutView="75" workbookViewId="0" topLeftCell="A1">
      <selection activeCell="H40" sqref="H40"/>
    </sheetView>
  </sheetViews>
  <sheetFormatPr defaultColWidth="9.00390625" defaultRowHeight="12.75"/>
  <cols>
    <col min="1" max="1" width="8.625" style="1" customWidth="1"/>
    <col min="2" max="2" width="9.625" style="1" customWidth="1"/>
    <col min="3" max="3" width="70.00390625" style="1" customWidth="1"/>
    <col min="4" max="4" width="21.25390625" style="1" bestFit="1" customWidth="1"/>
    <col min="5" max="5" width="15.75390625" style="1" hidden="1" customWidth="1"/>
    <col min="6" max="7" width="18.75390625" style="1" customWidth="1"/>
    <col min="8" max="8" width="11.375" style="1" customWidth="1"/>
    <col min="9" max="9" width="9.125" style="1" customWidth="1"/>
    <col min="10" max="16384" width="7.875" style="1" customWidth="1"/>
  </cols>
  <sheetData>
    <row r="1" spans="5:7" ht="13.5" customHeight="1">
      <c r="E1" s="32"/>
      <c r="F1" s="32" t="s">
        <v>806</v>
      </c>
      <c r="G1" s="32"/>
    </row>
    <row r="2" ht="13.5" customHeight="1">
      <c r="F2" s="1" t="s">
        <v>877</v>
      </c>
    </row>
    <row r="3" spans="3:6" ht="15" customHeight="1">
      <c r="C3" s="2" t="s">
        <v>543</v>
      </c>
      <c r="E3" s="32"/>
      <c r="F3" s="1" t="s">
        <v>1161</v>
      </c>
    </row>
    <row r="4" spans="5:6" ht="14.25" customHeight="1">
      <c r="E4" s="32"/>
      <c r="F4" s="1" t="s">
        <v>1345</v>
      </c>
    </row>
    <row r="5" spans="4:7" ht="12.75" customHeight="1" thickBot="1">
      <c r="D5" s="37"/>
      <c r="E5" s="37"/>
      <c r="F5" s="37"/>
      <c r="G5" s="3" t="s">
        <v>1163</v>
      </c>
    </row>
    <row r="6" spans="1:7" ht="10.5" customHeight="1" thickTop="1">
      <c r="A6" s="38"/>
      <c r="B6" s="38"/>
      <c r="C6" s="38"/>
      <c r="D6" s="1389" t="s">
        <v>965</v>
      </c>
      <c r="E6" s="104"/>
      <c r="F6" s="104"/>
      <c r="G6" s="104"/>
    </row>
    <row r="7" spans="1:7" ht="62.25" customHeight="1" thickBot="1">
      <c r="A7" s="105" t="s">
        <v>509</v>
      </c>
      <c r="B7" s="105" t="s">
        <v>1165</v>
      </c>
      <c r="C7" s="40" t="s">
        <v>523</v>
      </c>
      <c r="D7" s="1391"/>
      <c r="E7" s="106" t="s">
        <v>1168</v>
      </c>
      <c r="F7" s="106" t="s">
        <v>1140</v>
      </c>
      <c r="G7" s="106" t="s">
        <v>1169</v>
      </c>
    </row>
    <row r="8" spans="1:7" ht="16.5" customHeight="1" thickBot="1" thickTop="1">
      <c r="A8" s="107">
        <v>1</v>
      </c>
      <c r="B8" s="107">
        <v>2</v>
      </c>
      <c r="C8" s="107">
        <v>3</v>
      </c>
      <c r="D8" s="21">
        <v>4</v>
      </c>
      <c r="E8" s="21">
        <v>5</v>
      </c>
      <c r="F8" s="21">
        <v>5</v>
      </c>
      <c r="G8" s="21">
        <v>6</v>
      </c>
    </row>
    <row r="9" spans="1:9" ht="23.25" customHeight="1" thickBot="1" thickTop="1">
      <c r="A9" s="1060"/>
      <c r="B9" s="1060"/>
      <c r="C9" s="1086" t="s">
        <v>524</v>
      </c>
      <c r="D9" s="1087">
        <v>11501375</v>
      </c>
      <c r="E9" s="1087"/>
      <c r="F9" s="1087">
        <f>F11+F31</f>
        <v>66238</v>
      </c>
      <c r="G9" s="1087">
        <f>D9+F9</f>
        <v>11567613</v>
      </c>
      <c r="H9" s="8"/>
      <c r="I9" s="8"/>
    </row>
    <row r="10" spans="1:7" ht="14.25" customHeight="1" thickTop="1">
      <c r="A10" s="99"/>
      <c r="B10" s="99"/>
      <c r="C10" s="1088" t="s">
        <v>548</v>
      </c>
      <c r="D10" s="1089"/>
      <c r="E10" s="1089"/>
      <c r="F10" s="1089"/>
      <c r="G10" s="1089"/>
    </row>
    <row r="11" spans="1:7" s="13" customFormat="1" ht="15" customHeight="1" thickBot="1">
      <c r="A11" s="181"/>
      <c r="B11" s="181"/>
      <c r="C11" s="265" t="s">
        <v>525</v>
      </c>
      <c r="D11" s="1090">
        <v>11249135</v>
      </c>
      <c r="E11" s="1090"/>
      <c r="F11" s="1090">
        <f>F12+F16+F19+F28</f>
        <v>66238</v>
      </c>
      <c r="G11" s="1090">
        <f aca="true" t="shared" si="0" ref="G11:G30">D11+F11</f>
        <v>11315373</v>
      </c>
    </row>
    <row r="12" spans="1:7" s="13" customFormat="1" ht="19.5" customHeight="1" thickTop="1">
      <c r="A12" s="184">
        <v>700</v>
      </c>
      <c r="B12" s="184"/>
      <c r="C12" s="398" t="s">
        <v>1422</v>
      </c>
      <c r="D12" s="346">
        <v>4300000</v>
      </c>
      <c r="E12" s="346"/>
      <c r="F12" s="346">
        <f>F13</f>
        <v>0</v>
      </c>
      <c r="G12" s="346">
        <f>SUM(D12:F12)</f>
        <v>4300000</v>
      </c>
    </row>
    <row r="13" spans="1:7" s="13" customFormat="1" ht="19.5" customHeight="1">
      <c r="A13" s="97"/>
      <c r="B13" s="338">
        <v>70001</v>
      </c>
      <c r="C13" s="399" t="s">
        <v>1423</v>
      </c>
      <c r="D13" s="393">
        <v>4000000</v>
      </c>
      <c r="E13" s="393"/>
      <c r="F13" s="393">
        <f>SUM(F14:F15)</f>
        <v>0</v>
      </c>
      <c r="G13" s="393">
        <f>SUM(D13:F13)</f>
        <v>4000000</v>
      </c>
    </row>
    <row r="14" spans="1:7" s="13" customFormat="1" ht="19.5" customHeight="1">
      <c r="A14" s="97"/>
      <c r="B14" s="97"/>
      <c r="C14" s="415" t="s">
        <v>1424</v>
      </c>
      <c r="D14" s="416">
        <v>1206717</v>
      </c>
      <c r="E14" s="416"/>
      <c r="F14" s="416">
        <v>-18716</v>
      </c>
      <c r="G14" s="416">
        <f>D14+F14</f>
        <v>1188001</v>
      </c>
    </row>
    <row r="15" spans="1:7" s="13" customFormat="1" ht="19.5" customHeight="1">
      <c r="A15" s="97"/>
      <c r="B15" s="97"/>
      <c r="C15" s="417" t="s">
        <v>1425</v>
      </c>
      <c r="D15" s="418">
        <v>1540000</v>
      </c>
      <c r="E15" s="418"/>
      <c r="F15" s="418">
        <v>18716</v>
      </c>
      <c r="G15" s="418">
        <f>D15+F15</f>
        <v>1558716</v>
      </c>
    </row>
    <row r="16" spans="1:7" s="13" customFormat="1" ht="19.5" customHeight="1">
      <c r="A16" s="184">
        <v>754</v>
      </c>
      <c r="B16" s="184"/>
      <c r="C16" s="315" t="s">
        <v>690</v>
      </c>
      <c r="D16" s="414"/>
      <c r="E16" s="414"/>
      <c r="F16" s="414">
        <f>F17</f>
        <v>20000</v>
      </c>
      <c r="G16" s="414">
        <f>SUM(D16:F16)</f>
        <v>20000</v>
      </c>
    </row>
    <row r="17" spans="1:7" s="13" customFormat="1" ht="19.5" customHeight="1">
      <c r="A17" s="97"/>
      <c r="B17" s="338">
        <v>75416</v>
      </c>
      <c r="C17" s="168" t="s">
        <v>1485</v>
      </c>
      <c r="D17" s="350"/>
      <c r="E17" s="350"/>
      <c r="F17" s="350">
        <f>F18</f>
        <v>20000</v>
      </c>
      <c r="G17" s="350">
        <f>SUM(D17:F17)</f>
        <v>20000</v>
      </c>
    </row>
    <row r="18" spans="1:7" s="13" customFormat="1" ht="19.5" customHeight="1">
      <c r="A18" s="97"/>
      <c r="B18" s="97"/>
      <c r="C18" s="933" t="s">
        <v>343</v>
      </c>
      <c r="D18" s="934"/>
      <c r="E18" s="934"/>
      <c r="F18" s="934">
        <v>20000</v>
      </c>
      <c r="G18" s="934">
        <f>SUM(D18:F18)</f>
        <v>20000</v>
      </c>
    </row>
    <row r="19" spans="1:7" s="13" customFormat="1" ht="18.75" customHeight="1">
      <c r="A19" s="184">
        <v>801</v>
      </c>
      <c r="B19" s="184"/>
      <c r="C19" s="413" t="s">
        <v>490</v>
      </c>
      <c r="D19" s="414">
        <v>2443359</v>
      </c>
      <c r="E19" s="414"/>
      <c r="F19" s="414">
        <f>F20+F22+F24+F26</f>
        <v>18238</v>
      </c>
      <c r="G19" s="414">
        <f t="shared" si="0"/>
        <v>2461597</v>
      </c>
    </row>
    <row r="20" spans="1:7" s="13" customFormat="1" ht="18.75" customHeight="1">
      <c r="A20" s="379"/>
      <c r="B20" s="254">
        <v>80101</v>
      </c>
      <c r="C20" s="399" t="s">
        <v>491</v>
      </c>
      <c r="D20" s="393">
        <v>707383</v>
      </c>
      <c r="E20" s="393"/>
      <c r="F20" s="393">
        <f>F21</f>
        <v>4700</v>
      </c>
      <c r="G20" s="394">
        <f t="shared" si="0"/>
        <v>712083</v>
      </c>
    </row>
    <row r="21" spans="1:7" s="13" customFormat="1" ht="18.75" customHeight="1">
      <c r="A21" s="379"/>
      <c r="B21" s="338"/>
      <c r="C21" s="400" t="s">
        <v>590</v>
      </c>
      <c r="D21" s="396">
        <v>707383</v>
      </c>
      <c r="E21" s="396"/>
      <c r="F21" s="396">
        <v>4700</v>
      </c>
      <c r="G21" s="401">
        <f t="shared" si="0"/>
        <v>712083</v>
      </c>
    </row>
    <row r="22" spans="1:7" s="138" customFormat="1" ht="18.75" customHeight="1">
      <c r="A22" s="379"/>
      <c r="B22" s="338">
        <v>80104</v>
      </c>
      <c r="C22" s="392" t="s">
        <v>625</v>
      </c>
      <c r="D22" s="393">
        <v>244924</v>
      </c>
      <c r="E22" s="393"/>
      <c r="F22" s="393">
        <f>F23</f>
        <v>13238</v>
      </c>
      <c r="G22" s="394">
        <f t="shared" si="0"/>
        <v>258162</v>
      </c>
    </row>
    <row r="23" spans="1:7" s="13" customFormat="1" ht="18.75" customHeight="1">
      <c r="A23" s="379"/>
      <c r="B23" s="254"/>
      <c r="C23" s="395" t="s">
        <v>626</v>
      </c>
      <c r="D23" s="396">
        <v>244924</v>
      </c>
      <c r="E23" s="396"/>
      <c r="F23" s="396">
        <v>13238</v>
      </c>
      <c r="G23" s="397">
        <f t="shared" si="0"/>
        <v>258162</v>
      </c>
    </row>
    <row r="24" spans="1:7" s="13" customFormat="1" ht="18.75" customHeight="1">
      <c r="A24" s="379"/>
      <c r="B24" s="254">
        <v>80120</v>
      </c>
      <c r="C24" s="399" t="s">
        <v>921</v>
      </c>
      <c r="D24" s="393">
        <v>358619</v>
      </c>
      <c r="E24" s="393"/>
      <c r="F24" s="393">
        <f>F25</f>
        <v>-4269</v>
      </c>
      <c r="G24" s="394">
        <f t="shared" si="0"/>
        <v>354350</v>
      </c>
    </row>
    <row r="25" spans="1:7" s="13" customFormat="1" ht="18.75" customHeight="1">
      <c r="A25" s="379"/>
      <c r="B25" s="338"/>
      <c r="C25" s="400" t="s">
        <v>590</v>
      </c>
      <c r="D25" s="396">
        <v>358619</v>
      </c>
      <c r="E25" s="396"/>
      <c r="F25" s="396">
        <v>-4269</v>
      </c>
      <c r="G25" s="401">
        <f t="shared" si="0"/>
        <v>354350</v>
      </c>
    </row>
    <row r="26" spans="1:7" s="13" customFormat="1" ht="18.75" customHeight="1">
      <c r="A26" s="379"/>
      <c r="B26" s="254">
        <v>80130</v>
      </c>
      <c r="C26" s="399" t="s">
        <v>647</v>
      </c>
      <c r="D26" s="393">
        <v>590237</v>
      </c>
      <c r="E26" s="393"/>
      <c r="F26" s="393">
        <f>F27</f>
        <v>4569</v>
      </c>
      <c r="G26" s="394">
        <f t="shared" si="0"/>
        <v>594806</v>
      </c>
    </row>
    <row r="27" spans="1:7" s="13" customFormat="1" ht="18.75" customHeight="1">
      <c r="A27" s="379"/>
      <c r="B27" s="1113"/>
      <c r="C27" s="1112" t="s">
        <v>590</v>
      </c>
      <c r="D27" s="934">
        <v>590237</v>
      </c>
      <c r="E27" s="934"/>
      <c r="F27" s="934">
        <f>-431+5000</f>
        <v>4569</v>
      </c>
      <c r="G27" s="409">
        <f t="shared" si="0"/>
        <v>594806</v>
      </c>
    </row>
    <row r="28" spans="1:7" s="13" customFormat="1" ht="18.75" customHeight="1">
      <c r="A28" s="184">
        <v>854</v>
      </c>
      <c r="B28" s="184"/>
      <c r="C28" s="420" t="s">
        <v>514</v>
      </c>
      <c r="D28" s="414">
        <v>62076</v>
      </c>
      <c r="E28" s="414"/>
      <c r="F28" s="414">
        <f>F29</f>
        <v>28000</v>
      </c>
      <c r="G28" s="414">
        <f t="shared" si="0"/>
        <v>90076</v>
      </c>
    </row>
    <row r="29" spans="1:7" s="13" customFormat="1" ht="18.75" customHeight="1">
      <c r="A29" s="379"/>
      <c r="B29" s="379">
        <v>85403</v>
      </c>
      <c r="C29" s="1115" t="s">
        <v>643</v>
      </c>
      <c r="D29" s="1116">
        <v>15000</v>
      </c>
      <c r="E29" s="1116"/>
      <c r="F29" s="1116">
        <f>F30</f>
        <v>28000</v>
      </c>
      <c r="G29" s="394">
        <f t="shared" si="0"/>
        <v>43000</v>
      </c>
    </row>
    <row r="30" spans="1:7" s="13" customFormat="1" ht="18.75" customHeight="1">
      <c r="A30" s="379"/>
      <c r="B30" s="187"/>
      <c r="C30" s="400" t="s">
        <v>626</v>
      </c>
      <c r="D30" s="1114">
        <v>15000</v>
      </c>
      <c r="E30" s="1114"/>
      <c r="F30" s="1114">
        <v>28000</v>
      </c>
      <c r="G30" s="401">
        <f t="shared" si="0"/>
        <v>43000</v>
      </c>
    </row>
    <row r="31" spans="1:7" s="108" customFormat="1" ht="18.75" customHeight="1" thickBot="1">
      <c r="A31" s="248"/>
      <c r="B31" s="248"/>
      <c r="C31" s="1013" t="s">
        <v>1159</v>
      </c>
      <c r="D31" s="1085">
        <v>252240</v>
      </c>
      <c r="E31" s="1085"/>
      <c r="F31" s="1085"/>
      <c r="G31" s="1085">
        <f>D31+F31</f>
        <v>252240</v>
      </c>
    </row>
    <row r="32" ht="13.5" thickTop="1"/>
    <row r="33" spans="3:7" ht="12.75">
      <c r="C33" s="1383" t="s">
        <v>874</v>
      </c>
      <c r="F33" s="1383" t="s">
        <v>871</v>
      </c>
      <c r="G33" s="1383"/>
    </row>
    <row r="34" spans="3:7" ht="12.75">
      <c r="C34" s="1383"/>
      <c r="F34" s="1383" t="s">
        <v>872</v>
      </c>
      <c r="G34" s="1383"/>
    </row>
    <row r="35" spans="3:7" ht="12.75">
      <c r="C35" s="1383" t="s">
        <v>875</v>
      </c>
      <c r="F35" s="1383"/>
      <c r="G35" s="1383"/>
    </row>
    <row r="36" spans="3:7" ht="12.75">
      <c r="C36" s="1383" t="s">
        <v>876</v>
      </c>
      <c r="F36" s="1383" t="s">
        <v>873</v>
      </c>
      <c r="G36" s="1383"/>
    </row>
    <row r="37" spans="3:7" ht="12.75">
      <c r="C37" s="1383"/>
      <c r="F37" s="1383"/>
      <c r="G37" s="1383"/>
    </row>
  </sheetData>
  <mergeCells count="1">
    <mergeCell ref="D6:D7"/>
  </mergeCells>
  <printOptions horizontalCentered="1"/>
  <pageMargins left="0.3937007874015748" right="0.3937007874015748" top="0.38" bottom="0.56" header="0.36" footer="0.3937007874015748"/>
  <pageSetup firstPageNumber="13" useFirstPageNumber="1" horizontalDpi="300" verticalDpi="300" orientation="landscape" paperSize="9" scale="9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58"/>
  <sheetViews>
    <sheetView zoomScale="75" zoomScaleNormal="75" zoomScaleSheetLayoutView="75" workbookViewId="0" topLeftCell="A1">
      <selection activeCell="F53" sqref="F53"/>
    </sheetView>
  </sheetViews>
  <sheetFormatPr defaultColWidth="9.125" defaultRowHeight="12.75"/>
  <cols>
    <col min="1" max="1" width="6.125" style="1" customWidth="1"/>
    <col min="2" max="2" width="8.125" style="1" customWidth="1"/>
    <col min="3" max="3" width="65.375" style="1" customWidth="1"/>
    <col min="4" max="9" width="15.75390625" style="1" customWidth="1"/>
  </cols>
  <sheetData>
    <row r="1" spans="2:8" ht="13.5" customHeight="1">
      <c r="B1" s="30"/>
      <c r="C1" s="31"/>
      <c r="D1" s="31"/>
      <c r="G1" s="32" t="s">
        <v>345</v>
      </c>
      <c r="H1" s="32"/>
    </row>
    <row r="2" spans="1:7" ht="13.5" customHeight="1">
      <c r="A2" s="117" t="s">
        <v>1136</v>
      </c>
      <c r="B2" s="117"/>
      <c r="C2" s="117"/>
      <c r="D2" s="33"/>
      <c r="G2" s="1" t="s">
        <v>877</v>
      </c>
    </row>
    <row r="3" spans="1:7" ht="13.5" customHeight="1">
      <c r="A3" s="117" t="s">
        <v>926</v>
      </c>
      <c r="C3" s="121"/>
      <c r="D3" s="34"/>
      <c r="G3" s="1" t="s">
        <v>1161</v>
      </c>
    </row>
    <row r="4" spans="1:7" ht="13.5" customHeight="1">
      <c r="A4" s="117" t="s">
        <v>927</v>
      </c>
      <c r="C4" s="121"/>
      <c r="D4" s="34"/>
      <c r="G4" s="1" t="s">
        <v>1345</v>
      </c>
    </row>
    <row r="5" spans="1:9" ht="6" customHeight="1">
      <c r="A5" s="35"/>
      <c r="B5" s="35"/>
      <c r="C5" s="35"/>
      <c r="D5" s="35"/>
      <c r="E5" s="36"/>
      <c r="F5" s="36"/>
      <c r="G5" s="36"/>
      <c r="H5" s="36"/>
      <c r="I5" s="36"/>
    </row>
    <row r="6" spans="5:9" ht="12" customHeight="1" thickBot="1">
      <c r="E6" s="37"/>
      <c r="F6" s="37"/>
      <c r="G6" s="37"/>
      <c r="H6" s="37"/>
      <c r="I6" s="3" t="s">
        <v>1163</v>
      </c>
    </row>
    <row r="7" spans="1:9" ht="15" customHeight="1" thickTop="1">
      <c r="A7" s="38"/>
      <c r="B7" s="38"/>
      <c r="C7" s="39" t="s">
        <v>517</v>
      </c>
      <c r="D7" s="1395" t="s">
        <v>925</v>
      </c>
      <c r="E7" s="1392" t="s">
        <v>1140</v>
      </c>
      <c r="F7" s="110"/>
      <c r="G7" s="1395" t="s">
        <v>924</v>
      </c>
      <c r="H7" s="1392" t="s">
        <v>1140</v>
      </c>
      <c r="I7" s="1392" t="s">
        <v>1137</v>
      </c>
    </row>
    <row r="8" spans="1:9" ht="93.75" customHeight="1" thickBot="1">
      <c r="A8" s="105" t="s">
        <v>509</v>
      </c>
      <c r="B8" s="40" t="s">
        <v>928</v>
      </c>
      <c r="C8" s="40" t="s">
        <v>1139</v>
      </c>
      <c r="D8" s="1396"/>
      <c r="E8" s="1393"/>
      <c r="F8" s="40" t="s">
        <v>527</v>
      </c>
      <c r="G8" s="1398"/>
      <c r="H8" s="1397"/>
      <c r="I8" s="1394"/>
    </row>
    <row r="9" spans="1:9" ht="14.25" customHeight="1" thickBot="1" thickTop="1">
      <c r="A9" s="6">
        <v>1</v>
      </c>
      <c r="B9" s="6">
        <v>2</v>
      </c>
      <c r="C9" s="6">
        <v>3</v>
      </c>
      <c r="D9" s="41">
        <v>4</v>
      </c>
      <c r="E9" s="41">
        <v>5</v>
      </c>
      <c r="F9" s="41">
        <v>6</v>
      </c>
      <c r="G9" s="6">
        <v>7</v>
      </c>
      <c r="H9" s="6">
        <v>8</v>
      </c>
      <c r="I9" s="6">
        <v>9</v>
      </c>
    </row>
    <row r="10" spans="1:9" ht="18" customHeight="1" thickBot="1" thickTop="1">
      <c r="A10" s="1021"/>
      <c r="B10" s="1022"/>
      <c r="C10" s="1023" t="s">
        <v>1141</v>
      </c>
      <c r="D10" s="1024">
        <v>71935441</v>
      </c>
      <c r="E10" s="1024">
        <f>E12+E27</f>
        <v>1025805</v>
      </c>
      <c r="F10" s="1025">
        <f>D10+E10</f>
        <v>72961246</v>
      </c>
      <c r="G10" s="1026">
        <v>63920852</v>
      </c>
      <c r="H10" s="1024">
        <f>H12+H27</f>
        <v>1025805</v>
      </c>
      <c r="I10" s="1024">
        <f>G10+H10</f>
        <v>64946657</v>
      </c>
    </row>
    <row r="11" spans="1:9" ht="12.75" customHeight="1">
      <c r="A11" s="353"/>
      <c r="B11" s="173"/>
      <c r="C11" s="1027" t="s">
        <v>1171</v>
      </c>
      <c r="D11" s="1028"/>
      <c r="E11" s="1029"/>
      <c r="F11" s="1030"/>
      <c r="G11" s="1031"/>
      <c r="H11" s="1032"/>
      <c r="I11" s="1033"/>
    </row>
    <row r="12" spans="1:9" s="1" customFormat="1" ht="16.5" customHeight="1" thickBot="1">
      <c r="A12" s="168"/>
      <c r="B12" s="168"/>
      <c r="C12" s="1034" t="s">
        <v>1142</v>
      </c>
      <c r="D12" s="1035">
        <v>46784127</v>
      </c>
      <c r="E12" s="1035">
        <f>E19</f>
        <v>1000000</v>
      </c>
      <c r="F12" s="1036">
        <f>SUM(D12:E12)</f>
        <v>47784127</v>
      </c>
      <c r="G12" s="1037">
        <v>44242538</v>
      </c>
      <c r="H12" s="1035">
        <f>H13+H19</f>
        <v>1000000</v>
      </c>
      <c r="I12" s="1038">
        <f aca="true" t="shared" si="0" ref="I12:I18">G12+H12</f>
        <v>45242538</v>
      </c>
    </row>
    <row r="13" spans="1:9" s="1" customFormat="1" ht="19.5" customHeight="1" thickTop="1">
      <c r="A13" s="334">
        <v>750</v>
      </c>
      <c r="B13" s="152"/>
      <c r="C13" s="171" t="s">
        <v>1175</v>
      </c>
      <c r="D13" s="346">
        <v>2385616</v>
      </c>
      <c r="E13" s="346"/>
      <c r="F13" s="347">
        <f>SUM(D13:E13)</f>
        <v>2385616</v>
      </c>
      <c r="G13" s="348">
        <v>1499616</v>
      </c>
      <c r="H13" s="152">
        <f>H14</f>
        <v>0</v>
      </c>
      <c r="I13" s="346">
        <f t="shared" si="0"/>
        <v>1499616</v>
      </c>
    </row>
    <row r="14" spans="1:9" s="1" customFormat="1" ht="18.75" customHeight="1">
      <c r="A14" s="173"/>
      <c r="B14" s="349">
        <v>75011</v>
      </c>
      <c r="C14" s="175" t="s">
        <v>539</v>
      </c>
      <c r="D14" s="350">
        <v>2385616</v>
      </c>
      <c r="E14" s="350"/>
      <c r="F14" s="351">
        <f>SUM(D14:E14)</f>
        <v>2385616</v>
      </c>
      <c r="G14" s="352">
        <v>1499616</v>
      </c>
      <c r="H14" s="176">
        <f>H15+H17</f>
        <v>0</v>
      </c>
      <c r="I14" s="350">
        <f t="shared" si="0"/>
        <v>1499616</v>
      </c>
    </row>
    <row r="15" spans="1:9" s="1" customFormat="1" ht="19.5" customHeight="1">
      <c r="A15" s="353"/>
      <c r="B15" s="178"/>
      <c r="C15" s="271" t="s">
        <v>1176</v>
      </c>
      <c r="D15" s="354"/>
      <c r="E15" s="354"/>
      <c r="F15" s="355"/>
      <c r="G15" s="356">
        <v>44116</v>
      </c>
      <c r="H15" s="179">
        <f>H16</f>
        <v>5509</v>
      </c>
      <c r="I15" s="354">
        <f t="shared" si="0"/>
        <v>49625</v>
      </c>
    </row>
    <row r="16" spans="1:9" s="1" customFormat="1" ht="19.5" customHeight="1" hidden="1">
      <c r="A16" s="353"/>
      <c r="B16" s="202">
        <v>4440</v>
      </c>
      <c r="C16" s="1107" t="s">
        <v>630</v>
      </c>
      <c r="D16" s="434"/>
      <c r="E16" s="434"/>
      <c r="F16" s="1132"/>
      <c r="G16" s="1133">
        <v>44116</v>
      </c>
      <c r="H16" s="940">
        <v>5509</v>
      </c>
      <c r="I16" s="434">
        <f t="shared" si="0"/>
        <v>49625</v>
      </c>
    </row>
    <row r="17" spans="1:9" s="1" customFormat="1" ht="19.5" customHeight="1">
      <c r="A17" s="353"/>
      <c r="B17" s="202"/>
      <c r="C17" s="1134" t="s">
        <v>553</v>
      </c>
      <c r="D17" s="1135"/>
      <c r="E17" s="1135"/>
      <c r="F17" s="1136"/>
      <c r="G17" s="1137">
        <v>239300</v>
      </c>
      <c r="H17" s="241">
        <f>H18</f>
        <v>-5509</v>
      </c>
      <c r="I17" s="1138">
        <f t="shared" si="0"/>
        <v>233791</v>
      </c>
    </row>
    <row r="18" spans="1:9" s="1" customFormat="1" ht="0.75" customHeight="1" hidden="1">
      <c r="A18" s="353"/>
      <c r="B18" s="202">
        <v>4110</v>
      </c>
      <c r="C18" s="1107" t="s">
        <v>1178</v>
      </c>
      <c r="D18" s="434"/>
      <c r="E18" s="434"/>
      <c r="F18" s="1132"/>
      <c r="G18" s="1133">
        <v>210300</v>
      </c>
      <c r="H18" s="940">
        <v>-5509</v>
      </c>
      <c r="I18" s="434">
        <f t="shared" si="0"/>
        <v>204791</v>
      </c>
    </row>
    <row r="19" spans="1:9" s="1" customFormat="1" ht="19.5" customHeight="1">
      <c r="A19" s="479">
        <v>852</v>
      </c>
      <c r="B19" s="305"/>
      <c r="C19" s="170" t="s">
        <v>485</v>
      </c>
      <c r="D19" s="414">
        <v>42340982</v>
      </c>
      <c r="E19" s="414">
        <f>E20</f>
        <v>1000000</v>
      </c>
      <c r="F19" s="1281">
        <f>D19+E19</f>
        <v>43340982</v>
      </c>
      <c r="G19" s="316">
        <v>42232982</v>
      </c>
      <c r="H19" s="316">
        <f>H20</f>
        <v>1000000</v>
      </c>
      <c r="I19" s="414">
        <f>SUM(G19:H19)</f>
        <v>43232982</v>
      </c>
    </row>
    <row r="20" spans="1:9" s="1" customFormat="1" ht="26.25" customHeight="1">
      <c r="A20" s="353"/>
      <c r="B20" s="174">
        <v>85212</v>
      </c>
      <c r="C20" s="175" t="s">
        <v>797</v>
      </c>
      <c r="D20" s="350">
        <v>25693642</v>
      </c>
      <c r="E20" s="350">
        <f>E21</f>
        <v>1000000</v>
      </c>
      <c r="F20" s="351">
        <f>D20+E20</f>
        <v>26693642</v>
      </c>
      <c r="G20" s="176">
        <v>25693642</v>
      </c>
      <c r="H20" s="176">
        <f>SUM(H23:H26)</f>
        <v>1000000</v>
      </c>
      <c r="I20" s="350">
        <f>SUM(G20:H20)</f>
        <v>26693642</v>
      </c>
    </row>
    <row r="21" spans="1:9" s="1" customFormat="1" ht="25.5" customHeight="1">
      <c r="A21" s="353"/>
      <c r="B21" s="202"/>
      <c r="C21" s="271" t="s">
        <v>798</v>
      </c>
      <c r="D21" s="354">
        <v>25520152</v>
      </c>
      <c r="E21" s="354">
        <f>E22</f>
        <v>1000000</v>
      </c>
      <c r="F21" s="355">
        <f>D21+E21</f>
        <v>26520152</v>
      </c>
      <c r="G21" s="356"/>
      <c r="H21" s="179"/>
      <c r="I21" s="354"/>
    </row>
    <row r="22" spans="1:9" s="1" customFormat="1" ht="26.25" customHeight="1">
      <c r="A22" s="353"/>
      <c r="B22" s="181">
        <v>2010</v>
      </c>
      <c r="C22" s="203" t="s">
        <v>799</v>
      </c>
      <c r="D22" s="357">
        <v>25520152</v>
      </c>
      <c r="E22" s="357">
        <v>1000000</v>
      </c>
      <c r="F22" s="358">
        <f>D22+E22</f>
        <v>26520152</v>
      </c>
      <c r="G22" s="359"/>
      <c r="H22" s="220"/>
      <c r="I22" s="357"/>
    </row>
    <row r="23" spans="1:9" s="1" customFormat="1" ht="19.5" customHeight="1">
      <c r="A23" s="353"/>
      <c r="B23" s="202"/>
      <c r="C23" s="271" t="s">
        <v>492</v>
      </c>
      <c r="D23" s="361"/>
      <c r="E23" s="361"/>
      <c r="F23" s="362"/>
      <c r="G23" s="179">
        <v>312618</v>
      </c>
      <c r="H23" s="179">
        <v>12110</v>
      </c>
      <c r="I23" s="354">
        <f aca="true" t="shared" si="1" ref="I23:I29">SUM(G23:H23)</f>
        <v>324728</v>
      </c>
    </row>
    <row r="24" spans="1:9" s="1" customFormat="1" ht="19.5" customHeight="1">
      <c r="A24" s="353"/>
      <c r="B24" s="202"/>
      <c r="C24" s="240" t="s">
        <v>1176</v>
      </c>
      <c r="D24" s="1135"/>
      <c r="E24" s="1135"/>
      <c r="F24" s="1136"/>
      <c r="G24" s="241">
        <v>448215</v>
      </c>
      <c r="H24" s="241">
        <v>5400</v>
      </c>
      <c r="I24" s="1138">
        <f t="shared" si="1"/>
        <v>453615</v>
      </c>
    </row>
    <row r="25" spans="1:9" s="1" customFormat="1" ht="19.5" customHeight="1">
      <c r="A25" s="353"/>
      <c r="B25" s="202"/>
      <c r="C25" s="240" t="s">
        <v>553</v>
      </c>
      <c r="D25" s="1135"/>
      <c r="E25" s="1135"/>
      <c r="F25" s="1136"/>
      <c r="G25" s="241">
        <v>64322</v>
      </c>
      <c r="H25" s="241">
        <f>267+2223</f>
        <v>2490</v>
      </c>
      <c r="I25" s="1138">
        <f t="shared" si="1"/>
        <v>66812</v>
      </c>
    </row>
    <row r="26" spans="1:9" s="1" customFormat="1" ht="19.5" customHeight="1">
      <c r="A26" s="353"/>
      <c r="B26" s="202"/>
      <c r="C26" s="1129" t="s">
        <v>805</v>
      </c>
      <c r="D26" s="434"/>
      <c r="E26" s="434"/>
      <c r="F26" s="1132"/>
      <c r="G26" s="956">
        <v>24694997</v>
      </c>
      <c r="H26" s="952">
        <v>980000</v>
      </c>
      <c r="I26" s="934">
        <f t="shared" si="1"/>
        <v>25674997</v>
      </c>
    </row>
    <row r="27" spans="1:9" ht="21" customHeight="1" thickBot="1">
      <c r="A27" s="335"/>
      <c r="B27" s="97"/>
      <c r="C27" s="1013" t="s">
        <v>522</v>
      </c>
      <c r="D27" s="1014">
        <v>25151314</v>
      </c>
      <c r="E27" s="1014">
        <f>E28+E36</f>
        <v>25805</v>
      </c>
      <c r="F27" s="1015">
        <f>D27+E27</f>
        <v>25177119</v>
      </c>
      <c r="G27" s="1016">
        <v>19678314</v>
      </c>
      <c r="H27" s="1014">
        <f>H28+H36</f>
        <v>25805</v>
      </c>
      <c r="I27" s="1014">
        <f t="shared" si="1"/>
        <v>19704119</v>
      </c>
    </row>
    <row r="28" spans="1:9" s="1" customFormat="1" ht="18.75" customHeight="1" thickTop="1">
      <c r="A28" s="333">
        <v>754</v>
      </c>
      <c r="B28" s="184"/>
      <c r="C28" s="171" t="s">
        <v>690</v>
      </c>
      <c r="D28" s="152">
        <v>11810000</v>
      </c>
      <c r="E28" s="152">
        <f>E29</f>
        <v>20000</v>
      </c>
      <c r="F28" s="224">
        <f>D28+E28</f>
        <v>11830000</v>
      </c>
      <c r="G28" s="225">
        <v>11806000</v>
      </c>
      <c r="H28" s="152">
        <f>H29</f>
        <v>20000</v>
      </c>
      <c r="I28" s="152">
        <f t="shared" si="1"/>
        <v>11826000</v>
      </c>
    </row>
    <row r="29" spans="1:9" s="1" customFormat="1" ht="18.75" customHeight="1">
      <c r="A29" s="210"/>
      <c r="B29" s="254">
        <v>75411</v>
      </c>
      <c r="C29" s="208" t="s">
        <v>691</v>
      </c>
      <c r="D29" s="211">
        <v>11810000</v>
      </c>
      <c r="E29" s="211">
        <f>E30</f>
        <v>20000</v>
      </c>
      <c r="F29" s="318">
        <f>D29+E29</f>
        <v>11830000</v>
      </c>
      <c r="G29" s="212">
        <v>11806000</v>
      </c>
      <c r="H29" s="211">
        <f>H32</f>
        <v>20000</v>
      </c>
      <c r="I29" s="211">
        <f t="shared" si="1"/>
        <v>11826000</v>
      </c>
    </row>
    <row r="30" spans="1:9" s="1" customFormat="1" ht="27.75" customHeight="1">
      <c r="A30" s="99"/>
      <c r="B30" s="99"/>
      <c r="C30" s="319" t="s">
        <v>922</v>
      </c>
      <c r="D30" s="197">
        <v>11806000</v>
      </c>
      <c r="E30" s="197">
        <f>E31</f>
        <v>20000</v>
      </c>
      <c r="F30" s="320">
        <f>D30+E30</f>
        <v>11826000</v>
      </c>
      <c r="G30" s="321"/>
      <c r="H30" s="197"/>
      <c r="I30" s="197"/>
    </row>
    <row r="31" spans="1:9" s="1" customFormat="1" ht="39" customHeight="1">
      <c r="A31" s="202"/>
      <c r="B31" s="181">
        <v>2110</v>
      </c>
      <c r="C31" s="203" t="s">
        <v>1418</v>
      </c>
      <c r="D31" s="204">
        <v>11806000</v>
      </c>
      <c r="E31" s="204">
        <v>20000</v>
      </c>
      <c r="F31" s="322">
        <f>D31+E31</f>
        <v>11826000</v>
      </c>
      <c r="G31" s="323"/>
      <c r="H31" s="204"/>
      <c r="I31" s="204"/>
    </row>
    <row r="32" spans="1:9" s="1" customFormat="1" ht="18.75" customHeight="1">
      <c r="A32" s="229"/>
      <c r="B32" s="229"/>
      <c r="C32" s="229" t="s">
        <v>1176</v>
      </c>
      <c r="D32" s="1119"/>
      <c r="E32" s="1119"/>
      <c r="F32" s="1141"/>
      <c r="G32" s="1142">
        <v>2927200</v>
      </c>
      <c r="H32" s="1119">
        <f>SUM(H33:H35)</f>
        <v>20000</v>
      </c>
      <c r="I32" s="1119">
        <f>SUM(G32:H32)</f>
        <v>2947200</v>
      </c>
    </row>
    <row r="33" spans="1:9" s="1" customFormat="1" ht="18.75" customHeight="1" hidden="1">
      <c r="A33" s="202"/>
      <c r="B33" s="202">
        <v>4210</v>
      </c>
      <c r="C33" s="202" t="s">
        <v>1174</v>
      </c>
      <c r="D33" s="242"/>
      <c r="E33" s="242"/>
      <c r="F33" s="1139"/>
      <c r="G33" s="1140">
        <v>300000</v>
      </c>
      <c r="H33" s="242">
        <v>9000</v>
      </c>
      <c r="I33" s="242">
        <f>SUM(G33:H33)</f>
        <v>309000</v>
      </c>
    </row>
    <row r="34" spans="1:9" s="143" customFormat="1" ht="18.75" customHeight="1" hidden="1">
      <c r="A34" s="202"/>
      <c r="B34" s="205">
        <v>4300</v>
      </c>
      <c r="C34" s="205" t="s">
        <v>1173</v>
      </c>
      <c r="D34" s="207"/>
      <c r="E34" s="207"/>
      <c r="F34" s="331"/>
      <c r="G34" s="332">
        <v>137000</v>
      </c>
      <c r="H34" s="207">
        <v>7000</v>
      </c>
      <c r="I34" s="207">
        <f>G34+H34</f>
        <v>144000</v>
      </c>
    </row>
    <row r="35" spans="1:9" s="19" customFormat="1" ht="18.75" customHeight="1" hidden="1">
      <c r="A35" s="181"/>
      <c r="B35" s="205">
        <v>4410</v>
      </c>
      <c r="C35" s="205" t="s">
        <v>1006</v>
      </c>
      <c r="D35" s="207"/>
      <c r="E35" s="207"/>
      <c r="F35" s="331"/>
      <c r="G35" s="332">
        <v>20000</v>
      </c>
      <c r="H35" s="207">
        <v>4000</v>
      </c>
      <c r="I35" s="207">
        <f>G35+H35</f>
        <v>24000</v>
      </c>
    </row>
    <row r="36" spans="1:9" ht="18.75" customHeight="1">
      <c r="A36" s="192">
        <v>853</v>
      </c>
      <c r="B36" s="192"/>
      <c r="C36" s="171" t="s">
        <v>684</v>
      </c>
      <c r="D36" s="152">
        <v>551105</v>
      </c>
      <c r="E36" s="152">
        <f>E44</f>
        <v>5805</v>
      </c>
      <c r="F36" s="224">
        <f>D36+E36</f>
        <v>556910</v>
      </c>
      <c r="G36" s="152">
        <v>551105</v>
      </c>
      <c r="H36" s="152">
        <f>H37+H44</f>
        <v>5805</v>
      </c>
      <c r="I36" s="152">
        <f aca="true" t="shared" si="2" ref="I36:I44">SUM(G36:H36)</f>
        <v>556910</v>
      </c>
    </row>
    <row r="37" spans="1:9" ht="18.75" customHeight="1">
      <c r="A37" s="173"/>
      <c r="B37" s="174">
        <v>85321</v>
      </c>
      <c r="C37" s="168" t="s">
        <v>685</v>
      </c>
      <c r="D37" s="213">
        <v>509000</v>
      </c>
      <c r="E37" s="213"/>
      <c r="F37" s="214">
        <v>509000</v>
      </c>
      <c r="G37" s="194">
        <v>509000</v>
      </c>
      <c r="H37" s="213">
        <f>H38+H40</f>
        <v>0</v>
      </c>
      <c r="I37" s="213">
        <f t="shared" si="2"/>
        <v>509000</v>
      </c>
    </row>
    <row r="38" spans="1:9" ht="18.75" customHeight="1">
      <c r="A38" s="173"/>
      <c r="B38" s="173"/>
      <c r="C38" s="196" t="s">
        <v>492</v>
      </c>
      <c r="D38" s="215"/>
      <c r="E38" s="215"/>
      <c r="F38" s="216"/>
      <c r="G38" s="197">
        <v>259389</v>
      </c>
      <c r="H38" s="179">
        <f>H39</f>
        <v>-1015</v>
      </c>
      <c r="I38" s="179">
        <f t="shared" si="2"/>
        <v>258374</v>
      </c>
    </row>
    <row r="39" spans="1:9" ht="19.5" customHeight="1" hidden="1">
      <c r="A39" s="210"/>
      <c r="B39" s="181">
        <v>4010</v>
      </c>
      <c r="C39" s="202" t="s">
        <v>896</v>
      </c>
      <c r="D39" s="217"/>
      <c r="E39" s="217"/>
      <c r="F39" s="218"/>
      <c r="G39" s="242">
        <v>240702</v>
      </c>
      <c r="H39" s="226">
        <v>-1015</v>
      </c>
      <c r="I39" s="226">
        <f t="shared" si="2"/>
        <v>239687</v>
      </c>
    </row>
    <row r="40" spans="1:9" ht="18.75" customHeight="1">
      <c r="A40" s="373"/>
      <c r="B40" s="181"/>
      <c r="C40" s="1282" t="s">
        <v>1176</v>
      </c>
      <c r="D40" s="182"/>
      <c r="E40" s="182"/>
      <c r="F40" s="1283"/>
      <c r="G40" s="1126">
        <v>186311</v>
      </c>
      <c r="H40" s="956">
        <f>SUM(H41:H43)</f>
        <v>1015</v>
      </c>
      <c r="I40" s="182">
        <f t="shared" si="2"/>
        <v>187326</v>
      </c>
    </row>
    <row r="41" spans="1:9" ht="21" customHeight="1" hidden="1">
      <c r="A41" s="210"/>
      <c r="B41" s="181">
        <v>4210</v>
      </c>
      <c r="C41" s="203" t="s">
        <v>1174</v>
      </c>
      <c r="D41" s="220"/>
      <c r="E41" s="220"/>
      <c r="F41" s="221"/>
      <c r="G41" s="204">
        <v>6191</v>
      </c>
      <c r="H41" s="220">
        <v>500</v>
      </c>
      <c r="I41" s="220">
        <f t="shared" si="2"/>
        <v>6691</v>
      </c>
    </row>
    <row r="42" spans="1:9" ht="21" customHeight="1" hidden="1">
      <c r="A42" s="210"/>
      <c r="B42" s="205">
        <v>4300</v>
      </c>
      <c r="C42" s="206" t="s">
        <v>1173</v>
      </c>
      <c r="D42" s="222"/>
      <c r="E42" s="222"/>
      <c r="F42" s="223"/>
      <c r="G42" s="207">
        <v>171722</v>
      </c>
      <c r="H42" s="222">
        <v>500</v>
      </c>
      <c r="I42" s="222">
        <f t="shared" si="2"/>
        <v>172222</v>
      </c>
    </row>
    <row r="43" spans="1:9" ht="21" customHeight="1" hidden="1">
      <c r="A43" s="210"/>
      <c r="B43" s="300">
        <v>4440</v>
      </c>
      <c r="C43" s="369" t="s">
        <v>630</v>
      </c>
      <c r="D43" s="370"/>
      <c r="E43" s="370"/>
      <c r="F43" s="371"/>
      <c r="G43" s="372">
        <v>6398</v>
      </c>
      <c r="H43" s="370">
        <v>15</v>
      </c>
      <c r="I43" s="370">
        <f t="shared" si="2"/>
        <v>6413</v>
      </c>
    </row>
    <row r="44" spans="1:9" ht="21" customHeight="1">
      <c r="A44" s="210"/>
      <c r="B44" s="174">
        <v>85334</v>
      </c>
      <c r="C44" s="272" t="s">
        <v>1386</v>
      </c>
      <c r="D44" s="176">
        <v>42105</v>
      </c>
      <c r="E44" s="176">
        <f>E45</f>
        <v>5805</v>
      </c>
      <c r="F44" s="339">
        <f>SUM(D44:E44)</f>
        <v>47910</v>
      </c>
      <c r="G44" s="374">
        <v>42105</v>
      </c>
      <c r="H44" s="176">
        <f>H47</f>
        <v>5805</v>
      </c>
      <c r="I44" s="176">
        <f t="shared" si="2"/>
        <v>47910</v>
      </c>
    </row>
    <row r="45" spans="1:9" ht="21" customHeight="1">
      <c r="A45" s="210"/>
      <c r="B45" s="300"/>
      <c r="C45" s="367" t="s">
        <v>1387</v>
      </c>
      <c r="D45" s="179">
        <v>42105</v>
      </c>
      <c r="E45" s="179">
        <f>E46</f>
        <v>5805</v>
      </c>
      <c r="F45" s="341">
        <f>SUM(D45:E45)</f>
        <v>47910</v>
      </c>
      <c r="G45" s="321"/>
      <c r="H45" s="179"/>
      <c r="I45" s="179"/>
    </row>
    <row r="46" spans="1:9" ht="42" customHeight="1">
      <c r="A46" s="210"/>
      <c r="B46" s="181">
        <v>2110</v>
      </c>
      <c r="C46" s="203" t="s">
        <v>1388</v>
      </c>
      <c r="D46" s="220">
        <v>42105</v>
      </c>
      <c r="E46" s="220">
        <v>5805</v>
      </c>
      <c r="F46" s="221">
        <f>SUM(D46:E46)</f>
        <v>47910</v>
      </c>
      <c r="G46" s="323"/>
      <c r="H46" s="220"/>
      <c r="I46" s="220"/>
    </row>
    <row r="47" spans="1:9" ht="21" customHeight="1">
      <c r="A47" s="210"/>
      <c r="B47" s="300"/>
      <c r="C47" s="271" t="s">
        <v>1389</v>
      </c>
      <c r="D47" s="179"/>
      <c r="E47" s="179"/>
      <c r="F47" s="341"/>
      <c r="G47" s="368">
        <v>42105</v>
      </c>
      <c r="H47" s="179">
        <f>H48</f>
        <v>5805</v>
      </c>
      <c r="I47" s="179">
        <f>SUM(G47:H47)</f>
        <v>47910</v>
      </c>
    </row>
    <row r="48" spans="1:9" ht="21" customHeight="1" hidden="1">
      <c r="A48" s="373"/>
      <c r="B48" s="181">
        <v>3110</v>
      </c>
      <c r="C48" s="11" t="s">
        <v>1496</v>
      </c>
      <c r="D48" s="220"/>
      <c r="E48" s="220"/>
      <c r="F48" s="221"/>
      <c r="G48" s="12">
        <v>22865</v>
      </c>
      <c r="H48" s="220">
        <v>5805</v>
      </c>
      <c r="I48" s="220">
        <f>SUM(G48:H48)</f>
        <v>28670</v>
      </c>
    </row>
    <row r="49" spans="1:9" ht="15.75" customHeight="1">
      <c r="A49" s="1017"/>
      <c r="B49" s="1017"/>
      <c r="C49" s="1017" t="s">
        <v>550</v>
      </c>
      <c r="D49" s="1018"/>
      <c r="E49" s="1018"/>
      <c r="F49" s="1018"/>
      <c r="G49" s="1019"/>
      <c r="H49" s="1019"/>
      <c r="I49" s="1018"/>
    </row>
    <row r="50" spans="1:9" ht="26.25" customHeight="1">
      <c r="A50" s="193"/>
      <c r="B50" s="205">
        <v>2350</v>
      </c>
      <c r="C50" s="206" t="s">
        <v>546</v>
      </c>
      <c r="D50" s="207">
        <v>6467000</v>
      </c>
      <c r="E50" s="207"/>
      <c r="F50" s="331">
        <f>D50</f>
        <v>6467000</v>
      </c>
      <c r="G50" s="332"/>
      <c r="H50" s="1020"/>
      <c r="I50" s="1020"/>
    </row>
    <row r="52" spans="3:6" ht="12.75">
      <c r="C52" s="1383" t="s">
        <v>874</v>
      </c>
      <c r="E52" s="1383" t="s">
        <v>871</v>
      </c>
      <c r="F52" s="1383"/>
    </row>
    <row r="53" spans="3:6" ht="12.75">
      <c r="C53" s="1383"/>
      <c r="E53" s="1383" t="s">
        <v>872</v>
      </c>
      <c r="F53" s="1383"/>
    </row>
    <row r="54" spans="3:6" ht="12.75">
      <c r="C54" s="1383" t="s">
        <v>875</v>
      </c>
      <c r="E54" s="1383"/>
      <c r="F54" s="1383"/>
    </row>
    <row r="55" spans="3:6" ht="12.75">
      <c r="C55" s="1383" t="s">
        <v>876</v>
      </c>
      <c r="E55" s="1383" t="s">
        <v>873</v>
      </c>
      <c r="F55" s="1383"/>
    </row>
    <row r="56" spans="3:6" ht="12.75">
      <c r="C56" s="1383"/>
      <c r="E56" s="1383"/>
      <c r="F56" s="1383"/>
    </row>
    <row r="57" spans="5:6" ht="12.75">
      <c r="E57" s="1383"/>
      <c r="F57" s="1383"/>
    </row>
    <row r="58" spans="5:6" ht="12.75">
      <c r="E58" s="1383"/>
      <c r="F58" s="1383"/>
    </row>
  </sheetData>
  <mergeCells count="5">
    <mergeCell ref="E7:E8"/>
    <mergeCell ref="I7:I8"/>
    <mergeCell ref="D7:D8"/>
    <mergeCell ref="H7:H8"/>
    <mergeCell ref="G7:G8"/>
  </mergeCells>
  <printOptions horizontalCentered="1"/>
  <pageMargins left="0.5905511811023623" right="0.5905511811023623" top="0.32" bottom="0.5511811023622047" header="0.5118110236220472" footer="0.3937007874015748"/>
  <pageSetup firstPageNumber="14" useFirstPageNumber="1" horizontalDpi="300" verticalDpi="300" orientation="landscape" paperSize="9" scale="75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zoomScale="75" zoomScaleNormal="75" zoomScaleSheetLayoutView="75" workbookViewId="0" topLeftCell="A1">
      <selection activeCell="J8" sqref="J8"/>
    </sheetView>
  </sheetViews>
  <sheetFormatPr defaultColWidth="9.00390625" defaultRowHeight="12.75"/>
  <cols>
    <col min="1" max="1" width="5.375" style="1" customWidth="1"/>
    <col min="2" max="3" width="7.75390625" style="1" customWidth="1"/>
    <col min="4" max="4" width="65.625" style="1" customWidth="1"/>
    <col min="5" max="5" width="21.75390625" style="1" customWidth="1"/>
    <col min="6" max="7" width="14.625" style="1" hidden="1" customWidth="1"/>
    <col min="8" max="8" width="22.25390625" style="1" customWidth="1"/>
    <col min="9" max="9" width="21.375" style="1" customWidth="1"/>
    <col min="10" max="10" width="12.00390625" style="1" customWidth="1"/>
    <col min="11" max="11" width="11.125" style="1" customWidth="1"/>
    <col min="12" max="12" width="15.25390625" style="1" customWidth="1"/>
    <col min="13" max="16384" width="9.125" style="1" customWidth="1"/>
  </cols>
  <sheetData>
    <row r="1" spans="1:9" ht="15" customHeight="1">
      <c r="A1" s="1054"/>
      <c r="B1" s="1055"/>
      <c r="C1" s="1055"/>
      <c r="D1" s="1054"/>
      <c r="E1" s="1054"/>
      <c r="F1" s="1054"/>
      <c r="G1" s="1054"/>
      <c r="H1" s="1054" t="s">
        <v>1347</v>
      </c>
      <c r="I1" s="1054"/>
    </row>
    <row r="2" spans="1:9" ht="15.75" customHeight="1">
      <c r="A2" s="1054"/>
      <c r="B2" s="1054"/>
      <c r="C2" s="1054"/>
      <c r="D2" s="1054"/>
      <c r="E2" s="1054"/>
      <c r="F2" s="1054"/>
      <c r="G2" s="1054"/>
      <c r="H2" s="1054" t="s">
        <v>878</v>
      </c>
      <c r="I2" s="1054"/>
    </row>
    <row r="3" spans="1:9" ht="17.25" customHeight="1">
      <c r="A3" s="1054"/>
      <c r="B3" s="1054"/>
      <c r="C3" s="1054"/>
      <c r="D3" s="1056" t="s">
        <v>534</v>
      </c>
      <c r="E3" s="1054"/>
      <c r="F3" s="1054"/>
      <c r="G3" s="1054"/>
      <c r="H3" s="1054" t="s">
        <v>1161</v>
      </c>
      <c r="I3" s="1054"/>
    </row>
    <row r="4" spans="1:9" ht="17.25" customHeight="1">
      <c r="A4" s="1054"/>
      <c r="B4" s="1054"/>
      <c r="C4" s="1054"/>
      <c r="D4" s="1054"/>
      <c r="E4" s="1054"/>
      <c r="F4" s="1054"/>
      <c r="G4" s="1054"/>
      <c r="H4" s="1054" t="s">
        <v>1345</v>
      </c>
      <c r="I4" s="1054"/>
    </row>
    <row r="5" spans="1:9" ht="17.25" customHeight="1" thickBot="1">
      <c r="A5" s="1054"/>
      <c r="B5" s="1054"/>
      <c r="C5" s="1054"/>
      <c r="D5" s="1054"/>
      <c r="E5" s="1054"/>
      <c r="F5" s="1054"/>
      <c r="G5" s="1054"/>
      <c r="H5" s="1054"/>
      <c r="I5" s="1057" t="s">
        <v>1163</v>
      </c>
    </row>
    <row r="6" spans="1:9" ht="88.5" customHeight="1" thickBot="1" thickTop="1">
      <c r="A6" s="1058" t="s">
        <v>1164</v>
      </c>
      <c r="B6" s="1058" t="s">
        <v>1165</v>
      </c>
      <c r="C6" s="91" t="s">
        <v>1166</v>
      </c>
      <c r="D6" s="91" t="s">
        <v>499</v>
      </c>
      <c r="E6" s="91" t="s">
        <v>533</v>
      </c>
      <c r="F6" s="91" t="s">
        <v>1168</v>
      </c>
      <c r="G6" s="91" t="s">
        <v>1168</v>
      </c>
      <c r="H6" s="1058" t="s">
        <v>500</v>
      </c>
      <c r="I6" s="91" t="s">
        <v>1169</v>
      </c>
    </row>
    <row r="7" spans="1:9" s="22" customFormat="1" ht="17.25" customHeight="1" thickBot="1" thickTop="1">
      <c r="A7" s="1059">
        <v>1</v>
      </c>
      <c r="B7" s="1059">
        <v>2</v>
      </c>
      <c r="C7" s="1059">
        <v>3</v>
      </c>
      <c r="D7" s="1059">
        <v>4</v>
      </c>
      <c r="E7" s="1059">
        <v>5</v>
      </c>
      <c r="F7" s="1059">
        <v>6</v>
      </c>
      <c r="G7" s="1059">
        <v>6</v>
      </c>
      <c r="H7" s="1059">
        <v>6</v>
      </c>
      <c r="I7" s="1059">
        <v>7</v>
      </c>
    </row>
    <row r="8" spans="1:12" ht="24" customHeight="1" thickBot="1" thickTop="1">
      <c r="A8" s="1060"/>
      <c r="B8" s="1060"/>
      <c r="C8" s="1060"/>
      <c r="D8" s="1061" t="s">
        <v>501</v>
      </c>
      <c r="E8" s="1062">
        <v>700383581</v>
      </c>
      <c r="F8" s="1062"/>
      <c r="G8" s="1062"/>
      <c r="H8" s="1062">
        <f>H10+H20</f>
        <v>1025805</v>
      </c>
      <c r="I8" s="1062">
        <f>E8+H8</f>
        <v>701409386</v>
      </c>
      <c r="J8" s="8"/>
      <c r="K8" s="8"/>
      <c r="L8" s="8"/>
    </row>
    <row r="9" spans="1:9" ht="16.5" customHeight="1" thickTop="1">
      <c r="A9" s="99"/>
      <c r="B9" s="99"/>
      <c r="C9" s="99"/>
      <c r="D9" s="99" t="s">
        <v>1171</v>
      </c>
      <c r="E9" s="260"/>
      <c r="F9" s="260"/>
      <c r="G9" s="260"/>
      <c r="H9" s="260"/>
      <c r="I9" s="260"/>
    </row>
    <row r="10" spans="1:12" ht="19.5" customHeight="1" thickBot="1">
      <c r="A10" s="99"/>
      <c r="B10" s="99"/>
      <c r="C10" s="99"/>
      <c r="D10" s="1063" t="s">
        <v>502</v>
      </c>
      <c r="E10" s="1064">
        <v>486468857</v>
      </c>
      <c r="F10" s="1064"/>
      <c r="G10" s="1064"/>
      <c r="H10" s="1064">
        <f>H15</f>
        <v>1000000</v>
      </c>
      <c r="I10" s="1064">
        <f aca="true" t="shared" si="0" ref="I10:I30">E10+H10</f>
        <v>487468857</v>
      </c>
      <c r="J10" s="8"/>
      <c r="L10" s="8"/>
    </row>
    <row r="11" spans="1:12" ht="19.5" customHeight="1" thickBot="1">
      <c r="A11" s="99"/>
      <c r="B11" s="99"/>
      <c r="C11" s="99"/>
      <c r="D11" s="308" t="s">
        <v>503</v>
      </c>
      <c r="E11" s="309">
        <v>333395099</v>
      </c>
      <c r="F11" s="309"/>
      <c r="G11" s="309"/>
      <c r="H11" s="309"/>
      <c r="I11" s="309">
        <f>SUM(E11:H11)</f>
        <v>333395099</v>
      </c>
      <c r="J11" s="8"/>
      <c r="L11" s="8"/>
    </row>
    <row r="12" spans="1:12" ht="19.5" customHeight="1" thickBot="1" thickTop="1">
      <c r="A12" s="99"/>
      <c r="B12" s="99"/>
      <c r="C12" s="99"/>
      <c r="D12" s="1261" t="s">
        <v>504</v>
      </c>
      <c r="E12" s="1067">
        <v>101816076</v>
      </c>
      <c r="F12" s="1067"/>
      <c r="G12" s="1067"/>
      <c r="H12" s="1067"/>
      <c r="I12" s="1067">
        <f>SUM(E12:H12)</f>
        <v>101816076</v>
      </c>
      <c r="J12" s="8"/>
      <c r="L12" s="8"/>
    </row>
    <row r="13" spans="1:12" ht="19.5" customHeight="1" thickBot="1" thickTop="1">
      <c r="A13" s="99"/>
      <c r="B13" s="99"/>
      <c r="C13" s="99"/>
      <c r="D13" s="1261" t="s">
        <v>505</v>
      </c>
      <c r="E13" s="1067">
        <v>5259396</v>
      </c>
      <c r="F13" s="1067"/>
      <c r="G13" s="1067"/>
      <c r="H13" s="1067"/>
      <c r="I13" s="1067">
        <f>SUM(E13:H13)</f>
        <v>5259396</v>
      </c>
      <c r="J13" s="8"/>
      <c r="L13" s="8"/>
    </row>
    <row r="14" spans="1:12" ht="19.5" customHeight="1" thickBot="1" thickTop="1">
      <c r="A14" s="99"/>
      <c r="B14" s="99"/>
      <c r="C14" s="99"/>
      <c r="D14" s="1261" t="s">
        <v>506</v>
      </c>
      <c r="E14" s="1067">
        <v>208159</v>
      </c>
      <c r="F14" s="1067"/>
      <c r="G14" s="1067"/>
      <c r="H14" s="1067"/>
      <c r="I14" s="1067">
        <f>SUM(E14:H14)</f>
        <v>208159</v>
      </c>
      <c r="J14" s="8"/>
      <c r="L14" s="8"/>
    </row>
    <row r="15" spans="1:12" ht="27.75" customHeight="1" thickBot="1" thickTop="1">
      <c r="A15" s="99"/>
      <c r="B15" s="99"/>
      <c r="C15" s="99"/>
      <c r="D15" s="1066" t="s">
        <v>795</v>
      </c>
      <c r="E15" s="1067">
        <v>45790127</v>
      </c>
      <c r="F15" s="1067"/>
      <c r="G15" s="1067">
        <f aca="true" t="shared" si="1" ref="G15:H17">G16</f>
        <v>1000000</v>
      </c>
      <c r="H15" s="1067">
        <f t="shared" si="1"/>
        <v>1000000</v>
      </c>
      <c r="I15" s="1067">
        <f>E15+H15</f>
        <v>46790127</v>
      </c>
      <c r="J15" s="8"/>
      <c r="L15" s="8"/>
    </row>
    <row r="16" spans="1:12" ht="19.5" customHeight="1" thickTop="1">
      <c r="A16" s="170">
        <v>852</v>
      </c>
      <c r="B16" s="1275"/>
      <c r="C16" s="1275"/>
      <c r="D16" s="192" t="s">
        <v>485</v>
      </c>
      <c r="E16" s="232">
        <v>42232982</v>
      </c>
      <c r="F16" s="232"/>
      <c r="G16" s="232">
        <f t="shared" si="1"/>
        <v>1000000</v>
      </c>
      <c r="H16" s="232">
        <f t="shared" si="1"/>
        <v>1000000</v>
      </c>
      <c r="I16" s="1269">
        <f>E16+H16</f>
        <v>43232982</v>
      </c>
      <c r="J16" s="8"/>
      <c r="L16" s="8"/>
    </row>
    <row r="17" spans="1:12" ht="25.5" customHeight="1">
      <c r="A17" s="99"/>
      <c r="B17" s="174">
        <v>85212</v>
      </c>
      <c r="C17" s="174"/>
      <c r="D17" s="175" t="s">
        <v>797</v>
      </c>
      <c r="E17" s="233">
        <v>25693642</v>
      </c>
      <c r="F17" s="233"/>
      <c r="G17" s="233">
        <f t="shared" si="1"/>
        <v>1000000</v>
      </c>
      <c r="H17" s="233">
        <f t="shared" si="1"/>
        <v>1000000</v>
      </c>
      <c r="I17" s="233">
        <f>E17+H17</f>
        <v>26693642</v>
      </c>
      <c r="J17" s="8"/>
      <c r="L17" s="8"/>
    </row>
    <row r="18" spans="1:12" ht="26.25" customHeight="1">
      <c r="A18" s="99"/>
      <c r="B18" s="99"/>
      <c r="C18" s="99"/>
      <c r="D18" s="271" t="s">
        <v>798</v>
      </c>
      <c r="E18" s="197">
        <v>25520152</v>
      </c>
      <c r="F18" s="197"/>
      <c r="G18" s="197">
        <v>1000000</v>
      </c>
      <c r="H18" s="197">
        <f>H19</f>
        <v>1000000</v>
      </c>
      <c r="I18" s="197">
        <f>E18+H18</f>
        <v>26520152</v>
      </c>
      <c r="J18" s="8"/>
      <c r="L18" s="8"/>
    </row>
    <row r="19" spans="1:12" ht="26.25" customHeight="1">
      <c r="A19" s="99"/>
      <c r="B19" s="99"/>
      <c r="C19" s="181">
        <v>2010</v>
      </c>
      <c r="D19" s="203" t="s">
        <v>346</v>
      </c>
      <c r="E19" s="204">
        <v>25520152</v>
      </c>
      <c r="F19" s="204"/>
      <c r="G19" s="204"/>
      <c r="H19" s="204">
        <v>1000000</v>
      </c>
      <c r="I19" s="204">
        <f>E19+H19</f>
        <v>26520152</v>
      </c>
      <c r="J19" s="8"/>
      <c r="L19" s="8"/>
    </row>
    <row r="20" spans="1:10" ht="19.5" customHeight="1" thickBot="1">
      <c r="A20" s="99"/>
      <c r="B20" s="99"/>
      <c r="C20" s="99"/>
      <c r="D20" s="1063" t="s">
        <v>507</v>
      </c>
      <c r="E20" s="1064">
        <v>213914724</v>
      </c>
      <c r="F20" s="1064"/>
      <c r="G20" s="1064"/>
      <c r="H20" s="1064">
        <f>H21+H22+H23+H24+H26</f>
        <v>25805</v>
      </c>
      <c r="I20" s="1064">
        <f t="shared" si="0"/>
        <v>213940529</v>
      </c>
      <c r="J20" s="8"/>
    </row>
    <row r="21" spans="1:10" s="122" customFormat="1" ht="21" customHeight="1" thickBot="1">
      <c r="A21" s="173"/>
      <c r="B21" s="173"/>
      <c r="C21" s="173"/>
      <c r="D21" s="1065" t="s">
        <v>503</v>
      </c>
      <c r="E21" s="309">
        <v>47457664</v>
      </c>
      <c r="F21" s="309"/>
      <c r="G21" s="309"/>
      <c r="H21" s="309"/>
      <c r="I21" s="309">
        <f t="shared" si="0"/>
        <v>47457664</v>
      </c>
      <c r="J21" s="42"/>
    </row>
    <row r="22" spans="1:9" s="20" customFormat="1" ht="21" customHeight="1" thickBot="1" thickTop="1">
      <c r="A22" s="173"/>
      <c r="B22" s="173"/>
      <c r="C22" s="173"/>
      <c r="D22" s="109" t="s">
        <v>504</v>
      </c>
      <c r="E22" s="169">
        <v>127021659</v>
      </c>
      <c r="F22" s="169"/>
      <c r="G22" s="169"/>
      <c r="H22" s="169"/>
      <c r="I22" s="169">
        <f t="shared" si="0"/>
        <v>127021659</v>
      </c>
    </row>
    <row r="23" spans="1:9" s="20" customFormat="1" ht="21" customHeight="1" thickBot="1" thickTop="1">
      <c r="A23" s="173"/>
      <c r="B23" s="173"/>
      <c r="C23" s="173"/>
      <c r="D23" s="109" t="s">
        <v>505</v>
      </c>
      <c r="E23" s="169">
        <v>19647087</v>
      </c>
      <c r="F23" s="169"/>
      <c r="G23" s="169"/>
      <c r="H23" s="169"/>
      <c r="I23" s="169">
        <f t="shared" si="0"/>
        <v>19647087</v>
      </c>
    </row>
    <row r="24" spans="1:9" s="20" customFormat="1" ht="21" customHeight="1" thickTop="1">
      <c r="A24" s="168"/>
      <c r="B24" s="168"/>
      <c r="C24" s="168"/>
      <c r="D24" s="1270" t="s">
        <v>506</v>
      </c>
      <c r="E24" s="1271">
        <v>110000</v>
      </c>
      <c r="F24" s="1271"/>
      <c r="G24" s="1271"/>
      <c r="H24" s="1272"/>
      <c r="I24" s="1271">
        <f t="shared" si="0"/>
        <v>110000</v>
      </c>
    </row>
    <row r="25" spans="1:9" s="20" customFormat="1" ht="21" customHeight="1">
      <c r="A25" s="1265"/>
      <c r="B25" s="1265"/>
      <c r="C25" s="1265"/>
      <c r="D25" s="1266"/>
      <c r="E25" s="1267"/>
      <c r="F25" s="1267"/>
      <c r="G25" s="1267"/>
      <c r="H25" s="1268"/>
      <c r="I25" s="1267"/>
    </row>
    <row r="26" spans="1:9" s="20" customFormat="1" ht="29.25" customHeight="1" thickBot="1">
      <c r="A26" s="168"/>
      <c r="B26" s="168"/>
      <c r="C26" s="168"/>
      <c r="D26" s="109" t="s">
        <v>508</v>
      </c>
      <c r="E26" s="169">
        <v>19678314</v>
      </c>
      <c r="F26" s="169"/>
      <c r="G26" s="169"/>
      <c r="H26" s="169">
        <f>H27+H31</f>
        <v>25805</v>
      </c>
      <c r="I26" s="169">
        <f t="shared" si="0"/>
        <v>19704119</v>
      </c>
    </row>
    <row r="27" spans="1:9" ht="19.5" customHeight="1" thickTop="1">
      <c r="A27" s="170">
        <v>754</v>
      </c>
      <c r="B27" s="170"/>
      <c r="C27" s="170"/>
      <c r="D27" s="171" t="s">
        <v>690</v>
      </c>
      <c r="E27" s="152">
        <v>11806000</v>
      </c>
      <c r="F27" s="172"/>
      <c r="G27" s="172"/>
      <c r="H27" s="152">
        <f>H28</f>
        <v>20000</v>
      </c>
      <c r="I27" s="152">
        <f t="shared" si="0"/>
        <v>11826000</v>
      </c>
    </row>
    <row r="28" spans="1:9" ht="20.25" customHeight="1">
      <c r="A28" s="173"/>
      <c r="B28" s="174">
        <v>75411</v>
      </c>
      <c r="C28" s="174"/>
      <c r="D28" s="175" t="s">
        <v>691</v>
      </c>
      <c r="E28" s="176">
        <v>11806000</v>
      </c>
      <c r="F28" s="177"/>
      <c r="G28" s="177"/>
      <c r="H28" s="176">
        <f>H29</f>
        <v>20000</v>
      </c>
      <c r="I28" s="176">
        <f t="shared" si="0"/>
        <v>11826000</v>
      </c>
    </row>
    <row r="29" spans="1:9" ht="24.75" customHeight="1">
      <c r="A29" s="99"/>
      <c r="B29" s="178"/>
      <c r="C29" s="178"/>
      <c r="D29" s="271" t="s">
        <v>922</v>
      </c>
      <c r="E29" s="179">
        <v>11806000</v>
      </c>
      <c r="F29" s="180"/>
      <c r="G29" s="180"/>
      <c r="H29" s="179">
        <f>H30</f>
        <v>20000</v>
      </c>
      <c r="I29" s="179">
        <f t="shared" si="0"/>
        <v>11826000</v>
      </c>
    </row>
    <row r="30" spans="1:9" ht="39" customHeight="1">
      <c r="A30" s="181"/>
      <c r="B30" s="181"/>
      <c r="C30" s="181">
        <v>2110</v>
      </c>
      <c r="D30" s="203" t="s">
        <v>1388</v>
      </c>
      <c r="E30" s="182">
        <v>11806000</v>
      </c>
      <c r="F30" s="182"/>
      <c r="G30" s="182"/>
      <c r="H30" s="182">
        <v>20000</v>
      </c>
      <c r="I30" s="182">
        <f t="shared" si="0"/>
        <v>11826000</v>
      </c>
    </row>
    <row r="31" spans="1:9" ht="19.5" customHeight="1">
      <c r="A31" s="170">
        <v>853</v>
      </c>
      <c r="B31" s="170"/>
      <c r="C31" s="170"/>
      <c r="D31" s="170" t="s">
        <v>684</v>
      </c>
      <c r="E31" s="297">
        <v>551105</v>
      </c>
      <c r="F31" s="297"/>
      <c r="G31" s="297"/>
      <c r="H31" s="297">
        <f>H32</f>
        <v>5805</v>
      </c>
      <c r="I31" s="297">
        <f>SUM(E31:H31)</f>
        <v>556910</v>
      </c>
    </row>
    <row r="32" spans="1:9" ht="19.5" customHeight="1">
      <c r="A32" s="286"/>
      <c r="B32" s="174">
        <v>85334</v>
      </c>
      <c r="C32" s="174"/>
      <c r="D32" s="174" t="s">
        <v>1386</v>
      </c>
      <c r="E32" s="233">
        <v>42105</v>
      </c>
      <c r="F32" s="233"/>
      <c r="G32" s="233"/>
      <c r="H32" s="233">
        <f>H33</f>
        <v>5805</v>
      </c>
      <c r="I32" s="233">
        <f>SUM(E32:H32)</f>
        <v>47910</v>
      </c>
    </row>
    <row r="33" spans="1:9" ht="19.5" customHeight="1">
      <c r="A33" s="99"/>
      <c r="B33" s="178"/>
      <c r="C33" s="178"/>
      <c r="D33" s="196" t="s">
        <v>1387</v>
      </c>
      <c r="E33" s="197">
        <v>42105</v>
      </c>
      <c r="F33" s="197"/>
      <c r="G33" s="197"/>
      <c r="H33" s="197">
        <f>H34</f>
        <v>5805</v>
      </c>
      <c r="I33" s="197">
        <f>SUM(E33:H33)</f>
        <v>47910</v>
      </c>
    </row>
    <row r="34" spans="1:9" ht="41.25" customHeight="1">
      <c r="A34" s="229"/>
      <c r="B34" s="229"/>
      <c r="C34" s="181">
        <v>2110</v>
      </c>
      <c r="D34" s="203" t="s">
        <v>1388</v>
      </c>
      <c r="E34" s="204">
        <v>42105</v>
      </c>
      <c r="F34" s="204"/>
      <c r="G34" s="204"/>
      <c r="H34" s="204">
        <v>5805</v>
      </c>
      <c r="I34" s="204">
        <f>SUM(E34:H34)</f>
        <v>47910</v>
      </c>
    </row>
    <row r="36" spans="4:8" ht="12.75">
      <c r="D36" s="1383" t="s">
        <v>874</v>
      </c>
      <c r="H36" s="1383" t="s">
        <v>871</v>
      </c>
    </row>
    <row r="37" spans="4:8" ht="12.75">
      <c r="D37" s="1383"/>
      <c r="H37" s="1383" t="s">
        <v>872</v>
      </c>
    </row>
    <row r="38" spans="4:8" ht="12.75">
      <c r="D38" s="1383" t="s">
        <v>875</v>
      </c>
      <c r="H38" s="1383"/>
    </row>
    <row r="39" spans="4:8" ht="12.75">
      <c r="D39" s="1383" t="s">
        <v>876</v>
      </c>
      <c r="H39" s="1383" t="s">
        <v>873</v>
      </c>
    </row>
    <row r="40" spans="4:8" ht="12.75">
      <c r="D40" s="1383"/>
      <c r="H40" s="1383"/>
    </row>
    <row r="41" spans="4:8" ht="12.75">
      <c r="D41" s="1383"/>
      <c r="H41" s="1383"/>
    </row>
    <row r="42" ht="12.75">
      <c r="D42" s="1383"/>
    </row>
  </sheetData>
  <printOptions horizontalCentered="1"/>
  <pageMargins left="0.5905511811023623" right="0.5905511811023623" top="0.6692913385826772" bottom="0.5905511811023623" header="0.5118110236220472" footer="0.3937007874015748"/>
  <pageSetup firstPageNumber="16" useFirstPageNumber="1" horizontalDpi="300" verticalDpi="300" orientation="landscape" paperSize="9" scale="85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313"/>
  <sheetViews>
    <sheetView zoomScale="75" zoomScaleNormal="75" zoomScaleSheetLayoutView="75" workbookViewId="0" topLeftCell="A1">
      <selection activeCell="J8" sqref="J8"/>
    </sheetView>
  </sheetViews>
  <sheetFormatPr defaultColWidth="9.00390625" defaultRowHeight="12.75"/>
  <cols>
    <col min="1" max="1" width="5.25390625" style="1" customWidth="1"/>
    <col min="2" max="2" width="7.75390625" style="1" customWidth="1"/>
    <col min="3" max="3" width="7.625" style="1" customWidth="1"/>
    <col min="4" max="4" width="53.875" style="1" customWidth="1"/>
    <col min="5" max="8" width="20.75390625" style="1" customWidth="1"/>
    <col min="9" max="9" width="11.875" style="1" customWidth="1"/>
    <col min="10" max="10" width="12.375" style="1" customWidth="1"/>
    <col min="11" max="11" width="10.375" style="1" bestFit="1" customWidth="1"/>
    <col min="12" max="12" width="11.00390625" style="1" customWidth="1"/>
    <col min="13" max="16384" width="9.125" style="1" customWidth="1"/>
  </cols>
  <sheetData>
    <row r="1" ht="18" customHeight="1">
      <c r="G1" s="1" t="s">
        <v>352</v>
      </c>
    </row>
    <row r="2" ht="18" customHeight="1">
      <c r="G2" s="1" t="s">
        <v>877</v>
      </c>
    </row>
    <row r="3" ht="18" customHeight="1">
      <c r="G3" s="1" t="s">
        <v>1161</v>
      </c>
    </row>
    <row r="4" spans="4:7" ht="18" customHeight="1">
      <c r="D4" s="2" t="s">
        <v>544</v>
      </c>
      <c r="G4" s="1" t="s">
        <v>1345</v>
      </c>
    </row>
    <row r="5" ht="18.75" customHeight="1" thickBot="1">
      <c r="H5" s="3" t="s">
        <v>1163</v>
      </c>
    </row>
    <row r="6" spans="1:8" ht="86.25" customHeight="1" thickBot="1" thickTop="1">
      <c r="A6" s="4" t="s">
        <v>1164</v>
      </c>
      <c r="B6" s="4" t="s">
        <v>1165</v>
      </c>
      <c r="C6" s="5" t="s">
        <v>1166</v>
      </c>
      <c r="D6" s="5" t="s">
        <v>1167</v>
      </c>
      <c r="E6" s="5" t="s">
        <v>532</v>
      </c>
      <c r="F6" s="5" t="s">
        <v>518</v>
      </c>
      <c r="G6" s="5" t="s">
        <v>500</v>
      </c>
      <c r="H6" s="5" t="s">
        <v>1169</v>
      </c>
    </row>
    <row r="7" spans="1:8" ht="18.75" customHeight="1" thickBot="1" thickTop="1">
      <c r="A7" s="6">
        <v>1</v>
      </c>
      <c r="B7" s="6">
        <v>2</v>
      </c>
      <c r="C7" s="6">
        <v>3</v>
      </c>
      <c r="D7" s="7">
        <v>4</v>
      </c>
      <c r="E7" s="7">
        <v>5</v>
      </c>
      <c r="F7" s="7">
        <v>6</v>
      </c>
      <c r="G7" s="7">
        <v>7</v>
      </c>
      <c r="H7" s="7">
        <v>8</v>
      </c>
    </row>
    <row r="8" spans="1:12" ht="24" customHeight="1" thickBot="1" thickTop="1">
      <c r="A8" s="173"/>
      <c r="B8" s="1022"/>
      <c r="C8" s="1022"/>
      <c r="D8" s="1101" t="s">
        <v>1170</v>
      </c>
      <c r="E8" s="1102">
        <v>719664581</v>
      </c>
      <c r="F8" s="1102">
        <f>F10+F258+F259</f>
        <v>2823315</v>
      </c>
      <c r="G8" s="1102">
        <f>G10+G258+G259</f>
        <v>3849120</v>
      </c>
      <c r="H8" s="1102">
        <f>E8+G8-F8</f>
        <v>720690386</v>
      </c>
      <c r="I8" s="8"/>
      <c r="J8" s="8"/>
      <c r="K8" s="8"/>
      <c r="L8" s="8"/>
    </row>
    <row r="9" spans="1:10" ht="19.5" customHeight="1">
      <c r="A9" s="99"/>
      <c r="B9" s="99"/>
      <c r="C9" s="99"/>
      <c r="D9" s="99" t="s">
        <v>1171</v>
      </c>
      <c r="E9" s="1103"/>
      <c r="F9" s="1103"/>
      <c r="G9" s="1103"/>
      <c r="H9" s="1103"/>
      <c r="J9" s="9"/>
    </row>
    <row r="10" spans="1:12" ht="21" customHeight="1" thickBot="1">
      <c r="A10" s="173"/>
      <c r="B10" s="173"/>
      <c r="C10" s="173"/>
      <c r="D10" s="230" t="s">
        <v>1172</v>
      </c>
      <c r="E10" s="1090">
        <v>655589570</v>
      </c>
      <c r="F10" s="1090">
        <f>F11+F22+F33+F38+F51+F56+F145+F164+F184+F237+F251</f>
        <v>2815825</v>
      </c>
      <c r="G10" s="1090">
        <f>G11+G22+G33+G38+G51+G56+G145+G164+G184+G237+G251</f>
        <v>2815825</v>
      </c>
      <c r="H10" s="1090">
        <f aca="true" t="shared" si="0" ref="H10:H258">E10+G10-F10</f>
        <v>655589570</v>
      </c>
      <c r="J10" s="8"/>
      <c r="L10" s="8"/>
    </row>
    <row r="11" spans="1:12" ht="21" customHeight="1" thickTop="1">
      <c r="A11" s="170">
        <v>600</v>
      </c>
      <c r="B11" s="170"/>
      <c r="C11" s="170"/>
      <c r="D11" s="315" t="s">
        <v>551</v>
      </c>
      <c r="E11" s="316">
        <v>60268064</v>
      </c>
      <c r="F11" s="316">
        <f>F12+F17</f>
        <v>670000</v>
      </c>
      <c r="G11" s="316">
        <f>G12+G17</f>
        <v>886000</v>
      </c>
      <c r="H11" s="316">
        <f t="shared" si="0"/>
        <v>60484064</v>
      </c>
      <c r="J11" s="8"/>
      <c r="L11" s="8"/>
    </row>
    <row r="12" spans="1:12" ht="21" customHeight="1">
      <c r="A12" s="99"/>
      <c r="B12" s="168">
        <v>60004</v>
      </c>
      <c r="C12" s="168"/>
      <c r="D12" s="168" t="s">
        <v>1419</v>
      </c>
      <c r="E12" s="194">
        <v>14745191</v>
      </c>
      <c r="F12" s="194"/>
      <c r="G12" s="194">
        <f>G13+G15</f>
        <v>216000</v>
      </c>
      <c r="H12" s="194">
        <f t="shared" si="0"/>
        <v>14961191</v>
      </c>
      <c r="J12" s="8"/>
      <c r="L12" s="8"/>
    </row>
    <row r="13" spans="1:12" ht="21" customHeight="1">
      <c r="A13" s="99"/>
      <c r="B13" s="99"/>
      <c r="C13" s="99"/>
      <c r="D13" s="324" t="s">
        <v>1420</v>
      </c>
      <c r="E13" s="237"/>
      <c r="F13" s="237"/>
      <c r="G13" s="237">
        <f>G14</f>
        <v>36000</v>
      </c>
      <c r="H13" s="237">
        <f t="shared" si="0"/>
        <v>36000</v>
      </c>
      <c r="J13" s="8"/>
      <c r="L13" s="8"/>
    </row>
    <row r="14" spans="1:12" ht="21" customHeight="1">
      <c r="A14" s="99"/>
      <c r="B14" s="99"/>
      <c r="C14" s="181">
        <v>4300</v>
      </c>
      <c r="D14" s="181" t="s">
        <v>1173</v>
      </c>
      <c r="E14" s="204"/>
      <c r="F14" s="204"/>
      <c r="G14" s="204">
        <v>36000</v>
      </c>
      <c r="H14" s="204">
        <f t="shared" si="0"/>
        <v>36000</v>
      </c>
      <c r="J14" s="8"/>
      <c r="L14" s="8"/>
    </row>
    <row r="15" spans="1:12" ht="21" customHeight="1">
      <c r="A15" s="99"/>
      <c r="B15" s="99"/>
      <c r="C15" s="99"/>
      <c r="D15" s="196" t="s">
        <v>1421</v>
      </c>
      <c r="E15" s="197"/>
      <c r="F15" s="197"/>
      <c r="G15" s="197">
        <f>G16</f>
        <v>180000</v>
      </c>
      <c r="H15" s="197">
        <f t="shared" si="0"/>
        <v>180000</v>
      </c>
      <c r="J15" s="8"/>
      <c r="L15" s="8"/>
    </row>
    <row r="16" spans="1:12" s="13" customFormat="1" ht="21" customHeight="1">
      <c r="A16" s="202"/>
      <c r="B16" s="202"/>
      <c r="C16" s="181">
        <v>4300</v>
      </c>
      <c r="D16" s="181" t="s">
        <v>1173</v>
      </c>
      <c r="E16" s="204"/>
      <c r="F16" s="204"/>
      <c r="G16" s="204">
        <v>180000</v>
      </c>
      <c r="H16" s="204">
        <f t="shared" si="0"/>
        <v>180000</v>
      </c>
      <c r="J16" s="14"/>
      <c r="L16" s="14"/>
    </row>
    <row r="17" spans="1:12" s="13" customFormat="1" ht="21" customHeight="1">
      <c r="A17" s="99"/>
      <c r="B17" s="174">
        <v>60015</v>
      </c>
      <c r="C17" s="168"/>
      <c r="D17" s="168" t="s">
        <v>1123</v>
      </c>
      <c r="E17" s="194">
        <v>38814673</v>
      </c>
      <c r="F17" s="194">
        <f>F18</f>
        <v>670000</v>
      </c>
      <c r="G17" s="194">
        <f>G18</f>
        <v>670000</v>
      </c>
      <c r="H17" s="194">
        <f t="shared" si="0"/>
        <v>38814673</v>
      </c>
      <c r="J17" s="14"/>
      <c r="L17" s="14"/>
    </row>
    <row r="18" spans="1:12" s="13" customFormat="1" ht="21" customHeight="1">
      <c r="A18" s="99"/>
      <c r="B18" s="99"/>
      <c r="C18" s="99"/>
      <c r="D18" s="324" t="s">
        <v>1491</v>
      </c>
      <c r="E18" s="237">
        <v>32698973</v>
      </c>
      <c r="F18" s="237">
        <f>F21</f>
        <v>670000</v>
      </c>
      <c r="G18" s="237">
        <f>G21</f>
        <v>670000</v>
      </c>
      <c r="H18" s="237">
        <f t="shared" si="0"/>
        <v>32698973</v>
      </c>
      <c r="J18" s="14"/>
      <c r="L18" s="14"/>
    </row>
    <row r="19" spans="1:12" s="13" customFormat="1" ht="24.75" customHeight="1">
      <c r="A19" s="202"/>
      <c r="B19" s="202"/>
      <c r="C19" s="202"/>
      <c r="D19" s="386" t="s">
        <v>815</v>
      </c>
      <c r="E19" s="285">
        <v>1395950</v>
      </c>
      <c r="F19" s="285">
        <v>670000</v>
      </c>
      <c r="G19" s="285"/>
      <c r="H19" s="328">
        <f t="shared" si="0"/>
        <v>725950</v>
      </c>
      <c r="J19" s="14"/>
      <c r="L19" s="14"/>
    </row>
    <row r="20" spans="1:12" s="13" customFormat="1" ht="19.5" customHeight="1">
      <c r="A20" s="202"/>
      <c r="B20" s="202"/>
      <c r="C20" s="202"/>
      <c r="D20" s="469" t="s">
        <v>1487</v>
      </c>
      <c r="E20" s="938">
        <v>1100000</v>
      </c>
      <c r="F20" s="938"/>
      <c r="G20" s="938">
        <v>670000</v>
      </c>
      <c r="H20" s="938">
        <f t="shared" si="0"/>
        <v>1770000</v>
      </c>
      <c r="J20" s="14"/>
      <c r="L20" s="14"/>
    </row>
    <row r="21" spans="1:12" s="13" customFormat="1" ht="21" customHeight="1">
      <c r="A21" s="99"/>
      <c r="B21" s="99"/>
      <c r="C21" s="202">
        <v>6050</v>
      </c>
      <c r="D21" s="202" t="s">
        <v>1124</v>
      </c>
      <c r="E21" s="242">
        <v>22494250</v>
      </c>
      <c r="F21" s="242">
        <f>SUM(F19:F20)</f>
        <v>670000</v>
      </c>
      <c r="G21" s="242">
        <f>SUM(G19:G20)</f>
        <v>670000</v>
      </c>
      <c r="H21" s="242">
        <f t="shared" si="0"/>
        <v>22494250</v>
      </c>
      <c r="J21" s="14"/>
      <c r="L21" s="14"/>
    </row>
    <row r="22" spans="1:12" s="13" customFormat="1" ht="21" customHeight="1">
      <c r="A22" s="170">
        <v>700</v>
      </c>
      <c r="B22" s="170"/>
      <c r="C22" s="170"/>
      <c r="D22" s="420" t="s">
        <v>1422</v>
      </c>
      <c r="E22" s="421">
        <v>8703000</v>
      </c>
      <c r="F22" s="421">
        <f>F23+F28</f>
        <v>73716</v>
      </c>
      <c r="G22" s="421">
        <f>G23+G28</f>
        <v>73716</v>
      </c>
      <c r="H22" s="421">
        <f t="shared" si="0"/>
        <v>8703000</v>
      </c>
      <c r="J22" s="14"/>
      <c r="L22" s="14"/>
    </row>
    <row r="23" spans="1:12" s="13" customFormat="1" ht="21" customHeight="1">
      <c r="A23" s="99"/>
      <c r="B23" s="174">
        <v>70001</v>
      </c>
      <c r="C23" s="174"/>
      <c r="D23" s="431" t="s">
        <v>1423</v>
      </c>
      <c r="E23" s="278">
        <v>4445000</v>
      </c>
      <c r="F23" s="278">
        <f>F24</f>
        <v>18716</v>
      </c>
      <c r="G23" s="278">
        <f>G24</f>
        <v>18716</v>
      </c>
      <c r="H23" s="278">
        <f t="shared" si="0"/>
        <v>4445000</v>
      </c>
      <c r="J23" s="14"/>
      <c r="L23" s="14"/>
    </row>
    <row r="24" spans="1:12" s="13" customFormat="1" ht="19.5" customHeight="1">
      <c r="A24" s="99"/>
      <c r="B24" s="99"/>
      <c r="C24" s="99"/>
      <c r="D24" s="432" t="s">
        <v>814</v>
      </c>
      <c r="E24" s="354">
        <v>4445000</v>
      </c>
      <c r="F24" s="354">
        <f>F27</f>
        <v>18716</v>
      </c>
      <c r="G24" s="354">
        <f>G27</f>
        <v>18716</v>
      </c>
      <c r="H24" s="354">
        <f t="shared" si="0"/>
        <v>4445000</v>
      </c>
      <c r="J24" s="14"/>
      <c r="L24" s="14"/>
    </row>
    <row r="25" spans="1:12" s="13" customFormat="1" ht="21" customHeight="1">
      <c r="A25" s="99"/>
      <c r="B25" s="99"/>
      <c r="C25" s="202"/>
      <c r="D25" s="426" t="s">
        <v>1424</v>
      </c>
      <c r="E25" s="434">
        <v>1206717</v>
      </c>
      <c r="F25" s="434">
        <v>18716</v>
      </c>
      <c r="G25" s="434"/>
      <c r="H25" s="434">
        <f t="shared" si="0"/>
        <v>1188001</v>
      </c>
      <c r="J25" s="14"/>
      <c r="L25" s="14"/>
    </row>
    <row r="26" spans="1:12" s="13" customFormat="1" ht="21" customHeight="1">
      <c r="A26" s="99"/>
      <c r="B26" s="99"/>
      <c r="C26" s="202"/>
      <c r="D26" s="428" t="s">
        <v>1425</v>
      </c>
      <c r="E26" s="435">
        <v>1540000</v>
      </c>
      <c r="F26" s="435"/>
      <c r="G26" s="435">
        <v>18716</v>
      </c>
      <c r="H26" s="435">
        <f>E26-F26+G26</f>
        <v>1558716</v>
      </c>
      <c r="J26" s="14"/>
      <c r="L26" s="14"/>
    </row>
    <row r="27" spans="1:12" s="13" customFormat="1" ht="21" customHeight="1">
      <c r="A27" s="229"/>
      <c r="B27" s="229"/>
      <c r="C27" s="181">
        <v>2650</v>
      </c>
      <c r="D27" s="411" t="s">
        <v>1426</v>
      </c>
      <c r="E27" s="412">
        <v>4000000</v>
      </c>
      <c r="F27" s="412">
        <f>F25+F26</f>
        <v>18716</v>
      </c>
      <c r="G27" s="412">
        <f>G25+G26</f>
        <v>18716</v>
      </c>
      <c r="H27" s="412">
        <f t="shared" si="0"/>
        <v>4000000</v>
      </c>
      <c r="J27" s="14"/>
      <c r="L27" s="14"/>
    </row>
    <row r="28" spans="1:12" s="13" customFormat="1" ht="21" customHeight="1">
      <c r="A28" s="99"/>
      <c r="B28" s="168">
        <v>70005</v>
      </c>
      <c r="C28" s="168"/>
      <c r="D28" s="168" t="s">
        <v>1427</v>
      </c>
      <c r="E28" s="194">
        <v>833000</v>
      </c>
      <c r="F28" s="194">
        <f>F29</f>
        <v>55000</v>
      </c>
      <c r="G28" s="194">
        <f>G29</f>
        <v>55000</v>
      </c>
      <c r="H28" s="194">
        <f t="shared" si="0"/>
        <v>833000</v>
      </c>
      <c r="J28" s="14"/>
      <c r="L28" s="14"/>
    </row>
    <row r="29" spans="1:12" s="13" customFormat="1" ht="26.25" customHeight="1">
      <c r="A29" s="99"/>
      <c r="B29" s="178"/>
      <c r="C29" s="178"/>
      <c r="D29" s="271" t="s">
        <v>1429</v>
      </c>
      <c r="E29" s="179">
        <v>633000</v>
      </c>
      <c r="F29" s="179">
        <f>SUM(F30:F32)</f>
        <v>55000</v>
      </c>
      <c r="G29" s="179">
        <f>SUM(G30:G32)</f>
        <v>55000</v>
      </c>
      <c r="H29" s="179">
        <f t="shared" si="0"/>
        <v>633000</v>
      </c>
      <c r="J29" s="14"/>
      <c r="L29" s="14"/>
    </row>
    <row r="30" spans="1:12" s="13" customFormat="1" ht="21" customHeight="1">
      <c r="A30" s="99"/>
      <c r="B30" s="99"/>
      <c r="C30" s="181">
        <v>4260</v>
      </c>
      <c r="D30" s="436" t="s">
        <v>1177</v>
      </c>
      <c r="E30" s="182">
        <v>7200</v>
      </c>
      <c r="F30" s="182">
        <v>5000</v>
      </c>
      <c r="G30" s="182"/>
      <c r="H30" s="220">
        <f t="shared" si="0"/>
        <v>2200</v>
      </c>
      <c r="J30" s="14"/>
      <c r="L30" s="14"/>
    </row>
    <row r="31" spans="1:12" s="13" customFormat="1" ht="21" customHeight="1">
      <c r="A31" s="99"/>
      <c r="B31" s="99"/>
      <c r="C31" s="181">
        <v>4300</v>
      </c>
      <c r="D31" s="203" t="s">
        <v>1173</v>
      </c>
      <c r="E31" s="220">
        <v>278000</v>
      </c>
      <c r="F31" s="220">
        <v>50000</v>
      </c>
      <c r="G31" s="220"/>
      <c r="H31" s="220">
        <f>E31-F31+G31</f>
        <v>228000</v>
      </c>
      <c r="J31" s="14"/>
      <c r="L31" s="14"/>
    </row>
    <row r="32" spans="1:12" s="13" customFormat="1" ht="21" customHeight="1">
      <c r="A32" s="99"/>
      <c r="B32" s="99"/>
      <c r="C32" s="181">
        <v>4610</v>
      </c>
      <c r="D32" s="181" t="s">
        <v>497</v>
      </c>
      <c r="E32" s="220">
        <v>10000</v>
      </c>
      <c r="F32" s="220"/>
      <c r="G32" s="220">
        <v>55000</v>
      </c>
      <c r="H32" s="220">
        <f t="shared" si="0"/>
        <v>65000</v>
      </c>
      <c r="J32" s="14"/>
      <c r="L32" s="14"/>
    </row>
    <row r="33" spans="1:12" ht="21" customHeight="1">
      <c r="A33" s="170">
        <v>750</v>
      </c>
      <c r="B33" s="170"/>
      <c r="C33" s="170"/>
      <c r="D33" s="170" t="s">
        <v>1175</v>
      </c>
      <c r="E33" s="297">
        <v>49591000</v>
      </c>
      <c r="F33" s="297">
        <f>F34</f>
        <v>7322</v>
      </c>
      <c r="G33" s="297">
        <f>G34</f>
        <v>7322</v>
      </c>
      <c r="H33" s="297">
        <f t="shared" si="0"/>
        <v>49591000</v>
      </c>
      <c r="J33" s="8"/>
      <c r="L33" s="8"/>
    </row>
    <row r="34" spans="1:12" s="15" customFormat="1" ht="21" customHeight="1">
      <c r="A34" s="99"/>
      <c r="B34" s="168">
        <v>75023</v>
      </c>
      <c r="C34" s="168"/>
      <c r="D34" s="168" t="s">
        <v>757</v>
      </c>
      <c r="E34" s="194">
        <v>46970000</v>
      </c>
      <c r="F34" s="194">
        <f>F35</f>
        <v>7322</v>
      </c>
      <c r="G34" s="194">
        <f>G35</f>
        <v>7322</v>
      </c>
      <c r="H34" s="194">
        <f t="shared" si="0"/>
        <v>46970000</v>
      </c>
      <c r="J34" s="16"/>
      <c r="L34" s="16"/>
    </row>
    <row r="35" spans="1:12" s="15" customFormat="1" ht="21" customHeight="1">
      <c r="A35" s="99"/>
      <c r="B35" s="99"/>
      <c r="C35" s="178"/>
      <c r="D35" s="196" t="s">
        <v>1176</v>
      </c>
      <c r="E35" s="307">
        <v>9843000</v>
      </c>
      <c r="F35" s="307">
        <f>F37</f>
        <v>7322</v>
      </c>
      <c r="G35" s="307">
        <f>SUM(G36:G37)</f>
        <v>7322</v>
      </c>
      <c r="H35" s="307">
        <f t="shared" si="0"/>
        <v>9843000</v>
      </c>
      <c r="J35" s="16"/>
      <c r="L35" s="16"/>
    </row>
    <row r="36" spans="1:12" s="135" customFormat="1" ht="19.5" customHeight="1">
      <c r="A36" s="202"/>
      <c r="B36" s="202"/>
      <c r="C36" s="181">
        <v>4430</v>
      </c>
      <c r="D36" s="181" t="s">
        <v>1004</v>
      </c>
      <c r="E36" s="220">
        <v>325000</v>
      </c>
      <c r="F36" s="220"/>
      <c r="G36" s="220">
        <v>7322</v>
      </c>
      <c r="H36" s="220">
        <f t="shared" si="0"/>
        <v>332322</v>
      </c>
      <c r="J36" s="136"/>
      <c r="L36" s="136"/>
    </row>
    <row r="37" spans="1:12" s="15" customFormat="1" ht="21" customHeight="1">
      <c r="A37" s="99"/>
      <c r="B37" s="99"/>
      <c r="C37" s="205">
        <v>4440</v>
      </c>
      <c r="D37" s="205" t="s">
        <v>630</v>
      </c>
      <c r="E37" s="207">
        <v>540000</v>
      </c>
      <c r="F37" s="207">
        <v>7322</v>
      </c>
      <c r="G37" s="207"/>
      <c r="H37" s="207">
        <f t="shared" si="0"/>
        <v>532678</v>
      </c>
      <c r="J37" s="16"/>
      <c r="L37" s="16"/>
    </row>
    <row r="38" spans="1:12" ht="21" customHeight="1">
      <c r="A38" s="184">
        <v>754</v>
      </c>
      <c r="B38" s="170"/>
      <c r="C38" s="192"/>
      <c r="D38" s="171" t="s">
        <v>690</v>
      </c>
      <c r="E38" s="152">
        <v>5027500</v>
      </c>
      <c r="F38" s="152"/>
      <c r="G38" s="152">
        <f>G39</f>
        <v>220000</v>
      </c>
      <c r="H38" s="152">
        <f t="shared" si="0"/>
        <v>5247500</v>
      </c>
      <c r="J38" s="8"/>
      <c r="L38" s="8"/>
    </row>
    <row r="39" spans="1:12" ht="21" customHeight="1">
      <c r="A39" s="99"/>
      <c r="B39" s="168">
        <v>75416</v>
      </c>
      <c r="C39" s="168"/>
      <c r="D39" s="168" t="s">
        <v>1485</v>
      </c>
      <c r="E39" s="194">
        <v>4037500</v>
      </c>
      <c r="F39" s="194"/>
      <c r="G39" s="194">
        <f>G40+G42+G49</f>
        <v>220000</v>
      </c>
      <c r="H39" s="194">
        <f t="shared" si="0"/>
        <v>4257500</v>
      </c>
      <c r="J39" s="8"/>
      <c r="L39" s="8"/>
    </row>
    <row r="40" spans="1:12" ht="21" customHeight="1">
      <c r="A40" s="99"/>
      <c r="B40" s="99"/>
      <c r="C40" s="99"/>
      <c r="D40" s="240" t="s">
        <v>492</v>
      </c>
      <c r="E40" s="241">
        <v>2939000</v>
      </c>
      <c r="F40" s="241"/>
      <c r="G40" s="241">
        <f>G41</f>
        <v>92000</v>
      </c>
      <c r="H40" s="241">
        <f t="shared" si="0"/>
        <v>3031000</v>
      </c>
      <c r="J40" s="8"/>
      <c r="L40" s="8"/>
    </row>
    <row r="41" spans="1:12" s="13" customFormat="1" ht="19.5" customHeight="1">
      <c r="A41" s="202"/>
      <c r="B41" s="202"/>
      <c r="C41" s="181">
        <v>4010</v>
      </c>
      <c r="D41" s="203" t="s">
        <v>896</v>
      </c>
      <c r="E41" s="220">
        <v>2724301</v>
      </c>
      <c r="F41" s="220"/>
      <c r="G41" s="220">
        <v>92000</v>
      </c>
      <c r="H41" s="220">
        <f t="shared" si="0"/>
        <v>2816301</v>
      </c>
      <c r="J41" s="14"/>
      <c r="L41" s="14"/>
    </row>
    <row r="42" spans="1:12" s="13" customFormat="1" ht="20.25" customHeight="1">
      <c r="A42" s="202"/>
      <c r="B42" s="202"/>
      <c r="C42" s="300"/>
      <c r="D42" s="271" t="s">
        <v>1176</v>
      </c>
      <c r="E42" s="179">
        <v>521000</v>
      </c>
      <c r="F42" s="179"/>
      <c r="G42" s="179">
        <f>SUM(G43:G48)</f>
        <v>120000</v>
      </c>
      <c r="H42" s="179">
        <f t="shared" si="0"/>
        <v>641000</v>
      </c>
      <c r="J42" s="14"/>
      <c r="L42" s="14"/>
    </row>
    <row r="43" spans="1:12" s="13" customFormat="1" ht="20.25" customHeight="1">
      <c r="A43" s="202"/>
      <c r="B43" s="202"/>
      <c r="C43" s="181">
        <v>3020</v>
      </c>
      <c r="D43" s="203" t="s">
        <v>489</v>
      </c>
      <c r="E43" s="220">
        <v>112764</v>
      </c>
      <c r="F43" s="220"/>
      <c r="G43" s="220">
        <v>14500</v>
      </c>
      <c r="H43" s="220">
        <f t="shared" si="0"/>
        <v>127264</v>
      </c>
      <c r="J43" s="14"/>
      <c r="L43" s="14"/>
    </row>
    <row r="44" spans="1:12" s="13" customFormat="1" ht="20.25" customHeight="1">
      <c r="A44" s="202"/>
      <c r="B44" s="202"/>
      <c r="C44" s="205">
        <v>4210</v>
      </c>
      <c r="D44" s="206" t="s">
        <v>1174</v>
      </c>
      <c r="E44" s="222">
        <v>150996</v>
      </c>
      <c r="F44" s="222"/>
      <c r="G44" s="222">
        <v>36860</v>
      </c>
      <c r="H44" s="222">
        <f t="shared" si="0"/>
        <v>187856</v>
      </c>
      <c r="J44" s="14"/>
      <c r="L44" s="14"/>
    </row>
    <row r="45" spans="1:12" s="13" customFormat="1" ht="20.25" customHeight="1">
      <c r="A45" s="202"/>
      <c r="B45" s="202"/>
      <c r="C45" s="205">
        <v>4260</v>
      </c>
      <c r="D45" s="206" t="s">
        <v>1177</v>
      </c>
      <c r="E45" s="222">
        <v>30000</v>
      </c>
      <c r="F45" s="222"/>
      <c r="G45" s="222">
        <v>12000</v>
      </c>
      <c r="H45" s="222">
        <f t="shared" si="0"/>
        <v>42000</v>
      </c>
      <c r="J45" s="14"/>
      <c r="L45" s="14"/>
    </row>
    <row r="46" spans="1:12" ht="21" customHeight="1">
      <c r="A46" s="99"/>
      <c r="B46" s="99"/>
      <c r="C46" s="205">
        <v>4270</v>
      </c>
      <c r="D46" s="206" t="s">
        <v>813</v>
      </c>
      <c r="E46" s="222"/>
      <c r="F46" s="222"/>
      <c r="G46" s="222">
        <v>20000</v>
      </c>
      <c r="H46" s="222">
        <f t="shared" si="0"/>
        <v>20000</v>
      </c>
      <c r="J46" s="8"/>
      <c r="L46" s="8"/>
    </row>
    <row r="47" spans="1:12" s="143" customFormat="1" ht="21" customHeight="1">
      <c r="A47" s="99"/>
      <c r="B47" s="99"/>
      <c r="C47" s="205">
        <v>4280</v>
      </c>
      <c r="D47" s="206" t="s">
        <v>642</v>
      </c>
      <c r="E47" s="222">
        <v>2000</v>
      </c>
      <c r="F47" s="222"/>
      <c r="G47" s="222">
        <v>640</v>
      </c>
      <c r="H47" s="222">
        <f t="shared" si="0"/>
        <v>2640</v>
      </c>
      <c r="J47" s="149"/>
      <c r="L47" s="149"/>
    </row>
    <row r="48" spans="1:12" s="19" customFormat="1" ht="21" customHeight="1">
      <c r="A48" s="99"/>
      <c r="B48" s="99"/>
      <c r="C48" s="205">
        <v>4300</v>
      </c>
      <c r="D48" s="206" t="s">
        <v>1173</v>
      </c>
      <c r="E48" s="222">
        <v>120970</v>
      </c>
      <c r="F48" s="222"/>
      <c r="G48" s="222">
        <v>36000</v>
      </c>
      <c r="H48" s="222">
        <f t="shared" si="0"/>
        <v>156970</v>
      </c>
      <c r="J48" s="150"/>
      <c r="L48" s="150"/>
    </row>
    <row r="49" spans="1:12" s="19" customFormat="1" ht="21" customHeight="1">
      <c r="A49" s="99"/>
      <c r="B49" s="99"/>
      <c r="C49" s="300"/>
      <c r="D49" s="271" t="s">
        <v>553</v>
      </c>
      <c r="E49" s="179">
        <v>577500</v>
      </c>
      <c r="F49" s="179"/>
      <c r="G49" s="179">
        <f>G50</f>
        <v>8000</v>
      </c>
      <c r="H49" s="241">
        <f t="shared" si="0"/>
        <v>585500</v>
      </c>
      <c r="J49" s="150"/>
      <c r="L49" s="150"/>
    </row>
    <row r="50" spans="1:12" s="19" customFormat="1" ht="21" customHeight="1">
      <c r="A50" s="229"/>
      <c r="B50" s="229"/>
      <c r="C50" s="181">
        <v>4110</v>
      </c>
      <c r="D50" s="203" t="s">
        <v>1178</v>
      </c>
      <c r="E50" s="220">
        <v>505000</v>
      </c>
      <c r="F50" s="220"/>
      <c r="G50" s="220">
        <v>8000</v>
      </c>
      <c r="H50" s="220">
        <f t="shared" si="0"/>
        <v>513000</v>
      </c>
      <c r="J50" s="150"/>
      <c r="L50" s="150"/>
    </row>
    <row r="51" spans="1:12" ht="21" customHeight="1">
      <c r="A51" s="191">
        <v>758</v>
      </c>
      <c r="B51" s="192"/>
      <c r="C51" s="192"/>
      <c r="D51" s="171" t="s">
        <v>482</v>
      </c>
      <c r="E51" s="152">
        <v>6484084</v>
      </c>
      <c r="F51" s="152">
        <f>F52</f>
        <v>566000</v>
      </c>
      <c r="G51" s="152"/>
      <c r="H51" s="152">
        <f t="shared" si="0"/>
        <v>5918084</v>
      </c>
      <c r="J51" s="8"/>
      <c r="L51" s="8"/>
    </row>
    <row r="52" spans="1:12" ht="21" customHeight="1">
      <c r="A52" s="99"/>
      <c r="B52" s="168">
        <v>75818</v>
      </c>
      <c r="C52" s="168"/>
      <c r="D52" s="168" t="s">
        <v>483</v>
      </c>
      <c r="E52" s="194">
        <v>3060458</v>
      </c>
      <c r="F52" s="194">
        <f>F53</f>
        <v>566000</v>
      </c>
      <c r="G52" s="194"/>
      <c r="H52" s="194">
        <f t="shared" si="0"/>
        <v>2494458</v>
      </c>
      <c r="J52" s="8"/>
      <c r="L52" s="8"/>
    </row>
    <row r="53" spans="1:12" ht="21" customHeight="1">
      <c r="A53" s="99"/>
      <c r="B53" s="99"/>
      <c r="C53" s="99"/>
      <c r="D53" s="271" t="s">
        <v>484</v>
      </c>
      <c r="E53" s="179">
        <v>1789958</v>
      </c>
      <c r="F53" s="179">
        <f>F54</f>
        <v>566000</v>
      </c>
      <c r="G53" s="179"/>
      <c r="H53" s="179">
        <f t="shared" si="0"/>
        <v>1223958</v>
      </c>
      <c r="J53" s="8"/>
      <c r="L53" s="8"/>
    </row>
    <row r="54" spans="1:12" s="13" customFormat="1" ht="21" customHeight="1">
      <c r="A54" s="181"/>
      <c r="B54" s="181"/>
      <c r="C54" s="181">
        <v>4810</v>
      </c>
      <c r="D54" s="203" t="s">
        <v>526</v>
      </c>
      <c r="E54" s="220">
        <v>1789958</v>
      </c>
      <c r="F54" s="220">
        <f>130000+216000+220000</f>
        <v>566000</v>
      </c>
      <c r="G54" s="220"/>
      <c r="H54" s="220">
        <f t="shared" si="0"/>
        <v>1223958</v>
      </c>
      <c r="J54" s="14"/>
      <c r="L54" s="14"/>
    </row>
    <row r="55" spans="1:12" s="13" customFormat="1" ht="21" customHeight="1">
      <c r="A55" s="1109"/>
      <c r="B55" s="1109"/>
      <c r="C55" s="1109"/>
      <c r="D55" s="1110"/>
      <c r="E55" s="1111"/>
      <c r="F55" s="1111"/>
      <c r="G55" s="1111"/>
      <c r="H55" s="1111"/>
      <c r="J55" s="14"/>
      <c r="L55" s="14"/>
    </row>
    <row r="56" spans="1:12" ht="21" customHeight="1">
      <c r="A56" s="192">
        <v>801</v>
      </c>
      <c r="B56" s="192"/>
      <c r="C56" s="192"/>
      <c r="D56" s="192" t="s">
        <v>490</v>
      </c>
      <c r="E56" s="232">
        <v>321921533</v>
      </c>
      <c r="F56" s="232">
        <f>F57+F72+F97+F102+F105+F111+F117+F121+F124+F136+F142</f>
        <v>572377</v>
      </c>
      <c r="G56" s="232">
        <f>G57+G72+G97+G102+G105+G111+G117+G121+G124+G136+G142</f>
        <v>572377</v>
      </c>
      <c r="H56" s="232">
        <f t="shared" si="0"/>
        <v>321921533</v>
      </c>
      <c r="J56" s="8"/>
      <c r="L56" s="8"/>
    </row>
    <row r="57" spans="1:12" ht="21" customHeight="1">
      <c r="A57" s="99"/>
      <c r="B57" s="174">
        <v>80101</v>
      </c>
      <c r="C57" s="174"/>
      <c r="D57" s="174" t="s">
        <v>491</v>
      </c>
      <c r="E57" s="233">
        <v>90752965</v>
      </c>
      <c r="F57" s="233">
        <f>F58+F60+F65+F67</f>
        <v>65619</v>
      </c>
      <c r="G57" s="233">
        <f>G58+G60+G65+G67</f>
        <v>69726</v>
      </c>
      <c r="H57" s="233">
        <f t="shared" si="0"/>
        <v>90757072</v>
      </c>
      <c r="J57" s="8"/>
      <c r="L57" s="8"/>
    </row>
    <row r="58" spans="1:12" ht="21" customHeight="1">
      <c r="A58" s="99"/>
      <c r="B58" s="99"/>
      <c r="C58" s="99"/>
      <c r="D58" s="196" t="s">
        <v>492</v>
      </c>
      <c r="E58" s="197">
        <v>55574400</v>
      </c>
      <c r="F58" s="197">
        <f>SUM(F59:F59)</f>
        <v>18000</v>
      </c>
      <c r="G58" s="197"/>
      <c r="H58" s="197">
        <f t="shared" si="0"/>
        <v>55556400</v>
      </c>
      <c r="J58" s="8"/>
      <c r="L58" s="8"/>
    </row>
    <row r="59" spans="1:12" s="13" customFormat="1" ht="21" customHeight="1">
      <c r="A59" s="202"/>
      <c r="B59" s="202"/>
      <c r="C59" s="202">
        <v>4010</v>
      </c>
      <c r="D59" s="202" t="s">
        <v>896</v>
      </c>
      <c r="E59" s="242">
        <v>51372042</v>
      </c>
      <c r="F59" s="242">
        <v>18000</v>
      </c>
      <c r="G59" s="242"/>
      <c r="H59" s="242">
        <f t="shared" si="0"/>
        <v>51354042</v>
      </c>
      <c r="J59" s="14"/>
      <c r="L59" s="14"/>
    </row>
    <row r="60" spans="1:12" ht="21" customHeight="1">
      <c r="A60" s="99"/>
      <c r="B60" s="99"/>
      <c r="C60" s="178"/>
      <c r="D60" s="196" t="s">
        <v>1176</v>
      </c>
      <c r="E60" s="197">
        <v>11864693</v>
      </c>
      <c r="F60" s="197">
        <f>SUM(F61:F64)</f>
        <v>46781</v>
      </c>
      <c r="G60" s="197">
        <f>SUM(G61:G64)</f>
        <v>51596</v>
      </c>
      <c r="H60" s="197">
        <f t="shared" si="0"/>
        <v>11869508</v>
      </c>
      <c r="J60" s="8"/>
      <c r="L60" s="8"/>
    </row>
    <row r="61" spans="1:12" s="13" customFormat="1" ht="21" customHeight="1">
      <c r="A61" s="202"/>
      <c r="B61" s="202"/>
      <c r="C61" s="181">
        <v>4260</v>
      </c>
      <c r="D61" s="181" t="s">
        <v>1177</v>
      </c>
      <c r="E61" s="204">
        <v>5006293</v>
      </c>
      <c r="F61" s="204"/>
      <c r="G61" s="204">
        <f>130000-85179</f>
        <v>44821</v>
      </c>
      <c r="H61" s="204">
        <f t="shared" si="0"/>
        <v>5051114</v>
      </c>
      <c r="J61" s="14"/>
      <c r="L61" s="14"/>
    </row>
    <row r="62" spans="1:12" s="13" customFormat="1" ht="21" customHeight="1">
      <c r="A62" s="202"/>
      <c r="B62" s="202"/>
      <c r="C62" s="181">
        <v>4270</v>
      </c>
      <c r="D62" s="181" t="s">
        <v>920</v>
      </c>
      <c r="E62" s="204">
        <v>707383</v>
      </c>
      <c r="F62" s="204"/>
      <c r="G62" s="204">
        <v>4700</v>
      </c>
      <c r="H62" s="204">
        <f t="shared" si="0"/>
        <v>712083</v>
      </c>
      <c r="J62" s="14"/>
      <c r="L62" s="14"/>
    </row>
    <row r="63" spans="1:12" s="13" customFormat="1" ht="21" customHeight="1">
      <c r="A63" s="99"/>
      <c r="B63" s="99"/>
      <c r="C63" s="205">
        <v>4300</v>
      </c>
      <c r="D63" s="205" t="s">
        <v>1173</v>
      </c>
      <c r="E63" s="207">
        <v>1206202</v>
      </c>
      <c r="F63" s="207">
        <v>46781</v>
      </c>
      <c r="G63" s="207"/>
      <c r="H63" s="207">
        <f t="shared" si="0"/>
        <v>1159421</v>
      </c>
      <c r="J63" s="14"/>
      <c r="L63" s="14"/>
    </row>
    <row r="64" spans="1:12" s="13" customFormat="1" ht="21" customHeight="1">
      <c r="A64" s="202"/>
      <c r="B64" s="202"/>
      <c r="C64" s="181">
        <v>4440</v>
      </c>
      <c r="D64" s="181" t="s">
        <v>630</v>
      </c>
      <c r="E64" s="204">
        <v>3111930</v>
      </c>
      <c r="F64" s="204"/>
      <c r="G64" s="204">
        <f>40500-38425</f>
        <v>2075</v>
      </c>
      <c r="H64" s="204">
        <f t="shared" si="0"/>
        <v>3114005</v>
      </c>
      <c r="J64" s="14"/>
      <c r="L64" s="14"/>
    </row>
    <row r="65" spans="1:12" s="13" customFormat="1" ht="21" customHeight="1">
      <c r="A65" s="99"/>
      <c r="B65" s="99"/>
      <c r="C65" s="99"/>
      <c r="D65" s="324" t="s">
        <v>553</v>
      </c>
      <c r="E65" s="307">
        <v>10840937</v>
      </c>
      <c r="F65" s="307"/>
      <c r="G65" s="307">
        <f>G66</f>
        <v>17000</v>
      </c>
      <c r="H65" s="307">
        <f t="shared" si="0"/>
        <v>10857937</v>
      </c>
      <c r="J65" s="14"/>
      <c r="L65" s="14"/>
    </row>
    <row r="66" spans="1:12" s="13" customFormat="1" ht="21" customHeight="1">
      <c r="A66" s="202"/>
      <c r="B66" s="202"/>
      <c r="C66" s="181">
        <v>4120</v>
      </c>
      <c r="D66" s="203" t="s">
        <v>487</v>
      </c>
      <c r="E66" s="220">
        <v>1380120</v>
      </c>
      <c r="F66" s="220"/>
      <c r="G66" s="220">
        <v>17000</v>
      </c>
      <c r="H66" s="220">
        <f t="shared" si="0"/>
        <v>1397120</v>
      </c>
      <c r="J66" s="14"/>
      <c r="L66" s="14"/>
    </row>
    <row r="67" spans="1:12" ht="21" customHeight="1">
      <c r="A67" s="99"/>
      <c r="B67" s="99"/>
      <c r="C67" s="99"/>
      <c r="D67" s="324" t="s">
        <v>837</v>
      </c>
      <c r="E67" s="237">
        <v>370000</v>
      </c>
      <c r="F67" s="237">
        <f>SUM(F68:F71)</f>
        <v>838</v>
      </c>
      <c r="G67" s="237">
        <f>SUM(G68:G71)</f>
        <v>1130</v>
      </c>
      <c r="H67" s="237">
        <f t="shared" si="0"/>
        <v>370292</v>
      </c>
      <c r="J67" s="8"/>
      <c r="L67" s="8"/>
    </row>
    <row r="68" spans="1:12" s="13" customFormat="1" ht="21" customHeight="1">
      <c r="A68" s="202"/>
      <c r="B68" s="202"/>
      <c r="C68" s="181">
        <v>3020</v>
      </c>
      <c r="D68" s="181" t="s">
        <v>489</v>
      </c>
      <c r="E68" s="204">
        <v>6861</v>
      </c>
      <c r="F68" s="204"/>
      <c r="G68" s="204">
        <v>500</v>
      </c>
      <c r="H68" s="204">
        <f t="shared" si="0"/>
        <v>7361</v>
      </c>
      <c r="J68" s="14"/>
      <c r="L68" s="14"/>
    </row>
    <row r="69" spans="1:12" s="13" customFormat="1" ht="21" customHeight="1">
      <c r="A69" s="202"/>
      <c r="B69" s="202"/>
      <c r="C69" s="181">
        <v>4110</v>
      </c>
      <c r="D69" s="181" t="s">
        <v>1178</v>
      </c>
      <c r="E69" s="204">
        <v>45040</v>
      </c>
      <c r="F69" s="204"/>
      <c r="G69" s="204">
        <v>560</v>
      </c>
      <c r="H69" s="204">
        <f t="shared" si="0"/>
        <v>45600</v>
      </c>
      <c r="J69" s="14"/>
      <c r="L69" s="14"/>
    </row>
    <row r="70" spans="1:12" s="13" customFormat="1" ht="21" customHeight="1">
      <c r="A70" s="202"/>
      <c r="B70" s="202"/>
      <c r="C70" s="205">
        <v>4120</v>
      </c>
      <c r="D70" s="205" t="s">
        <v>487</v>
      </c>
      <c r="E70" s="207">
        <v>6340</v>
      </c>
      <c r="F70" s="207"/>
      <c r="G70" s="207">
        <v>70</v>
      </c>
      <c r="H70" s="207">
        <f t="shared" si="0"/>
        <v>6410</v>
      </c>
      <c r="J70" s="14"/>
      <c r="L70" s="14"/>
    </row>
    <row r="71" spans="1:12" s="146" customFormat="1" ht="21" customHeight="1">
      <c r="A71" s="202"/>
      <c r="B71" s="181"/>
      <c r="C71" s="181">
        <v>4440</v>
      </c>
      <c r="D71" s="181" t="s">
        <v>630</v>
      </c>
      <c r="E71" s="204">
        <v>17870</v>
      </c>
      <c r="F71" s="204">
        <v>838</v>
      </c>
      <c r="G71" s="204"/>
      <c r="H71" s="204">
        <f t="shared" si="0"/>
        <v>17032</v>
      </c>
      <c r="J71" s="151"/>
      <c r="L71" s="151"/>
    </row>
    <row r="72" spans="1:12" s="13" customFormat="1" ht="21" customHeight="1">
      <c r="A72" s="173"/>
      <c r="B72" s="254">
        <v>80104</v>
      </c>
      <c r="C72" s="254"/>
      <c r="D72" s="208" t="s">
        <v>619</v>
      </c>
      <c r="E72" s="211">
        <v>44711190</v>
      </c>
      <c r="F72" s="211">
        <f>F73+F81</f>
        <v>18078</v>
      </c>
      <c r="G72" s="211">
        <f>G73+G81</f>
        <v>41414</v>
      </c>
      <c r="H72" s="211">
        <f t="shared" si="0"/>
        <v>44734526</v>
      </c>
      <c r="J72" s="14"/>
      <c r="L72" s="14"/>
    </row>
    <row r="73" spans="1:12" s="13" customFormat="1" ht="21" customHeight="1">
      <c r="A73" s="173"/>
      <c r="B73" s="379"/>
      <c r="C73" s="379"/>
      <c r="D73" s="380" t="s">
        <v>632</v>
      </c>
      <c r="E73" s="381">
        <v>1237720</v>
      </c>
      <c r="F73" s="381"/>
      <c r="G73" s="381">
        <f>G74+G76+G78</f>
        <v>24236</v>
      </c>
      <c r="H73" s="381">
        <f t="shared" si="0"/>
        <v>1261956</v>
      </c>
      <c r="J73" s="14"/>
      <c r="L73" s="14"/>
    </row>
    <row r="74" spans="1:12" s="13" customFormat="1" ht="21" customHeight="1">
      <c r="A74" s="99"/>
      <c r="B74" s="99"/>
      <c r="C74" s="99"/>
      <c r="D74" s="324" t="s">
        <v>492</v>
      </c>
      <c r="E74" s="237">
        <v>933000</v>
      </c>
      <c r="F74" s="237"/>
      <c r="G74" s="237">
        <f>G75</f>
        <v>18000</v>
      </c>
      <c r="H74" s="237">
        <f t="shared" si="0"/>
        <v>951000</v>
      </c>
      <c r="J74" s="14"/>
      <c r="L74" s="14"/>
    </row>
    <row r="75" spans="1:12" s="13" customFormat="1" ht="21" customHeight="1">
      <c r="A75" s="202"/>
      <c r="B75" s="202"/>
      <c r="C75" s="181">
        <v>4010</v>
      </c>
      <c r="D75" s="181" t="s">
        <v>896</v>
      </c>
      <c r="E75" s="204">
        <v>867996</v>
      </c>
      <c r="F75" s="204"/>
      <c r="G75" s="204">
        <v>18000</v>
      </c>
      <c r="H75" s="204">
        <f t="shared" si="0"/>
        <v>885996</v>
      </c>
      <c r="J75" s="14"/>
      <c r="L75" s="14"/>
    </row>
    <row r="76" spans="1:12" s="13" customFormat="1" ht="21" customHeight="1">
      <c r="A76" s="99"/>
      <c r="B76" s="99"/>
      <c r="C76" s="178"/>
      <c r="D76" s="196" t="s">
        <v>1176</v>
      </c>
      <c r="E76" s="197">
        <v>132180</v>
      </c>
      <c r="F76" s="197"/>
      <c r="G76" s="197">
        <f>SUM(G77:G77)</f>
        <v>386</v>
      </c>
      <c r="H76" s="197">
        <f t="shared" si="0"/>
        <v>132566</v>
      </c>
      <c r="J76" s="14"/>
      <c r="L76" s="14"/>
    </row>
    <row r="77" spans="1:12" s="13" customFormat="1" ht="21" customHeight="1">
      <c r="A77" s="202"/>
      <c r="B77" s="202"/>
      <c r="C77" s="181">
        <v>4440</v>
      </c>
      <c r="D77" s="181" t="s">
        <v>630</v>
      </c>
      <c r="E77" s="204">
        <v>51700</v>
      </c>
      <c r="F77" s="204"/>
      <c r="G77" s="204">
        <v>386</v>
      </c>
      <c r="H77" s="204">
        <f t="shared" si="0"/>
        <v>52086</v>
      </c>
      <c r="J77" s="14"/>
      <c r="L77" s="14"/>
    </row>
    <row r="78" spans="1:12" s="13" customFormat="1" ht="21" customHeight="1">
      <c r="A78" s="99"/>
      <c r="B78" s="99"/>
      <c r="C78" s="99"/>
      <c r="D78" s="310" t="s">
        <v>553</v>
      </c>
      <c r="E78" s="307">
        <v>172540</v>
      </c>
      <c r="F78" s="307"/>
      <c r="G78" s="307">
        <f>SUM(G79:G80)</f>
        <v>5850</v>
      </c>
      <c r="H78" s="307">
        <f t="shared" si="0"/>
        <v>178390</v>
      </c>
      <c r="J78" s="14"/>
      <c r="L78" s="14"/>
    </row>
    <row r="79" spans="1:12" s="13" customFormat="1" ht="21" customHeight="1">
      <c r="A79" s="202"/>
      <c r="B79" s="202"/>
      <c r="C79" s="181">
        <v>4110</v>
      </c>
      <c r="D79" s="181" t="s">
        <v>1178</v>
      </c>
      <c r="E79" s="204">
        <v>150950</v>
      </c>
      <c r="F79" s="204"/>
      <c r="G79" s="204">
        <v>5100</v>
      </c>
      <c r="H79" s="204">
        <f t="shared" si="0"/>
        <v>156050</v>
      </c>
      <c r="J79" s="14"/>
      <c r="L79" s="14"/>
    </row>
    <row r="80" spans="1:12" s="13" customFormat="1" ht="21" customHeight="1">
      <c r="A80" s="202"/>
      <c r="B80" s="202"/>
      <c r="C80" s="205">
        <v>4120</v>
      </c>
      <c r="D80" s="205" t="s">
        <v>487</v>
      </c>
      <c r="E80" s="207">
        <v>21590</v>
      </c>
      <c r="F80" s="207"/>
      <c r="G80" s="207">
        <v>750</v>
      </c>
      <c r="H80" s="207">
        <f t="shared" si="0"/>
        <v>22340</v>
      </c>
      <c r="J80" s="14"/>
      <c r="L80" s="14"/>
    </row>
    <row r="81" spans="1:12" s="13" customFormat="1" ht="21" customHeight="1">
      <c r="A81" s="173"/>
      <c r="B81" s="379"/>
      <c r="C81" s="379"/>
      <c r="D81" s="380" t="s">
        <v>624</v>
      </c>
      <c r="E81" s="381">
        <v>43473470</v>
      </c>
      <c r="F81" s="381">
        <f>F82+F91+F94</f>
        <v>18078</v>
      </c>
      <c r="G81" s="381">
        <f>G82+G91+G94</f>
        <v>17178</v>
      </c>
      <c r="H81" s="381">
        <f t="shared" si="0"/>
        <v>43472570</v>
      </c>
      <c r="J81" s="14"/>
      <c r="L81" s="14"/>
    </row>
    <row r="82" spans="1:12" s="13" customFormat="1" ht="21" customHeight="1">
      <c r="A82" s="99"/>
      <c r="B82" s="99"/>
      <c r="C82" s="99"/>
      <c r="D82" s="324" t="s">
        <v>1176</v>
      </c>
      <c r="E82" s="237">
        <v>5923317</v>
      </c>
      <c r="F82" s="237">
        <f>SUM(F83:F90)</f>
        <v>17803</v>
      </c>
      <c r="G82" s="237">
        <f>SUM(G83:G90)</f>
        <v>17110</v>
      </c>
      <c r="H82" s="237">
        <f t="shared" si="0"/>
        <v>5922624</v>
      </c>
      <c r="J82" s="14"/>
      <c r="L82" s="14"/>
    </row>
    <row r="83" spans="1:12" s="13" customFormat="1" ht="21" customHeight="1">
      <c r="A83" s="229"/>
      <c r="B83" s="229"/>
      <c r="C83" s="181">
        <v>3020</v>
      </c>
      <c r="D83" s="181" t="s">
        <v>489</v>
      </c>
      <c r="E83" s="204">
        <v>50778</v>
      </c>
      <c r="F83" s="204">
        <v>1575</v>
      </c>
      <c r="G83" s="204"/>
      <c r="H83" s="204">
        <f>E83-F83+G83</f>
        <v>49203</v>
      </c>
      <c r="J83" s="14"/>
      <c r="L83" s="14"/>
    </row>
    <row r="84" spans="1:12" s="13" customFormat="1" ht="26.25" customHeight="1">
      <c r="A84" s="99"/>
      <c r="B84" s="99"/>
      <c r="C84" s="181">
        <v>4140</v>
      </c>
      <c r="D84" s="203" t="s">
        <v>770</v>
      </c>
      <c r="E84" s="204">
        <v>32600</v>
      </c>
      <c r="F84" s="204"/>
      <c r="G84" s="204">
        <v>985</v>
      </c>
      <c r="H84" s="204">
        <f>E84-F84+G84</f>
        <v>33585</v>
      </c>
      <c r="J84" s="14"/>
      <c r="L84" s="14"/>
    </row>
    <row r="85" spans="1:12" s="13" customFormat="1" ht="21" customHeight="1">
      <c r="A85" s="99"/>
      <c r="B85" s="99"/>
      <c r="C85" s="181">
        <v>4210</v>
      </c>
      <c r="D85" s="181" t="s">
        <v>1174</v>
      </c>
      <c r="E85" s="204">
        <v>378733</v>
      </c>
      <c r="F85" s="204"/>
      <c r="G85" s="204">
        <v>2468</v>
      </c>
      <c r="H85" s="204">
        <f>E85-F85+G85</f>
        <v>381201</v>
      </c>
      <c r="J85" s="14"/>
      <c r="L85" s="14"/>
    </row>
    <row r="86" spans="1:12" s="13" customFormat="1" ht="21" customHeight="1">
      <c r="A86" s="99"/>
      <c r="B86" s="99"/>
      <c r="C86" s="181">
        <v>4240</v>
      </c>
      <c r="D86" s="181" t="s">
        <v>634</v>
      </c>
      <c r="E86" s="204">
        <v>49200</v>
      </c>
      <c r="F86" s="204"/>
      <c r="G86" s="204">
        <v>105</v>
      </c>
      <c r="H86" s="204">
        <f>E86-F86+G86</f>
        <v>49305</v>
      </c>
      <c r="J86" s="14"/>
      <c r="L86" s="14"/>
    </row>
    <row r="87" spans="1:12" s="13" customFormat="1" ht="21" customHeight="1">
      <c r="A87" s="202"/>
      <c r="B87" s="202"/>
      <c r="C87" s="181">
        <v>4260</v>
      </c>
      <c r="D87" s="181" t="s">
        <v>1177</v>
      </c>
      <c r="E87" s="204">
        <v>2301697</v>
      </c>
      <c r="F87" s="204">
        <v>5750</v>
      </c>
      <c r="G87" s="204"/>
      <c r="H87" s="204">
        <f t="shared" si="0"/>
        <v>2295947</v>
      </c>
      <c r="J87" s="14"/>
      <c r="L87" s="14"/>
    </row>
    <row r="88" spans="1:12" s="13" customFormat="1" ht="21" customHeight="1">
      <c r="A88" s="202"/>
      <c r="B88" s="202"/>
      <c r="C88" s="205">
        <v>4270</v>
      </c>
      <c r="D88" s="205" t="s">
        <v>620</v>
      </c>
      <c r="E88" s="207">
        <v>244924</v>
      </c>
      <c r="F88" s="207"/>
      <c r="G88" s="207">
        <v>13238</v>
      </c>
      <c r="H88" s="207">
        <f t="shared" si="0"/>
        <v>258162</v>
      </c>
      <c r="J88" s="14"/>
      <c r="L88" s="14"/>
    </row>
    <row r="89" spans="1:12" s="13" customFormat="1" ht="21" customHeight="1">
      <c r="A89" s="202"/>
      <c r="B89" s="202"/>
      <c r="C89" s="205">
        <v>4300</v>
      </c>
      <c r="D89" s="205" t="s">
        <v>1173</v>
      </c>
      <c r="E89" s="207">
        <v>1226878</v>
      </c>
      <c r="F89" s="207">
        <f>9578+900</f>
        <v>10478</v>
      </c>
      <c r="G89" s="207"/>
      <c r="H89" s="207">
        <f t="shared" si="0"/>
        <v>1216400</v>
      </c>
      <c r="J89" s="14"/>
      <c r="L89" s="14"/>
    </row>
    <row r="90" spans="1:12" s="13" customFormat="1" ht="21" customHeight="1">
      <c r="A90" s="202"/>
      <c r="B90" s="202"/>
      <c r="C90" s="181">
        <v>4410</v>
      </c>
      <c r="D90" s="181" t="s">
        <v>1006</v>
      </c>
      <c r="E90" s="204">
        <v>18753</v>
      </c>
      <c r="F90" s="204"/>
      <c r="G90" s="204">
        <v>314</v>
      </c>
      <c r="H90" s="204">
        <f aca="true" t="shared" si="1" ref="H90:H96">E90-F90+G90</f>
        <v>19067</v>
      </c>
      <c r="J90" s="14"/>
      <c r="L90" s="14"/>
    </row>
    <row r="91" spans="1:12" s="13" customFormat="1" ht="21" customHeight="1">
      <c r="A91" s="202"/>
      <c r="B91" s="202"/>
      <c r="C91" s="300"/>
      <c r="D91" s="196" t="s">
        <v>621</v>
      </c>
      <c r="E91" s="197">
        <v>3147470</v>
      </c>
      <c r="F91" s="197">
        <f>F92+F93</f>
        <v>68</v>
      </c>
      <c r="G91" s="197">
        <f>G92+G93</f>
        <v>68</v>
      </c>
      <c r="H91" s="197">
        <f t="shared" si="1"/>
        <v>3147470</v>
      </c>
      <c r="J91" s="14"/>
      <c r="L91" s="14"/>
    </row>
    <row r="92" spans="1:12" s="13" customFormat="1" ht="27.75" customHeight="1">
      <c r="A92" s="202"/>
      <c r="B92" s="202"/>
      <c r="C92" s="181">
        <v>2540</v>
      </c>
      <c r="D92" s="203" t="s">
        <v>622</v>
      </c>
      <c r="E92" s="204">
        <v>1934864</v>
      </c>
      <c r="F92" s="204"/>
      <c r="G92" s="204">
        <v>68</v>
      </c>
      <c r="H92" s="204">
        <f t="shared" si="1"/>
        <v>1934932</v>
      </c>
      <c r="J92" s="14"/>
      <c r="L92" s="14"/>
    </row>
    <row r="93" spans="1:12" s="13" customFormat="1" ht="49.5" customHeight="1">
      <c r="A93" s="202"/>
      <c r="B93" s="202"/>
      <c r="C93" s="205">
        <v>2590</v>
      </c>
      <c r="D93" s="206" t="s">
        <v>623</v>
      </c>
      <c r="E93" s="207">
        <v>1212606</v>
      </c>
      <c r="F93" s="207">
        <v>68</v>
      </c>
      <c r="G93" s="207"/>
      <c r="H93" s="207">
        <f t="shared" si="1"/>
        <v>1212538</v>
      </c>
      <c r="J93" s="14"/>
      <c r="L93" s="14"/>
    </row>
    <row r="94" spans="1:12" s="13" customFormat="1" ht="21" customHeight="1">
      <c r="A94" s="202"/>
      <c r="B94" s="202"/>
      <c r="C94" s="202"/>
      <c r="D94" s="196" t="s">
        <v>960</v>
      </c>
      <c r="E94" s="197">
        <v>34200</v>
      </c>
      <c r="F94" s="197">
        <f>F96</f>
        <v>207</v>
      </c>
      <c r="G94" s="197"/>
      <c r="H94" s="197">
        <f t="shared" si="1"/>
        <v>33993</v>
      </c>
      <c r="J94" s="14"/>
      <c r="L94" s="14"/>
    </row>
    <row r="95" spans="1:12" s="13" customFormat="1" ht="21" customHeight="1">
      <c r="A95" s="202"/>
      <c r="B95" s="202"/>
      <c r="C95" s="202"/>
      <c r="D95" s="939" t="s">
        <v>631</v>
      </c>
      <c r="E95" s="285">
        <v>4200</v>
      </c>
      <c r="F95" s="285">
        <v>207</v>
      </c>
      <c r="G95" s="285"/>
      <c r="H95" s="285">
        <f>E95-F95+G95</f>
        <v>3993</v>
      </c>
      <c r="J95" s="14"/>
      <c r="L95" s="14"/>
    </row>
    <row r="96" spans="1:12" s="13" customFormat="1" ht="21" customHeight="1">
      <c r="A96" s="202"/>
      <c r="B96" s="181"/>
      <c r="C96" s="202">
        <v>6060</v>
      </c>
      <c r="D96" s="202" t="s">
        <v>1005</v>
      </c>
      <c r="E96" s="242">
        <v>4200</v>
      </c>
      <c r="F96" s="242">
        <v>207</v>
      </c>
      <c r="G96" s="242"/>
      <c r="H96" s="242">
        <f t="shared" si="1"/>
        <v>3993</v>
      </c>
      <c r="J96" s="14"/>
      <c r="L96" s="14"/>
    </row>
    <row r="97" spans="1:12" ht="21" customHeight="1">
      <c r="A97" s="173"/>
      <c r="B97" s="168">
        <v>80110</v>
      </c>
      <c r="C97" s="174"/>
      <c r="D97" s="174" t="s">
        <v>1133</v>
      </c>
      <c r="E97" s="233">
        <v>53564499</v>
      </c>
      <c r="F97" s="233">
        <f>F98</f>
        <v>60611</v>
      </c>
      <c r="G97" s="233">
        <f>G98</f>
        <v>2800</v>
      </c>
      <c r="H97" s="233">
        <f t="shared" si="0"/>
        <v>53506688</v>
      </c>
      <c r="J97" s="8"/>
      <c r="L97" s="8"/>
    </row>
    <row r="98" spans="1:12" ht="21" customHeight="1">
      <c r="A98" s="173"/>
      <c r="B98" s="173"/>
      <c r="C98" s="178"/>
      <c r="D98" s="196" t="s">
        <v>1176</v>
      </c>
      <c r="E98" s="197">
        <v>6366798</v>
      </c>
      <c r="F98" s="197">
        <f>SUM(F99:F101)</f>
        <v>60611</v>
      </c>
      <c r="G98" s="197">
        <f>SUM(G99:G101)</f>
        <v>2800</v>
      </c>
      <c r="H98" s="197">
        <f t="shared" si="0"/>
        <v>6308987</v>
      </c>
      <c r="J98" s="8"/>
      <c r="L98" s="8"/>
    </row>
    <row r="99" spans="1:12" s="13" customFormat="1" ht="21" customHeight="1">
      <c r="A99" s="202"/>
      <c r="B99" s="202"/>
      <c r="C99" s="181">
        <v>4210</v>
      </c>
      <c r="D99" s="181" t="s">
        <v>1174</v>
      </c>
      <c r="E99" s="204">
        <v>592396</v>
      </c>
      <c r="F99" s="204">
        <v>15480</v>
      </c>
      <c r="G99" s="204"/>
      <c r="H99" s="204">
        <f t="shared" si="0"/>
        <v>576916</v>
      </c>
      <c r="J99" s="14"/>
      <c r="L99" s="14"/>
    </row>
    <row r="100" spans="1:12" s="13" customFormat="1" ht="21" customHeight="1">
      <c r="A100" s="202"/>
      <c r="B100" s="202"/>
      <c r="C100" s="205">
        <v>4260</v>
      </c>
      <c r="D100" s="205" t="s">
        <v>1177</v>
      </c>
      <c r="E100" s="207">
        <v>2864691</v>
      </c>
      <c r="F100" s="207">
        <v>45131</v>
      </c>
      <c r="G100" s="207"/>
      <c r="H100" s="207">
        <f t="shared" si="0"/>
        <v>2819560</v>
      </c>
      <c r="J100" s="14"/>
      <c r="L100" s="14"/>
    </row>
    <row r="101" spans="1:12" s="13" customFormat="1" ht="21" customHeight="1">
      <c r="A101" s="202"/>
      <c r="B101" s="202"/>
      <c r="C101" s="205">
        <v>4300</v>
      </c>
      <c r="D101" s="205" t="s">
        <v>1173</v>
      </c>
      <c r="E101" s="207">
        <v>444214</v>
      </c>
      <c r="F101" s="207"/>
      <c r="G101" s="207">
        <v>2800</v>
      </c>
      <c r="H101" s="207">
        <f t="shared" si="0"/>
        <v>447014</v>
      </c>
      <c r="J101" s="14"/>
      <c r="L101" s="14"/>
    </row>
    <row r="102" spans="1:12" s="13" customFormat="1" ht="21" customHeight="1">
      <c r="A102" s="173"/>
      <c r="B102" s="174">
        <v>80113</v>
      </c>
      <c r="C102" s="168"/>
      <c r="D102" s="168" t="s">
        <v>635</v>
      </c>
      <c r="E102" s="194">
        <v>462380</v>
      </c>
      <c r="F102" s="194"/>
      <c r="G102" s="194">
        <f>G103</f>
        <v>13490</v>
      </c>
      <c r="H102" s="194">
        <f t="shared" si="0"/>
        <v>475870</v>
      </c>
      <c r="J102" s="14"/>
      <c r="L102" s="14"/>
    </row>
    <row r="103" spans="1:12" s="13" customFormat="1" ht="21" customHeight="1">
      <c r="A103" s="99"/>
      <c r="B103" s="99"/>
      <c r="C103" s="99"/>
      <c r="D103" s="310" t="s">
        <v>636</v>
      </c>
      <c r="E103" s="307">
        <v>462380</v>
      </c>
      <c r="F103" s="307"/>
      <c r="G103" s="307">
        <f>G104</f>
        <v>13490</v>
      </c>
      <c r="H103" s="307">
        <f t="shared" si="0"/>
        <v>475870</v>
      </c>
      <c r="J103" s="14"/>
      <c r="L103" s="14"/>
    </row>
    <row r="104" spans="1:12" s="13" customFormat="1" ht="21" customHeight="1">
      <c r="A104" s="202"/>
      <c r="B104" s="181"/>
      <c r="C104" s="181">
        <v>4300</v>
      </c>
      <c r="D104" s="181" t="s">
        <v>1173</v>
      </c>
      <c r="E104" s="204">
        <v>462380</v>
      </c>
      <c r="F104" s="204"/>
      <c r="G104" s="204">
        <f>12590+900</f>
        <v>13490</v>
      </c>
      <c r="H104" s="204">
        <f t="shared" si="0"/>
        <v>475870</v>
      </c>
      <c r="J104" s="14"/>
      <c r="L104" s="14"/>
    </row>
    <row r="105" spans="1:12" s="13" customFormat="1" ht="21" customHeight="1">
      <c r="A105" s="173"/>
      <c r="B105" s="168">
        <v>80120</v>
      </c>
      <c r="C105" s="168"/>
      <c r="D105" s="168" t="s">
        <v>921</v>
      </c>
      <c r="E105" s="194">
        <v>40436079</v>
      </c>
      <c r="F105" s="194">
        <f>F106</f>
        <v>4269</v>
      </c>
      <c r="G105" s="194">
        <f>G106</f>
        <v>8400</v>
      </c>
      <c r="H105" s="194">
        <f t="shared" si="0"/>
        <v>40440210</v>
      </c>
      <c r="J105" s="14"/>
      <c r="L105" s="14"/>
    </row>
    <row r="106" spans="1:12" s="13" customFormat="1" ht="21" customHeight="1">
      <c r="A106" s="173"/>
      <c r="B106" s="173"/>
      <c r="C106" s="178"/>
      <c r="D106" s="196" t="s">
        <v>1176</v>
      </c>
      <c r="E106" s="197">
        <v>5148679</v>
      </c>
      <c r="F106" s="197">
        <f>SUM(F107:F110)</f>
        <v>4269</v>
      </c>
      <c r="G106" s="197">
        <f>SUM(G107:G110)</f>
        <v>8400</v>
      </c>
      <c r="H106" s="197">
        <f t="shared" si="0"/>
        <v>5152810</v>
      </c>
      <c r="J106" s="14"/>
      <c r="L106" s="14"/>
    </row>
    <row r="107" spans="1:12" s="13" customFormat="1" ht="18.75" customHeight="1">
      <c r="A107" s="202"/>
      <c r="B107" s="202"/>
      <c r="C107" s="181">
        <v>4210</v>
      </c>
      <c r="D107" s="181" t="s">
        <v>1174</v>
      </c>
      <c r="E107" s="204">
        <v>319320</v>
      </c>
      <c r="F107" s="204"/>
      <c r="G107" s="204">
        <v>3000</v>
      </c>
      <c r="H107" s="204">
        <f t="shared" si="0"/>
        <v>322320</v>
      </c>
      <c r="J107" s="14"/>
      <c r="L107" s="14"/>
    </row>
    <row r="108" spans="1:12" s="13" customFormat="1" ht="18.75" customHeight="1">
      <c r="A108" s="202"/>
      <c r="B108" s="202"/>
      <c r="C108" s="205">
        <v>4260</v>
      </c>
      <c r="D108" s="205" t="s">
        <v>1177</v>
      </c>
      <c r="E108" s="207">
        <v>2053530</v>
      </c>
      <c r="F108" s="207"/>
      <c r="G108" s="207">
        <v>5000</v>
      </c>
      <c r="H108" s="207">
        <f t="shared" si="0"/>
        <v>2058530</v>
      </c>
      <c r="J108" s="14"/>
      <c r="L108" s="14"/>
    </row>
    <row r="109" spans="1:12" s="13" customFormat="1" ht="18.75" customHeight="1">
      <c r="A109" s="202"/>
      <c r="B109" s="202"/>
      <c r="C109" s="181">
        <v>4270</v>
      </c>
      <c r="D109" s="181" t="s">
        <v>920</v>
      </c>
      <c r="E109" s="204">
        <v>358619</v>
      </c>
      <c r="F109" s="204">
        <v>4269</v>
      </c>
      <c r="G109" s="204"/>
      <c r="H109" s="204">
        <f t="shared" si="0"/>
        <v>354350</v>
      </c>
      <c r="J109" s="14"/>
      <c r="L109" s="14"/>
    </row>
    <row r="110" spans="1:12" s="13" customFormat="1" ht="18.75" customHeight="1">
      <c r="A110" s="181"/>
      <c r="B110" s="181"/>
      <c r="C110" s="205">
        <v>4280</v>
      </c>
      <c r="D110" s="205" t="s">
        <v>642</v>
      </c>
      <c r="E110" s="207">
        <v>24580</v>
      </c>
      <c r="F110" s="207"/>
      <c r="G110" s="207">
        <v>400</v>
      </c>
      <c r="H110" s="207">
        <f t="shared" si="0"/>
        <v>24980</v>
      </c>
      <c r="J110" s="14"/>
      <c r="L110" s="14"/>
    </row>
    <row r="111" spans="1:12" s="13" customFormat="1" ht="21" customHeight="1">
      <c r="A111" s="202"/>
      <c r="B111" s="168">
        <v>80121</v>
      </c>
      <c r="C111" s="168"/>
      <c r="D111" s="168" t="s">
        <v>530</v>
      </c>
      <c r="E111" s="194">
        <v>1288000</v>
      </c>
      <c r="F111" s="194"/>
      <c r="G111" s="194">
        <f>G112+G114</f>
        <v>117000</v>
      </c>
      <c r="H111" s="194">
        <f aca="true" t="shared" si="2" ref="H111:H116">E111-F111+G111</f>
        <v>1405000</v>
      </c>
      <c r="J111" s="14"/>
      <c r="L111" s="14"/>
    </row>
    <row r="112" spans="1:12" s="13" customFormat="1" ht="21" customHeight="1">
      <c r="A112" s="202"/>
      <c r="B112" s="202"/>
      <c r="C112" s="300"/>
      <c r="D112" s="196" t="s">
        <v>492</v>
      </c>
      <c r="E112" s="197">
        <v>983000</v>
      </c>
      <c r="F112" s="197"/>
      <c r="G112" s="197">
        <f>G113</f>
        <v>100000</v>
      </c>
      <c r="H112" s="197">
        <f t="shared" si="2"/>
        <v>1083000</v>
      </c>
      <c r="J112" s="14"/>
      <c r="L112" s="14"/>
    </row>
    <row r="113" spans="1:12" s="13" customFormat="1" ht="21" customHeight="1">
      <c r="A113" s="202"/>
      <c r="B113" s="202"/>
      <c r="C113" s="181">
        <v>4010</v>
      </c>
      <c r="D113" s="181" t="s">
        <v>896</v>
      </c>
      <c r="E113" s="204">
        <v>907911</v>
      </c>
      <c r="F113" s="204"/>
      <c r="G113" s="204">
        <v>100000</v>
      </c>
      <c r="H113" s="204">
        <f t="shared" si="2"/>
        <v>1007911</v>
      </c>
      <c r="J113" s="14"/>
      <c r="L113" s="14"/>
    </row>
    <row r="114" spans="1:12" s="13" customFormat="1" ht="21" customHeight="1">
      <c r="A114" s="202"/>
      <c r="B114" s="202"/>
      <c r="C114" s="300"/>
      <c r="D114" s="196" t="s">
        <v>553</v>
      </c>
      <c r="E114" s="197">
        <v>191000</v>
      </c>
      <c r="F114" s="197"/>
      <c r="G114" s="197">
        <f>SUM(G115:G116)</f>
        <v>17000</v>
      </c>
      <c r="H114" s="197">
        <f t="shared" si="2"/>
        <v>208000</v>
      </c>
      <c r="J114" s="14"/>
      <c r="L114" s="14"/>
    </row>
    <row r="115" spans="1:12" s="13" customFormat="1" ht="21" customHeight="1">
      <c r="A115" s="202"/>
      <c r="B115" s="202"/>
      <c r="C115" s="181">
        <v>4110</v>
      </c>
      <c r="D115" s="181" t="s">
        <v>1178</v>
      </c>
      <c r="E115" s="204">
        <v>168000</v>
      </c>
      <c r="F115" s="204"/>
      <c r="G115" s="204">
        <v>15000</v>
      </c>
      <c r="H115" s="204">
        <f t="shared" si="2"/>
        <v>183000</v>
      </c>
      <c r="J115" s="14"/>
      <c r="L115" s="14"/>
    </row>
    <row r="116" spans="1:12" s="13" customFormat="1" ht="21" customHeight="1">
      <c r="A116" s="202"/>
      <c r="B116" s="202"/>
      <c r="C116" s="181">
        <v>4120</v>
      </c>
      <c r="D116" s="181" t="s">
        <v>487</v>
      </c>
      <c r="E116" s="204">
        <v>23000</v>
      </c>
      <c r="F116" s="204"/>
      <c r="G116" s="204">
        <v>2000</v>
      </c>
      <c r="H116" s="204">
        <f t="shared" si="2"/>
        <v>25000</v>
      </c>
      <c r="J116" s="14"/>
      <c r="L116" s="14"/>
    </row>
    <row r="117" spans="1:12" s="13" customFormat="1" ht="21" customHeight="1">
      <c r="A117" s="173"/>
      <c r="B117" s="174">
        <v>80123</v>
      </c>
      <c r="C117" s="168"/>
      <c r="D117" s="168" t="s">
        <v>637</v>
      </c>
      <c r="E117" s="194">
        <v>6101280</v>
      </c>
      <c r="F117" s="194"/>
      <c r="G117" s="194">
        <f>G118</f>
        <v>7000</v>
      </c>
      <c r="H117" s="194">
        <f t="shared" si="0"/>
        <v>6108280</v>
      </c>
      <c r="J117" s="14"/>
      <c r="L117" s="14"/>
    </row>
    <row r="118" spans="1:12" s="13" customFormat="1" ht="21" customHeight="1">
      <c r="A118" s="99"/>
      <c r="B118" s="99"/>
      <c r="C118" s="178"/>
      <c r="D118" s="196" t="s">
        <v>1176</v>
      </c>
      <c r="E118" s="197">
        <v>496590</v>
      </c>
      <c r="F118" s="197"/>
      <c r="G118" s="197">
        <f>SUM(G119:G120)</f>
        <v>7000</v>
      </c>
      <c r="H118" s="197">
        <f t="shared" si="0"/>
        <v>503590</v>
      </c>
      <c r="J118" s="14"/>
      <c r="L118" s="14"/>
    </row>
    <row r="119" spans="1:12" s="13" customFormat="1" ht="21" customHeight="1">
      <c r="A119" s="202"/>
      <c r="B119" s="202"/>
      <c r="C119" s="181">
        <v>4210</v>
      </c>
      <c r="D119" s="181" t="s">
        <v>1174</v>
      </c>
      <c r="E119" s="204">
        <v>59100</v>
      </c>
      <c r="F119" s="204"/>
      <c r="G119" s="204">
        <v>4000</v>
      </c>
      <c r="H119" s="204">
        <f t="shared" si="0"/>
        <v>63100</v>
      </c>
      <c r="J119" s="14"/>
      <c r="L119" s="14"/>
    </row>
    <row r="120" spans="1:12" s="13" customFormat="1" ht="21" customHeight="1">
      <c r="A120" s="202"/>
      <c r="B120" s="202"/>
      <c r="C120" s="202">
        <v>4300</v>
      </c>
      <c r="D120" s="202" t="s">
        <v>1173</v>
      </c>
      <c r="E120" s="242">
        <v>34320</v>
      </c>
      <c r="F120" s="242"/>
      <c r="G120" s="242">
        <v>3000</v>
      </c>
      <c r="H120" s="242">
        <f t="shared" si="0"/>
        <v>37320</v>
      </c>
      <c r="J120" s="14"/>
      <c r="L120" s="14"/>
    </row>
    <row r="121" spans="1:12" s="13" customFormat="1" ht="21" customHeight="1">
      <c r="A121" s="202"/>
      <c r="B121" s="174">
        <v>80124</v>
      </c>
      <c r="C121" s="174"/>
      <c r="D121" s="174" t="s">
        <v>531</v>
      </c>
      <c r="E121" s="233">
        <v>286000</v>
      </c>
      <c r="F121" s="233">
        <f>F122</f>
        <v>2000</v>
      </c>
      <c r="G121" s="233"/>
      <c r="H121" s="233">
        <f t="shared" si="0"/>
        <v>284000</v>
      </c>
      <c r="J121" s="14"/>
      <c r="L121" s="14"/>
    </row>
    <row r="122" spans="1:12" s="13" customFormat="1" ht="21" customHeight="1">
      <c r="A122" s="202"/>
      <c r="B122" s="202"/>
      <c r="C122" s="300"/>
      <c r="D122" s="196" t="s">
        <v>553</v>
      </c>
      <c r="E122" s="197">
        <v>42000</v>
      </c>
      <c r="F122" s="197">
        <f>F123</f>
        <v>2000</v>
      </c>
      <c r="G122" s="197"/>
      <c r="H122" s="197">
        <f t="shared" si="0"/>
        <v>40000</v>
      </c>
      <c r="J122" s="14"/>
      <c r="L122" s="14"/>
    </row>
    <row r="123" spans="1:12" s="13" customFormat="1" ht="21" customHeight="1">
      <c r="A123" s="202"/>
      <c r="B123" s="202"/>
      <c r="C123" s="181">
        <v>4110</v>
      </c>
      <c r="D123" s="181" t="s">
        <v>1178</v>
      </c>
      <c r="E123" s="204">
        <v>36380</v>
      </c>
      <c r="F123" s="204">
        <v>2000</v>
      </c>
      <c r="G123" s="204"/>
      <c r="H123" s="204">
        <f t="shared" si="0"/>
        <v>34380</v>
      </c>
      <c r="J123" s="14"/>
      <c r="L123" s="14"/>
    </row>
    <row r="124" spans="1:12" s="13" customFormat="1" ht="21" customHeight="1">
      <c r="A124" s="173"/>
      <c r="B124" s="174">
        <v>80130</v>
      </c>
      <c r="C124" s="168"/>
      <c r="D124" s="168" t="s">
        <v>638</v>
      </c>
      <c r="E124" s="194">
        <v>54505738</v>
      </c>
      <c r="F124" s="194">
        <f>F125+F127+F133</f>
        <v>304800</v>
      </c>
      <c r="G124" s="194">
        <f>G125+G127+G133</f>
        <v>21876</v>
      </c>
      <c r="H124" s="194">
        <f t="shared" si="0"/>
        <v>54222814</v>
      </c>
      <c r="J124" s="14"/>
      <c r="L124" s="14"/>
    </row>
    <row r="125" spans="1:12" s="13" customFormat="1" ht="21" customHeight="1">
      <c r="A125" s="99"/>
      <c r="B125" s="99"/>
      <c r="C125" s="99"/>
      <c r="D125" s="310" t="s">
        <v>492</v>
      </c>
      <c r="E125" s="307">
        <v>28295510</v>
      </c>
      <c r="F125" s="307">
        <f>F126</f>
        <v>256000</v>
      </c>
      <c r="G125" s="307"/>
      <c r="H125" s="307">
        <f t="shared" si="0"/>
        <v>28039510</v>
      </c>
      <c r="J125" s="14"/>
      <c r="L125" s="14"/>
    </row>
    <row r="126" spans="1:12" s="13" customFormat="1" ht="21" customHeight="1">
      <c r="A126" s="202"/>
      <c r="B126" s="202"/>
      <c r="C126" s="181">
        <v>4010</v>
      </c>
      <c r="D126" s="181" t="s">
        <v>896</v>
      </c>
      <c r="E126" s="204">
        <v>26258085</v>
      </c>
      <c r="F126" s="204">
        <v>256000</v>
      </c>
      <c r="G126" s="204"/>
      <c r="H126" s="204">
        <f t="shared" si="0"/>
        <v>26002085</v>
      </c>
      <c r="J126" s="14"/>
      <c r="L126" s="14"/>
    </row>
    <row r="127" spans="1:12" s="13" customFormat="1" ht="21" customHeight="1">
      <c r="A127" s="99"/>
      <c r="B127" s="99"/>
      <c r="C127" s="178"/>
      <c r="D127" s="196" t="s">
        <v>1176</v>
      </c>
      <c r="E127" s="197">
        <v>5531937</v>
      </c>
      <c r="F127" s="197">
        <f>SUM(F128:F131)+F132</f>
        <v>9500</v>
      </c>
      <c r="G127" s="197">
        <f>SUM(G128:G131)+G132</f>
        <v>21876</v>
      </c>
      <c r="H127" s="197">
        <f t="shared" si="0"/>
        <v>5544313</v>
      </c>
      <c r="J127" s="14"/>
      <c r="L127" s="14"/>
    </row>
    <row r="128" spans="1:12" s="13" customFormat="1" ht="21" customHeight="1">
      <c r="A128" s="99"/>
      <c r="B128" s="99"/>
      <c r="C128" s="181">
        <v>3020</v>
      </c>
      <c r="D128" s="181" t="s">
        <v>489</v>
      </c>
      <c r="E128" s="204">
        <v>67600</v>
      </c>
      <c r="F128" s="204"/>
      <c r="G128" s="204">
        <v>3300</v>
      </c>
      <c r="H128" s="204">
        <f>E128-F128+G128</f>
        <v>70900</v>
      </c>
      <c r="J128" s="14"/>
      <c r="L128" s="14"/>
    </row>
    <row r="129" spans="1:12" s="13" customFormat="1" ht="21" customHeight="1">
      <c r="A129" s="202"/>
      <c r="B129" s="202"/>
      <c r="C129" s="202">
        <v>4210</v>
      </c>
      <c r="D129" s="202" t="s">
        <v>1174</v>
      </c>
      <c r="E129" s="242">
        <v>674940</v>
      </c>
      <c r="F129" s="242"/>
      <c r="G129" s="242">
        <v>9000</v>
      </c>
      <c r="H129" s="242">
        <f t="shared" si="0"/>
        <v>683940</v>
      </c>
      <c r="J129" s="14"/>
      <c r="L129" s="14"/>
    </row>
    <row r="130" spans="1:12" s="13" customFormat="1" ht="21" customHeight="1">
      <c r="A130" s="202"/>
      <c r="B130" s="202"/>
      <c r="C130" s="205">
        <v>4260</v>
      </c>
      <c r="D130" s="205" t="s">
        <v>1177</v>
      </c>
      <c r="E130" s="207">
        <v>1882757</v>
      </c>
      <c r="F130" s="207"/>
      <c r="G130" s="207">
        <f>10000-4993</f>
        <v>5007</v>
      </c>
      <c r="H130" s="207">
        <f>E130-F130+G130</f>
        <v>1887764</v>
      </c>
      <c r="J130" s="14"/>
      <c r="L130" s="14"/>
    </row>
    <row r="131" spans="1:12" s="13" customFormat="1" ht="21" customHeight="1">
      <c r="A131" s="202"/>
      <c r="B131" s="202"/>
      <c r="C131" s="205">
        <v>4270</v>
      </c>
      <c r="D131" s="205" t="s">
        <v>920</v>
      </c>
      <c r="E131" s="207">
        <v>590237</v>
      </c>
      <c r="F131" s="207"/>
      <c r="G131" s="207">
        <v>4569</v>
      </c>
      <c r="H131" s="207">
        <f t="shared" si="0"/>
        <v>594806</v>
      </c>
      <c r="J131" s="14"/>
      <c r="L131" s="14"/>
    </row>
    <row r="132" spans="1:12" s="13" customFormat="1" ht="21" customHeight="1">
      <c r="A132" s="202"/>
      <c r="B132" s="202"/>
      <c r="C132" s="205">
        <v>4440</v>
      </c>
      <c r="D132" s="205" t="s">
        <v>630</v>
      </c>
      <c r="E132" s="207">
        <v>1604618</v>
      </c>
      <c r="F132" s="207">
        <v>9500</v>
      </c>
      <c r="G132" s="207"/>
      <c r="H132" s="207">
        <f>E132-F132+G132</f>
        <v>1595118</v>
      </c>
      <c r="J132" s="14"/>
      <c r="L132" s="14"/>
    </row>
    <row r="133" spans="1:12" s="13" customFormat="1" ht="21" customHeight="1">
      <c r="A133" s="99"/>
      <c r="B133" s="99"/>
      <c r="C133" s="99"/>
      <c r="D133" s="324" t="s">
        <v>553</v>
      </c>
      <c r="E133" s="237">
        <v>5494150</v>
      </c>
      <c r="F133" s="237">
        <f>SUM(F134:F135)</f>
        <v>39300</v>
      </c>
      <c r="G133" s="237"/>
      <c r="H133" s="237">
        <f t="shared" si="0"/>
        <v>5454850</v>
      </c>
      <c r="J133" s="14"/>
      <c r="L133" s="14"/>
    </row>
    <row r="134" spans="1:12" s="13" customFormat="1" ht="21" customHeight="1">
      <c r="A134" s="202"/>
      <c r="B134" s="202"/>
      <c r="C134" s="202">
        <v>4110</v>
      </c>
      <c r="D134" s="202" t="s">
        <v>1178</v>
      </c>
      <c r="E134" s="242">
        <v>4829660</v>
      </c>
      <c r="F134" s="242">
        <v>34800</v>
      </c>
      <c r="G134" s="242"/>
      <c r="H134" s="242">
        <f t="shared" si="0"/>
        <v>4794860</v>
      </c>
      <c r="J134" s="14"/>
      <c r="L134" s="14"/>
    </row>
    <row r="135" spans="1:12" s="13" customFormat="1" ht="21" customHeight="1">
      <c r="A135" s="202"/>
      <c r="B135" s="181"/>
      <c r="C135" s="205">
        <v>4120</v>
      </c>
      <c r="D135" s="205" t="s">
        <v>487</v>
      </c>
      <c r="E135" s="207">
        <v>664490</v>
      </c>
      <c r="F135" s="207">
        <v>4500</v>
      </c>
      <c r="G135" s="207"/>
      <c r="H135" s="207">
        <f t="shared" si="0"/>
        <v>659990</v>
      </c>
      <c r="J135" s="14"/>
      <c r="L135" s="14"/>
    </row>
    <row r="136" spans="1:12" s="13" customFormat="1" ht="21" customHeight="1">
      <c r="A136" s="173"/>
      <c r="B136" s="168">
        <v>80134</v>
      </c>
      <c r="C136" s="168"/>
      <c r="D136" s="168" t="s">
        <v>639</v>
      </c>
      <c r="E136" s="194">
        <v>4171500</v>
      </c>
      <c r="F136" s="194">
        <f>F137+F139</f>
        <v>117000</v>
      </c>
      <c r="G136" s="194"/>
      <c r="H136" s="194">
        <f t="shared" si="0"/>
        <v>4054500</v>
      </c>
      <c r="J136" s="14"/>
      <c r="L136" s="14"/>
    </row>
    <row r="137" spans="1:12" s="13" customFormat="1" ht="21" customHeight="1">
      <c r="A137" s="99"/>
      <c r="B137" s="99"/>
      <c r="C137" s="99"/>
      <c r="D137" s="196" t="s">
        <v>492</v>
      </c>
      <c r="E137" s="197">
        <v>3148000</v>
      </c>
      <c r="F137" s="197">
        <f>F138</f>
        <v>100000</v>
      </c>
      <c r="G137" s="197"/>
      <c r="H137" s="197">
        <f t="shared" si="0"/>
        <v>3048000</v>
      </c>
      <c r="J137" s="14"/>
      <c r="L137" s="14"/>
    </row>
    <row r="138" spans="1:12" s="13" customFormat="1" ht="21" customHeight="1">
      <c r="A138" s="181"/>
      <c r="B138" s="181"/>
      <c r="C138" s="181">
        <v>4010</v>
      </c>
      <c r="D138" s="181" t="s">
        <v>896</v>
      </c>
      <c r="E138" s="204">
        <v>2920263</v>
      </c>
      <c r="F138" s="204">
        <v>100000</v>
      </c>
      <c r="G138" s="204"/>
      <c r="H138" s="204">
        <f t="shared" si="0"/>
        <v>2820263</v>
      </c>
      <c r="J138" s="14"/>
      <c r="L138" s="14"/>
    </row>
    <row r="139" spans="1:12" s="13" customFormat="1" ht="21" customHeight="1">
      <c r="A139" s="202"/>
      <c r="B139" s="202"/>
      <c r="C139" s="99"/>
      <c r="D139" s="324" t="s">
        <v>553</v>
      </c>
      <c r="E139" s="237">
        <v>613500</v>
      </c>
      <c r="F139" s="237">
        <f>SUM(F140:F141)</f>
        <v>17000</v>
      </c>
      <c r="G139" s="237"/>
      <c r="H139" s="237">
        <f>E139-F139+G139</f>
        <v>596500</v>
      </c>
      <c r="J139" s="14"/>
      <c r="L139" s="14"/>
    </row>
    <row r="140" spans="1:12" s="13" customFormat="1" ht="21" customHeight="1">
      <c r="A140" s="202"/>
      <c r="B140" s="202"/>
      <c r="C140" s="181">
        <v>4110</v>
      </c>
      <c r="D140" s="181" t="s">
        <v>1178</v>
      </c>
      <c r="E140" s="204">
        <v>540500</v>
      </c>
      <c r="F140" s="204">
        <v>15000</v>
      </c>
      <c r="G140" s="204"/>
      <c r="H140" s="204">
        <f>E140-F140+G140</f>
        <v>525500</v>
      </c>
      <c r="J140" s="14"/>
      <c r="L140" s="14"/>
    </row>
    <row r="141" spans="1:12" s="13" customFormat="1" ht="21" customHeight="1">
      <c r="A141" s="202"/>
      <c r="B141" s="181"/>
      <c r="C141" s="181">
        <v>4120</v>
      </c>
      <c r="D141" s="181" t="s">
        <v>487</v>
      </c>
      <c r="E141" s="204">
        <v>73000</v>
      </c>
      <c r="F141" s="204">
        <v>2000</v>
      </c>
      <c r="G141" s="204"/>
      <c r="H141" s="204">
        <f>E141-F141+G141</f>
        <v>71000</v>
      </c>
      <c r="J141" s="14"/>
      <c r="L141" s="14"/>
    </row>
    <row r="142" spans="1:12" s="13" customFormat="1" ht="21" customHeight="1">
      <c r="A142" s="173"/>
      <c r="B142" s="168">
        <v>80195</v>
      </c>
      <c r="C142" s="168"/>
      <c r="D142" s="168" t="s">
        <v>488</v>
      </c>
      <c r="E142" s="194">
        <v>1844283</v>
      </c>
      <c r="F142" s="194"/>
      <c r="G142" s="194">
        <f>G143</f>
        <v>290671</v>
      </c>
      <c r="H142" s="194">
        <f t="shared" si="0"/>
        <v>2134954</v>
      </c>
      <c r="J142" s="14"/>
      <c r="L142" s="14"/>
    </row>
    <row r="143" spans="1:12" s="13" customFormat="1" ht="26.25" customHeight="1">
      <c r="A143" s="99"/>
      <c r="B143" s="99"/>
      <c r="C143" s="99"/>
      <c r="D143" s="240" t="s">
        <v>804</v>
      </c>
      <c r="E143" s="241">
        <v>1819033</v>
      </c>
      <c r="F143" s="241"/>
      <c r="G143" s="241">
        <f>G144</f>
        <v>290671</v>
      </c>
      <c r="H143" s="241">
        <f t="shared" si="0"/>
        <v>2109704</v>
      </c>
      <c r="J143" s="14"/>
      <c r="L143" s="14"/>
    </row>
    <row r="144" spans="1:12" s="13" customFormat="1" ht="21" customHeight="1">
      <c r="A144" s="99"/>
      <c r="B144" s="99"/>
      <c r="C144" s="181">
        <v>4440</v>
      </c>
      <c r="D144" s="181" t="s">
        <v>630</v>
      </c>
      <c r="E144" s="204">
        <v>1816033</v>
      </c>
      <c r="F144" s="204"/>
      <c r="G144" s="204">
        <v>290671</v>
      </c>
      <c r="H144" s="204">
        <f t="shared" si="0"/>
        <v>2106704</v>
      </c>
      <c r="J144" s="14"/>
      <c r="L144" s="14"/>
    </row>
    <row r="145" spans="1:12" s="13" customFormat="1" ht="21" customHeight="1">
      <c r="A145" s="170">
        <v>851</v>
      </c>
      <c r="B145" s="170"/>
      <c r="C145" s="192"/>
      <c r="D145" s="192" t="s">
        <v>963</v>
      </c>
      <c r="E145" s="232">
        <v>8260000</v>
      </c>
      <c r="F145" s="232">
        <f>F151+F146</f>
        <v>91312</v>
      </c>
      <c r="G145" s="232">
        <f>G151+G146</f>
        <v>91312</v>
      </c>
      <c r="H145" s="232">
        <f aca="true" t="shared" si="3" ref="H145:H162">E145-F145+G145</f>
        <v>8260000</v>
      </c>
      <c r="J145" s="14"/>
      <c r="L145" s="14"/>
    </row>
    <row r="146" spans="1:12" s="13" customFormat="1" ht="21" customHeight="1">
      <c r="A146" s="286"/>
      <c r="B146" s="168">
        <v>85121</v>
      </c>
      <c r="C146" s="168"/>
      <c r="D146" s="168" t="s">
        <v>688</v>
      </c>
      <c r="E146" s="194">
        <v>3040000</v>
      </c>
      <c r="F146" s="194">
        <f>F147</f>
        <v>80000</v>
      </c>
      <c r="G146" s="194">
        <f>G147</f>
        <v>80000</v>
      </c>
      <c r="H146" s="194">
        <f>E146-F146+G146</f>
        <v>3040000</v>
      </c>
      <c r="J146" s="14"/>
      <c r="L146" s="14"/>
    </row>
    <row r="147" spans="1:12" s="13" customFormat="1" ht="21" customHeight="1">
      <c r="A147" s="173"/>
      <c r="B147" s="173"/>
      <c r="C147" s="173"/>
      <c r="D147" s="196" t="s">
        <v>811</v>
      </c>
      <c r="E147" s="197">
        <v>240000</v>
      </c>
      <c r="F147" s="197">
        <f>F150</f>
        <v>80000</v>
      </c>
      <c r="G147" s="197">
        <f>G148</f>
        <v>80000</v>
      </c>
      <c r="H147" s="197">
        <f>E147-F147+G147</f>
        <v>240000</v>
      </c>
      <c r="J147" s="14"/>
      <c r="L147" s="14"/>
    </row>
    <row r="148" spans="1:12" s="13" customFormat="1" ht="21" customHeight="1">
      <c r="A148" s="173"/>
      <c r="B148" s="173"/>
      <c r="C148" s="173"/>
      <c r="D148" s="939" t="s">
        <v>494</v>
      </c>
      <c r="E148" s="285">
        <v>160000</v>
      </c>
      <c r="F148" s="285"/>
      <c r="G148" s="285">
        <v>80000</v>
      </c>
      <c r="H148" s="285">
        <f>E148-F148+G148</f>
        <v>240000</v>
      </c>
      <c r="J148" s="14"/>
      <c r="L148" s="14"/>
    </row>
    <row r="149" spans="1:12" s="13" customFormat="1" ht="21" customHeight="1">
      <c r="A149" s="173"/>
      <c r="B149" s="173"/>
      <c r="C149" s="173"/>
      <c r="D149" s="1339" t="s">
        <v>631</v>
      </c>
      <c r="E149" s="938">
        <v>80000</v>
      </c>
      <c r="F149" s="938">
        <v>80000</v>
      </c>
      <c r="G149" s="938"/>
      <c r="H149" s="938">
        <f>E149-F149+G149</f>
        <v>0</v>
      </c>
      <c r="J149" s="14"/>
      <c r="L149" s="14"/>
    </row>
    <row r="150" spans="1:12" s="13" customFormat="1" ht="40.5" customHeight="1">
      <c r="A150" s="173"/>
      <c r="B150" s="168"/>
      <c r="C150" s="181">
        <v>6220</v>
      </c>
      <c r="D150" s="203" t="s">
        <v>812</v>
      </c>
      <c r="E150" s="204">
        <v>240000</v>
      </c>
      <c r="F150" s="204">
        <v>80000</v>
      </c>
      <c r="G150" s="204">
        <f>G148</f>
        <v>80000</v>
      </c>
      <c r="H150" s="204">
        <f>E150-F150+G150</f>
        <v>240000</v>
      </c>
      <c r="J150" s="14"/>
      <c r="L150" s="14"/>
    </row>
    <row r="151" spans="1:12" s="13" customFormat="1" ht="21" customHeight="1">
      <c r="A151" s="173"/>
      <c r="B151" s="168">
        <v>85154</v>
      </c>
      <c r="C151" s="168"/>
      <c r="D151" s="168" t="s">
        <v>1430</v>
      </c>
      <c r="E151" s="194">
        <v>4500000</v>
      </c>
      <c r="F151" s="194">
        <f>F152</f>
        <v>11312</v>
      </c>
      <c r="G151" s="194">
        <f>G152</f>
        <v>11312</v>
      </c>
      <c r="H151" s="194">
        <f t="shared" si="3"/>
        <v>4500000</v>
      </c>
      <c r="J151" s="14"/>
      <c r="L151" s="14"/>
    </row>
    <row r="152" spans="1:12" s="13" customFormat="1" ht="24.75" customHeight="1">
      <c r="A152" s="99"/>
      <c r="B152" s="99"/>
      <c r="C152" s="202"/>
      <c r="D152" s="271" t="s">
        <v>1432</v>
      </c>
      <c r="E152" s="197">
        <v>4500000</v>
      </c>
      <c r="F152" s="197">
        <f>F156+F158+F153</f>
        <v>11312</v>
      </c>
      <c r="G152" s="197">
        <f>G156+G158+G160+G153</f>
        <v>11312</v>
      </c>
      <c r="H152" s="197">
        <f t="shared" si="3"/>
        <v>4500000</v>
      </c>
      <c r="J152" s="14"/>
      <c r="L152" s="14"/>
    </row>
    <row r="153" spans="1:12" s="13" customFormat="1" ht="24.75" customHeight="1">
      <c r="A153" s="99"/>
      <c r="B153" s="99"/>
      <c r="C153" s="202"/>
      <c r="D153" s="451" t="s">
        <v>1439</v>
      </c>
      <c r="E153" s="452">
        <v>800000</v>
      </c>
      <c r="F153" s="452">
        <f>F154+F155</f>
        <v>3240</v>
      </c>
      <c r="G153" s="452">
        <f>G154+G155</f>
        <v>3240</v>
      </c>
      <c r="H153" s="452">
        <f>E153-F153+G153</f>
        <v>800000</v>
      </c>
      <c r="J153" s="14"/>
      <c r="L153" s="14"/>
    </row>
    <row r="154" spans="1:12" s="13" customFormat="1" ht="24.75" customHeight="1">
      <c r="A154" s="99"/>
      <c r="B154" s="99"/>
      <c r="C154" s="181">
        <v>2810</v>
      </c>
      <c r="D154" s="203" t="s">
        <v>664</v>
      </c>
      <c r="E154" s="204">
        <v>27000</v>
      </c>
      <c r="F154" s="204">
        <v>3240</v>
      </c>
      <c r="G154" s="204"/>
      <c r="H154" s="204">
        <f>E154-F154+G154</f>
        <v>23760</v>
      </c>
      <c r="J154" s="14"/>
      <c r="L154" s="14"/>
    </row>
    <row r="155" spans="1:12" s="13" customFormat="1" ht="24.75" customHeight="1">
      <c r="A155" s="99"/>
      <c r="B155" s="99"/>
      <c r="C155" s="205">
        <v>2820</v>
      </c>
      <c r="D155" s="206" t="s">
        <v>1442</v>
      </c>
      <c r="E155" s="207">
        <v>463000</v>
      </c>
      <c r="F155" s="207"/>
      <c r="G155" s="207">
        <v>3240</v>
      </c>
      <c r="H155" s="207">
        <f>E155-F155+G155</f>
        <v>466240</v>
      </c>
      <c r="J155" s="14"/>
      <c r="L155" s="14"/>
    </row>
    <row r="156" spans="1:12" s="13" customFormat="1" ht="39.75" customHeight="1">
      <c r="A156" s="99"/>
      <c r="B156" s="99"/>
      <c r="C156" s="202"/>
      <c r="D156" s="466" t="s">
        <v>1433</v>
      </c>
      <c r="E156" s="1290">
        <v>826000</v>
      </c>
      <c r="F156" s="1290">
        <f>F157</f>
        <v>6000</v>
      </c>
      <c r="G156" s="1290"/>
      <c r="H156" s="1290">
        <f t="shared" si="3"/>
        <v>820000</v>
      </c>
      <c r="J156" s="14"/>
      <c r="L156" s="14"/>
    </row>
    <row r="157" spans="1:12" s="13" customFormat="1" ht="21" customHeight="1">
      <c r="A157" s="99"/>
      <c r="B157" s="99"/>
      <c r="C157" s="181">
        <v>4300</v>
      </c>
      <c r="D157" s="181" t="s">
        <v>1173</v>
      </c>
      <c r="E157" s="204">
        <v>287313</v>
      </c>
      <c r="F157" s="204">
        <v>6000</v>
      </c>
      <c r="G157" s="204"/>
      <c r="H157" s="204">
        <f t="shared" si="3"/>
        <v>281313</v>
      </c>
      <c r="J157" s="14"/>
      <c r="L157" s="14"/>
    </row>
    <row r="158" spans="1:12" s="13" customFormat="1" ht="24.75" customHeight="1">
      <c r="A158" s="99"/>
      <c r="B158" s="99"/>
      <c r="C158" s="202"/>
      <c r="D158" s="382" t="s">
        <v>1434</v>
      </c>
      <c r="E158" s="453">
        <v>1082000</v>
      </c>
      <c r="F158" s="453">
        <f>F159</f>
        <v>2072</v>
      </c>
      <c r="G158" s="453"/>
      <c r="H158" s="453">
        <f t="shared" si="3"/>
        <v>1079928</v>
      </c>
      <c r="J158" s="14"/>
      <c r="L158" s="14"/>
    </row>
    <row r="159" spans="1:12" s="13" customFormat="1" ht="21" customHeight="1">
      <c r="A159" s="99"/>
      <c r="B159" s="99"/>
      <c r="C159" s="181">
        <v>4300</v>
      </c>
      <c r="D159" s="181" t="s">
        <v>1173</v>
      </c>
      <c r="E159" s="204">
        <v>535897</v>
      </c>
      <c r="F159" s="204">
        <v>2072</v>
      </c>
      <c r="G159" s="204"/>
      <c r="H159" s="204">
        <f t="shared" si="3"/>
        <v>533825</v>
      </c>
      <c r="J159" s="14"/>
      <c r="L159" s="14"/>
    </row>
    <row r="160" spans="1:12" s="13" customFormat="1" ht="21" customHeight="1">
      <c r="A160" s="99"/>
      <c r="B160" s="99"/>
      <c r="C160" s="300"/>
      <c r="D160" s="454" t="s">
        <v>1435</v>
      </c>
      <c r="E160" s="453">
        <v>130000</v>
      </c>
      <c r="F160" s="453"/>
      <c r="G160" s="453">
        <f>SUM(G161:G162)</f>
        <v>8072</v>
      </c>
      <c r="H160" s="453">
        <f t="shared" si="3"/>
        <v>138072</v>
      </c>
      <c r="J160" s="14"/>
      <c r="L160" s="14"/>
    </row>
    <row r="161" spans="1:12" s="13" customFormat="1" ht="21" customHeight="1">
      <c r="A161" s="99"/>
      <c r="B161" s="99"/>
      <c r="C161" s="181">
        <v>4300</v>
      </c>
      <c r="D161" s="181" t="s">
        <v>1173</v>
      </c>
      <c r="E161" s="204">
        <v>51500</v>
      </c>
      <c r="F161" s="204"/>
      <c r="G161" s="204">
        <v>3072</v>
      </c>
      <c r="H161" s="204">
        <f t="shared" si="3"/>
        <v>54572</v>
      </c>
      <c r="J161" s="14"/>
      <c r="L161" s="14"/>
    </row>
    <row r="162" spans="1:12" s="13" customFormat="1" ht="21" customHeight="1">
      <c r="A162" s="229"/>
      <c r="B162" s="229"/>
      <c r="C162" s="181">
        <v>6060</v>
      </c>
      <c r="D162" s="181" t="s">
        <v>1005</v>
      </c>
      <c r="E162" s="204">
        <v>11500</v>
      </c>
      <c r="F162" s="204"/>
      <c r="G162" s="204">
        <v>5000</v>
      </c>
      <c r="H162" s="204">
        <f t="shared" si="3"/>
        <v>16500</v>
      </c>
      <c r="J162" s="14"/>
      <c r="L162" s="14"/>
    </row>
    <row r="163" spans="1:12" s="13" customFormat="1" ht="21" customHeight="1">
      <c r="A163" s="1108"/>
      <c r="B163" s="1108"/>
      <c r="C163" s="1109"/>
      <c r="D163" s="1109"/>
      <c r="E163" s="1276"/>
      <c r="F163" s="1276"/>
      <c r="G163" s="1276"/>
      <c r="H163" s="1276"/>
      <c r="J163" s="14"/>
      <c r="L163" s="14"/>
    </row>
    <row r="164" spans="1:12" s="13" customFormat="1" ht="21" customHeight="1">
      <c r="A164" s="192">
        <v>852</v>
      </c>
      <c r="B164" s="192"/>
      <c r="C164" s="192"/>
      <c r="D164" s="192" t="s">
        <v>485</v>
      </c>
      <c r="E164" s="232">
        <v>76226476</v>
      </c>
      <c r="F164" s="232">
        <f>F165+F169+F180</f>
        <v>175723</v>
      </c>
      <c r="G164" s="232">
        <f>G165+G169+G180</f>
        <v>305723</v>
      </c>
      <c r="H164" s="232">
        <f t="shared" si="0"/>
        <v>76356476</v>
      </c>
      <c r="J164" s="14"/>
      <c r="L164" s="14"/>
    </row>
    <row r="165" spans="1:12" s="13" customFormat="1" ht="21" customHeight="1">
      <c r="A165" s="99"/>
      <c r="B165" s="174">
        <v>85201</v>
      </c>
      <c r="C165" s="174"/>
      <c r="D165" s="174" t="s">
        <v>686</v>
      </c>
      <c r="E165" s="233">
        <v>9267700</v>
      </c>
      <c r="F165" s="233"/>
      <c r="G165" s="233">
        <f>G166</f>
        <v>130000</v>
      </c>
      <c r="H165" s="233">
        <f t="shared" si="0"/>
        <v>9397700</v>
      </c>
      <c r="J165" s="14"/>
      <c r="L165" s="14"/>
    </row>
    <row r="166" spans="1:12" s="13" customFormat="1" ht="21" customHeight="1">
      <c r="A166" s="99"/>
      <c r="B166" s="99"/>
      <c r="C166" s="99"/>
      <c r="D166" s="240" t="s">
        <v>1125</v>
      </c>
      <c r="E166" s="241">
        <v>156000</v>
      </c>
      <c r="F166" s="241"/>
      <c r="G166" s="241">
        <f>G168</f>
        <v>130000</v>
      </c>
      <c r="H166" s="241">
        <f t="shared" si="0"/>
        <v>286000</v>
      </c>
      <c r="J166" s="14"/>
      <c r="L166" s="14"/>
    </row>
    <row r="167" spans="1:12" s="13" customFormat="1" ht="21" customHeight="1">
      <c r="A167" s="99"/>
      <c r="B167" s="99"/>
      <c r="C167" s="99"/>
      <c r="D167" s="386" t="s">
        <v>687</v>
      </c>
      <c r="E167" s="387">
        <v>150000</v>
      </c>
      <c r="F167" s="387"/>
      <c r="G167" s="387">
        <v>130000</v>
      </c>
      <c r="H167" s="387">
        <f>E167+G167</f>
        <v>280000</v>
      </c>
      <c r="J167" s="14"/>
      <c r="L167" s="14"/>
    </row>
    <row r="168" spans="1:12" s="13" customFormat="1" ht="21" customHeight="1">
      <c r="A168" s="99"/>
      <c r="B168" s="99"/>
      <c r="C168" s="202">
        <v>6050</v>
      </c>
      <c r="D168" s="202" t="s">
        <v>1124</v>
      </c>
      <c r="E168" s="242">
        <v>150000</v>
      </c>
      <c r="F168" s="242"/>
      <c r="G168" s="242">
        <v>130000</v>
      </c>
      <c r="H168" s="242">
        <f t="shared" si="0"/>
        <v>280000</v>
      </c>
      <c r="J168" s="14"/>
      <c r="L168" s="14"/>
    </row>
    <row r="169" spans="1:12" s="13" customFormat="1" ht="21" customHeight="1">
      <c r="A169" s="99"/>
      <c r="B169" s="174">
        <v>85202</v>
      </c>
      <c r="C169" s="299"/>
      <c r="D169" s="174" t="s">
        <v>988</v>
      </c>
      <c r="E169" s="233">
        <v>13452010</v>
      </c>
      <c r="F169" s="233">
        <f>F170+F172</f>
        <v>140000</v>
      </c>
      <c r="G169" s="233">
        <f>G170+G172+G177</f>
        <v>175723</v>
      </c>
      <c r="H169" s="233">
        <f aca="true" t="shared" si="4" ref="H169:H176">E169-F169+G169</f>
        <v>13487733</v>
      </c>
      <c r="J169" s="14"/>
      <c r="L169" s="14"/>
    </row>
    <row r="170" spans="1:12" s="13" customFormat="1" ht="21" customHeight="1">
      <c r="A170" s="99"/>
      <c r="B170" s="178"/>
      <c r="C170" s="300"/>
      <c r="D170" s="196" t="s">
        <v>989</v>
      </c>
      <c r="E170" s="197">
        <v>7351200</v>
      </c>
      <c r="F170" s="197">
        <f>F171</f>
        <v>140000</v>
      </c>
      <c r="G170" s="197"/>
      <c r="H170" s="197">
        <f t="shared" si="4"/>
        <v>7211200</v>
      </c>
      <c r="J170" s="14"/>
      <c r="L170" s="14"/>
    </row>
    <row r="171" spans="1:12" s="13" customFormat="1" ht="21" customHeight="1">
      <c r="A171" s="99"/>
      <c r="B171" s="99"/>
      <c r="C171" s="181">
        <v>4010</v>
      </c>
      <c r="D171" s="181" t="s">
        <v>896</v>
      </c>
      <c r="E171" s="204">
        <v>6826790</v>
      </c>
      <c r="F171" s="204">
        <v>140000</v>
      </c>
      <c r="G171" s="204"/>
      <c r="H171" s="204">
        <f t="shared" si="4"/>
        <v>6686790</v>
      </c>
      <c r="J171" s="14"/>
      <c r="L171" s="14"/>
    </row>
    <row r="172" spans="1:12" s="13" customFormat="1" ht="21" customHeight="1">
      <c r="A172" s="99"/>
      <c r="B172" s="99"/>
      <c r="C172" s="300"/>
      <c r="D172" s="196" t="s">
        <v>1176</v>
      </c>
      <c r="E172" s="197">
        <v>3444250</v>
      </c>
      <c r="F172" s="197"/>
      <c r="G172" s="197">
        <f>SUM(G173:G176)</f>
        <v>140000</v>
      </c>
      <c r="H172" s="197">
        <f t="shared" si="4"/>
        <v>3584250</v>
      </c>
      <c r="J172" s="14"/>
      <c r="L172" s="14"/>
    </row>
    <row r="173" spans="1:12" s="13" customFormat="1" ht="21" customHeight="1">
      <c r="A173" s="99"/>
      <c r="B173" s="99"/>
      <c r="C173" s="181">
        <v>4210</v>
      </c>
      <c r="D173" s="181" t="s">
        <v>1174</v>
      </c>
      <c r="E173" s="204">
        <v>528950</v>
      </c>
      <c r="F173" s="204"/>
      <c r="G173" s="204">
        <v>30000</v>
      </c>
      <c r="H173" s="204">
        <f t="shared" si="4"/>
        <v>558950</v>
      </c>
      <c r="J173" s="14"/>
      <c r="L173" s="14"/>
    </row>
    <row r="174" spans="1:12" s="13" customFormat="1" ht="21" customHeight="1">
      <c r="A174" s="99"/>
      <c r="B174" s="99"/>
      <c r="C174" s="181">
        <v>4220</v>
      </c>
      <c r="D174" s="181" t="s">
        <v>990</v>
      </c>
      <c r="E174" s="204">
        <v>1107500</v>
      </c>
      <c r="F174" s="204"/>
      <c r="G174" s="204">
        <v>20000</v>
      </c>
      <c r="H174" s="204">
        <f t="shared" si="4"/>
        <v>1127500</v>
      </c>
      <c r="J174" s="14"/>
      <c r="L174" s="14"/>
    </row>
    <row r="175" spans="1:12" s="13" customFormat="1" ht="21" customHeight="1">
      <c r="A175" s="99"/>
      <c r="B175" s="99"/>
      <c r="C175" s="205">
        <v>4260</v>
      </c>
      <c r="D175" s="205" t="s">
        <v>1177</v>
      </c>
      <c r="E175" s="207">
        <v>753900</v>
      </c>
      <c r="F175" s="207"/>
      <c r="G175" s="207">
        <v>60000</v>
      </c>
      <c r="H175" s="207">
        <f t="shared" si="4"/>
        <v>813900</v>
      </c>
      <c r="J175" s="14"/>
      <c r="L175" s="14"/>
    </row>
    <row r="176" spans="1:12" s="142" customFormat="1" ht="21" customHeight="1">
      <c r="A176" s="99"/>
      <c r="B176" s="99"/>
      <c r="C176" s="205">
        <v>4300</v>
      </c>
      <c r="D176" s="205" t="s">
        <v>1173</v>
      </c>
      <c r="E176" s="207">
        <v>444300</v>
      </c>
      <c r="F176" s="207"/>
      <c r="G176" s="207">
        <v>30000</v>
      </c>
      <c r="H176" s="207">
        <f t="shared" si="4"/>
        <v>474300</v>
      </c>
      <c r="J176" s="147"/>
      <c r="L176" s="147"/>
    </row>
    <row r="177" spans="1:12" s="126" customFormat="1" ht="21" customHeight="1">
      <c r="A177" s="99"/>
      <c r="B177" s="99"/>
      <c r="C177" s="300"/>
      <c r="D177" s="196" t="s">
        <v>1125</v>
      </c>
      <c r="E177" s="197">
        <v>540760</v>
      </c>
      <c r="F177" s="197"/>
      <c r="G177" s="197">
        <f>G178</f>
        <v>35723</v>
      </c>
      <c r="H177" s="197">
        <f aca="true" t="shared" si="5" ref="H177:H183">E177-F177+G177</f>
        <v>576483</v>
      </c>
      <c r="J177" s="148"/>
      <c r="L177" s="148"/>
    </row>
    <row r="178" spans="1:12" s="126" customFormat="1" ht="21" customHeight="1">
      <c r="A178" s="99"/>
      <c r="B178" s="99"/>
      <c r="C178" s="202"/>
      <c r="D178" s="939" t="s">
        <v>687</v>
      </c>
      <c r="E178" s="285">
        <v>469500</v>
      </c>
      <c r="F178" s="285"/>
      <c r="G178" s="285">
        <f>G179</f>
        <v>35723</v>
      </c>
      <c r="H178" s="285">
        <f t="shared" si="5"/>
        <v>505223</v>
      </c>
      <c r="J178" s="148"/>
      <c r="L178" s="148"/>
    </row>
    <row r="179" spans="1:12" s="126" customFormat="1" ht="21" customHeight="1">
      <c r="A179" s="99"/>
      <c r="B179" s="99"/>
      <c r="C179" s="181">
        <v>6050</v>
      </c>
      <c r="D179" s="181" t="s">
        <v>1124</v>
      </c>
      <c r="E179" s="204">
        <v>539500</v>
      </c>
      <c r="F179" s="204"/>
      <c r="G179" s="204">
        <v>35723</v>
      </c>
      <c r="H179" s="204">
        <f t="shared" si="5"/>
        <v>575223</v>
      </c>
      <c r="J179" s="148"/>
      <c r="L179" s="148"/>
    </row>
    <row r="180" spans="1:12" s="126" customFormat="1" ht="21" customHeight="1">
      <c r="A180" s="99"/>
      <c r="B180" s="174">
        <v>85203</v>
      </c>
      <c r="C180" s="168"/>
      <c r="D180" s="168" t="s">
        <v>973</v>
      </c>
      <c r="E180" s="194">
        <v>3493866</v>
      </c>
      <c r="F180" s="194">
        <f>F181</f>
        <v>35723</v>
      </c>
      <c r="G180" s="194"/>
      <c r="H180" s="194">
        <f t="shared" si="5"/>
        <v>3458143</v>
      </c>
      <c r="J180" s="148"/>
      <c r="L180" s="148"/>
    </row>
    <row r="181" spans="1:12" s="126" customFormat="1" ht="21" customHeight="1">
      <c r="A181" s="99"/>
      <c r="B181" s="99"/>
      <c r="C181" s="300"/>
      <c r="D181" s="196" t="s">
        <v>960</v>
      </c>
      <c r="E181" s="197">
        <v>825000</v>
      </c>
      <c r="F181" s="197">
        <f>F182</f>
        <v>35723</v>
      </c>
      <c r="G181" s="197"/>
      <c r="H181" s="197">
        <f t="shared" si="5"/>
        <v>789277</v>
      </c>
      <c r="J181" s="148"/>
      <c r="L181" s="148"/>
    </row>
    <row r="182" spans="1:12" s="126" customFormat="1" ht="21" customHeight="1">
      <c r="A182" s="99"/>
      <c r="B182" s="99"/>
      <c r="C182" s="202"/>
      <c r="D182" s="939" t="s">
        <v>810</v>
      </c>
      <c r="E182" s="285">
        <v>825000</v>
      </c>
      <c r="F182" s="285">
        <f>F183</f>
        <v>35723</v>
      </c>
      <c r="G182" s="285"/>
      <c r="H182" s="285">
        <f t="shared" si="5"/>
        <v>789277</v>
      </c>
      <c r="J182" s="148"/>
      <c r="L182" s="148"/>
    </row>
    <row r="183" spans="1:12" s="126" customFormat="1" ht="21" customHeight="1">
      <c r="A183" s="99"/>
      <c r="B183" s="99"/>
      <c r="C183" s="181">
        <v>6050</v>
      </c>
      <c r="D183" s="181" t="s">
        <v>1124</v>
      </c>
      <c r="E183" s="204">
        <v>825000</v>
      </c>
      <c r="F183" s="204">
        <v>35723</v>
      </c>
      <c r="G183" s="204"/>
      <c r="H183" s="204">
        <f t="shared" si="5"/>
        <v>789277</v>
      </c>
      <c r="J183" s="148"/>
      <c r="L183" s="148"/>
    </row>
    <row r="184" spans="1:12" s="13" customFormat="1" ht="21" customHeight="1">
      <c r="A184" s="170">
        <v>854</v>
      </c>
      <c r="B184" s="170"/>
      <c r="C184" s="192"/>
      <c r="D184" s="192" t="s">
        <v>640</v>
      </c>
      <c r="E184" s="232">
        <v>34065847</v>
      </c>
      <c r="F184" s="232">
        <f>F185+F193+F202+F207+F213+F225+F219+F222</f>
        <v>156375</v>
      </c>
      <c r="G184" s="232">
        <f>G185+G193+G202+G207+G213+G225+G219+G222</f>
        <v>156375</v>
      </c>
      <c r="H184" s="232">
        <f t="shared" si="0"/>
        <v>34065847</v>
      </c>
      <c r="J184" s="14"/>
      <c r="L184" s="14"/>
    </row>
    <row r="185" spans="1:12" s="13" customFormat="1" ht="21" customHeight="1">
      <c r="A185" s="99"/>
      <c r="B185" s="174">
        <v>85401</v>
      </c>
      <c r="C185" s="174"/>
      <c r="D185" s="174" t="s">
        <v>641</v>
      </c>
      <c r="E185" s="233">
        <v>5361200</v>
      </c>
      <c r="F185" s="233">
        <f>F186+F188+F190</f>
        <v>9897</v>
      </c>
      <c r="G185" s="233">
        <f>G186+G188</f>
        <v>2310</v>
      </c>
      <c r="H185" s="233">
        <f t="shared" si="0"/>
        <v>5353613</v>
      </c>
      <c r="J185" s="14"/>
      <c r="L185" s="14"/>
    </row>
    <row r="186" spans="1:12" s="13" customFormat="1" ht="21" customHeight="1">
      <c r="A186" s="99"/>
      <c r="B186" s="99"/>
      <c r="C186" s="99"/>
      <c r="D186" s="196" t="s">
        <v>492</v>
      </c>
      <c r="E186" s="197">
        <v>4222700</v>
      </c>
      <c r="F186" s="197"/>
      <c r="G186" s="197">
        <f>G187</f>
        <v>2310</v>
      </c>
      <c r="H186" s="197">
        <f t="shared" si="0"/>
        <v>4225010</v>
      </c>
      <c r="J186" s="14"/>
      <c r="L186" s="14"/>
    </row>
    <row r="187" spans="1:12" s="13" customFormat="1" ht="21" customHeight="1">
      <c r="A187" s="99"/>
      <c r="B187" s="99"/>
      <c r="C187" s="181">
        <v>4010</v>
      </c>
      <c r="D187" s="181" t="s">
        <v>896</v>
      </c>
      <c r="E187" s="204">
        <v>3894442</v>
      </c>
      <c r="F187" s="204"/>
      <c r="G187" s="204">
        <f>11200-8890</f>
        <v>2310</v>
      </c>
      <c r="H187" s="204">
        <f t="shared" si="0"/>
        <v>3896752</v>
      </c>
      <c r="J187" s="14"/>
      <c r="L187" s="14"/>
    </row>
    <row r="188" spans="1:12" s="13" customFormat="1" ht="21" customHeight="1">
      <c r="A188" s="99"/>
      <c r="B188" s="99"/>
      <c r="C188" s="99"/>
      <c r="D188" s="324" t="s">
        <v>1176</v>
      </c>
      <c r="E188" s="237">
        <v>304900</v>
      </c>
      <c r="F188" s="237">
        <f>F189</f>
        <v>5504</v>
      </c>
      <c r="G188" s="237"/>
      <c r="H188" s="237">
        <f t="shared" si="0"/>
        <v>299396</v>
      </c>
      <c r="J188" s="14"/>
      <c r="L188" s="14"/>
    </row>
    <row r="189" spans="1:12" s="13" customFormat="1" ht="18.75" customHeight="1">
      <c r="A189" s="99"/>
      <c r="B189" s="99"/>
      <c r="C189" s="202">
        <v>4300</v>
      </c>
      <c r="D189" s="202" t="s">
        <v>1173</v>
      </c>
      <c r="E189" s="242">
        <v>15543</v>
      </c>
      <c r="F189" s="242">
        <v>5504</v>
      </c>
      <c r="G189" s="242"/>
      <c r="H189" s="242">
        <f t="shared" si="0"/>
        <v>10039</v>
      </c>
      <c r="J189" s="14"/>
      <c r="L189" s="14"/>
    </row>
    <row r="190" spans="1:12" s="13" customFormat="1" ht="18.75" customHeight="1">
      <c r="A190" s="99"/>
      <c r="B190" s="99"/>
      <c r="C190" s="300"/>
      <c r="D190" s="196" t="s">
        <v>553</v>
      </c>
      <c r="E190" s="197">
        <v>833600</v>
      </c>
      <c r="F190" s="197">
        <f>SUM(F191:F192)</f>
        <v>4393</v>
      </c>
      <c r="G190" s="197"/>
      <c r="H190" s="197">
        <f t="shared" si="0"/>
        <v>829207</v>
      </c>
      <c r="J190" s="14"/>
      <c r="L190" s="14"/>
    </row>
    <row r="191" spans="1:12" s="13" customFormat="1" ht="18.75" customHeight="1">
      <c r="A191" s="99"/>
      <c r="B191" s="99"/>
      <c r="C191" s="181">
        <v>4110</v>
      </c>
      <c r="D191" s="181" t="s">
        <v>1178</v>
      </c>
      <c r="E191" s="204">
        <v>728340</v>
      </c>
      <c r="F191" s="204">
        <v>4070</v>
      </c>
      <c r="G191" s="204"/>
      <c r="H191" s="204">
        <f t="shared" si="0"/>
        <v>724270</v>
      </c>
      <c r="J191" s="14"/>
      <c r="L191" s="14"/>
    </row>
    <row r="192" spans="1:12" s="13" customFormat="1" ht="21" customHeight="1">
      <c r="A192" s="229"/>
      <c r="B192" s="229"/>
      <c r="C192" s="205">
        <v>4120</v>
      </c>
      <c r="D192" s="205" t="s">
        <v>487</v>
      </c>
      <c r="E192" s="207">
        <v>105260</v>
      </c>
      <c r="F192" s="207">
        <v>323</v>
      </c>
      <c r="G192" s="207"/>
      <c r="H192" s="207">
        <f t="shared" si="0"/>
        <v>104937</v>
      </c>
      <c r="J192" s="14"/>
      <c r="L192" s="14"/>
    </row>
    <row r="193" spans="1:12" s="13" customFormat="1" ht="21" customHeight="1">
      <c r="A193" s="99"/>
      <c r="B193" s="168">
        <v>85403</v>
      </c>
      <c r="C193" s="168"/>
      <c r="D193" s="168" t="s">
        <v>643</v>
      </c>
      <c r="E193" s="194">
        <v>7642992</v>
      </c>
      <c r="F193" s="194">
        <f>F194+F196+F200</f>
        <v>75992</v>
      </c>
      <c r="G193" s="194">
        <f>G194+G196+G200</f>
        <v>28000</v>
      </c>
      <c r="H193" s="194">
        <f t="shared" si="0"/>
        <v>7595000</v>
      </c>
      <c r="J193" s="14"/>
      <c r="L193" s="14"/>
    </row>
    <row r="194" spans="1:12" s="13" customFormat="1" ht="21" customHeight="1">
      <c r="A194" s="99"/>
      <c r="B194" s="99"/>
      <c r="C194" s="99"/>
      <c r="D194" s="196" t="s">
        <v>492</v>
      </c>
      <c r="E194" s="197">
        <v>4886992</v>
      </c>
      <c r="F194" s="197">
        <f>F195</f>
        <v>19992</v>
      </c>
      <c r="G194" s="197"/>
      <c r="H194" s="197">
        <f t="shared" si="0"/>
        <v>4867000</v>
      </c>
      <c r="J194" s="14"/>
      <c r="L194" s="14"/>
    </row>
    <row r="195" spans="1:12" s="13" customFormat="1" ht="21" customHeight="1">
      <c r="A195" s="202"/>
      <c r="B195" s="202"/>
      <c r="C195" s="181">
        <v>4010</v>
      </c>
      <c r="D195" s="181" t="s">
        <v>896</v>
      </c>
      <c r="E195" s="204">
        <v>4532860</v>
      </c>
      <c r="F195" s="204">
        <v>19992</v>
      </c>
      <c r="G195" s="204"/>
      <c r="H195" s="204">
        <f t="shared" si="0"/>
        <v>4512868</v>
      </c>
      <c r="J195" s="14"/>
      <c r="L195" s="14"/>
    </row>
    <row r="196" spans="1:12" s="13" customFormat="1" ht="21" customHeight="1">
      <c r="A196" s="99"/>
      <c r="B196" s="99"/>
      <c r="C196" s="99"/>
      <c r="D196" s="324" t="s">
        <v>1176</v>
      </c>
      <c r="E196" s="237">
        <v>1119000</v>
      </c>
      <c r="F196" s="237">
        <f>SUM(F197:F199)</f>
        <v>40000</v>
      </c>
      <c r="G196" s="237">
        <f>SUM(G197:G199)</f>
        <v>28000</v>
      </c>
      <c r="H196" s="237">
        <f t="shared" si="0"/>
        <v>1107000</v>
      </c>
      <c r="J196" s="14"/>
      <c r="L196" s="14"/>
    </row>
    <row r="197" spans="1:12" s="13" customFormat="1" ht="21" customHeight="1">
      <c r="A197" s="202"/>
      <c r="B197" s="202"/>
      <c r="C197" s="181">
        <v>4210</v>
      </c>
      <c r="D197" s="181" t="s">
        <v>1174</v>
      </c>
      <c r="E197" s="204">
        <v>148000</v>
      </c>
      <c r="F197" s="204">
        <v>10000</v>
      </c>
      <c r="G197" s="204"/>
      <c r="H197" s="204">
        <f t="shared" si="0"/>
        <v>138000</v>
      </c>
      <c r="J197" s="14"/>
      <c r="L197" s="14"/>
    </row>
    <row r="198" spans="1:12" s="13" customFormat="1" ht="21" customHeight="1">
      <c r="A198" s="202"/>
      <c r="B198" s="202"/>
      <c r="C198" s="181">
        <v>4260</v>
      </c>
      <c r="D198" s="181" t="s">
        <v>1177</v>
      </c>
      <c r="E198" s="204">
        <v>530000</v>
      </c>
      <c r="F198" s="204">
        <v>30000</v>
      </c>
      <c r="G198" s="204"/>
      <c r="H198" s="1119">
        <f t="shared" si="0"/>
        <v>500000</v>
      </c>
      <c r="J198" s="14"/>
      <c r="L198" s="14"/>
    </row>
    <row r="199" spans="1:12" s="13" customFormat="1" ht="21" customHeight="1">
      <c r="A199" s="202"/>
      <c r="B199" s="202"/>
      <c r="C199" s="181">
        <v>4270</v>
      </c>
      <c r="D199" s="181" t="s">
        <v>620</v>
      </c>
      <c r="E199" s="204">
        <v>15000</v>
      </c>
      <c r="F199" s="204"/>
      <c r="G199" s="204">
        <v>28000</v>
      </c>
      <c r="H199" s="1119">
        <f t="shared" si="0"/>
        <v>43000</v>
      </c>
      <c r="J199" s="14"/>
      <c r="L199" s="14"/>
    </row>
    <row r="200" spans="1:12" s="13" customFormat="1" ht="21" customHeight="1">
      <c r="A200" s="202"/>
      <c r="B200" s="202"/>
      <c r="C200" s="300"/>
      <c r="D200" s="196" t="s">
        <v>553</v>
      </c>
      <c r="E200" s="197">
        <v>955000</v>
      </c>
      <c r="F200" s="197">
        <f>F201</f>
        <v>16000</v>
      </c>
      <c r="G200" s="197"/>
      <c r="H200" s="237">
        <f t="shared" si="0"/>
        <v>939000</v>
      </c>
      <c r="J200" s="14"/>
      <c r="L200" s="14"/>
    </row>
    <row r="201" spans="1:12" s="13" customFormat="1" ht="21" customHeight="1">
      <c r="A201" s="202"/>
      <c r="B201" s="181"/>
      <c r="C201" s="181">
        <v>4110</v>
      </c>
      <c r="D201" s="181" t="s">
        <v>1178</v>
      </c>
      <c r="E201" s="204">
        <v>851000</v>
      </c>
      <c r="F201" s="204">
        <v>16000</v>
      </c>
      <c r="G201" s="204"/>
      <c r="H201" s="204">
        <f t="shared" si="0"/>
        <v>835000</v>
      </c>
      <c r="J201" s="14"/>
      <c r="L201" s="14"/>
    </row>
    <row r="202" spans="1:12" s="13" customFormat="1" ht="28.5" customHeight="1">
      <c r="A202" s="173"/>
      <c r="B202" s="254">
        <v>85406</v>
      </c>
      <c r="C202" s="254"/>
      <c r="D202" s="208" t="s">
        <v>644</v>
      </c>
      <c r="E202" s="211">
        <v>4854094</v>
      </c>
      <c r="F202" s="211">
        <f>F203+F205</f>
        <v>15000</v>
      </c>
      <c r="G202" s="211">
        <f>G203+G205</f>
        <v>4000</v>
      </c>
      <c r="H202" s="211">
        <f t="shared" si="0"/>
        <v>4843094</v>
      </c>
      <c r="J202" s="14"/>
      <c r="L202" s="14"/>
    </row>
    <row r="203" spans="1:12" s="13" customFormat="1" ht="21" customHeight="1">
      <c r="A203" s="99"/>
      <c r="B203" s="99"/>
      <c r="C203" s="99"/>
      <c r="D203" s="196" t="s">
        <v>492</v>
      </c>
      <c r="E203" s="197">
        <v>3639000</v>
      </c>
      <c r="F203" s="197">
        <f>F204</f>
        <v>15000</v>
      </c>
      <c r="G203" s="197"/>
      <c r="H203" s="197">
        <f t="shared" si="0"/>
        <v>3624000</v>
      </c>
      <c r="J203" s="14"/>
      <c r="L203" s="14"/>
    </row>
    <row r="204" spans="1:12" s="13" customFormat="1" ht="21" customHeight="1">
      <c r="A204" s="202"/>
      <c r="B204" s="202"/>
      <c r="C204" s="181">
        <v>4010</v>
      </c>
      <c r="D204" s="181" t="s">
        <v>896</v>
      </c>
      <c r="E204" s="204">
        <v>3386283</v>
      </c>
      <c r="F204" s="204">
        <v>15000</v>
      </c>
      <c r="G204" s="204"/>
      <c r="H204" s="204">
        <f t="shared" si="0"/>
        <v>3371283</v>
      </c>
      <c r="J204" s="14"/>
      <c r="L204" s="14"/>
    </row>
    <row r="205" spans="1:12" s="13" customFormat="1" ht="21" customHeight="1">
      <c r="A205" s="99"/>
      <c r="B205" s="99"/>
      <c r="C205" s="99"/>
      <c r="D205" s="99" t="s">
        <v>1176</v>
      </c>
      <c r="E205" s="260">
        <v>513094</v>
      </c>
      <c r="F205" s="260"/>
      <c r="G205" s="260">
        <f>SUM(G206:G206)</f>
        <v>4000</v>
      </c>
      <c r="H205" s="260">
        <f t="shared" si="0"/>
        <v>517094</v>
      </c>
      <c r="J205" s="14"/>
      <c r="L205" s="14"/>
    </row>
    <row r="206" spans="1:12" s="13" customFormat="1" ht="21" customHeight="1">
      <c r="A206" s="202"/>
      <c r="B206" s="202"/>
      <c r="C206" s="181">
        <v>4300</v>
      </c>
      <c r="D206" s="913" t="s">
        <v>1173</v>
      </c>
      <c r="E206" s="914">
        <v>125998</v>
      </c>
      <c r="F206" s="914"/>
      <c r="G206" s="914">
        <v>4000</v>
      </c>
      <c r="H206" s="914">
        <f t="shared" si="0"/>
        <v>129998</v>
      </c>
      <c r="J206" s="14"/>
      <c r="L206" s="14"/>
    </row>
    <row r="207" spans="1:12" s="13" customFormat="1" ht="21" customHeight="1">
      <c r="A207" s="173"/>
      <c r="B207" s="174">
        <v>85407</v>
      </c>
      <c r="C207" s="168"/>
      <c r="D207" s="168" t="s">
        <v>645</v>
      </c>
      <c r="E207" s="194">
        <v>2101250</v>
      </c>
      <c r="F207" s="194">
        <f>F208+F210</f>
        <v>23250</v>
      </c>
      <c r="G207" s="194">
        <f>G208+G210</f>
        <v>5000</v>
      </c>
      <c r="H207" s="194">
        <f t="shared" si="0"/>
        <v>2083000</v>
      </c>
      <c r="J207" s="14"/>
      <c r="L207" s="14"/>
    </row>
    <row r="208" spans="1:12" s="13" customFormat="1" ht="21" customHeight="1">
      <c r="A208" s="99"/>
      <c r="B208" s="99"/>
      <c r="C208" s="99"/>
      <c r="D208" s="196" t="s">
        <v>492</v>
      </c>
      <c r="E208" s="197">
        <v>1491950</v>
      </c>
      <c r="F208" s="197">
        <f>F209</f>
        <v>10950</v>
      </c>
      <c r="G208" s="197"/>
      <c r="H208" s="197">
        <f t="shared" si="0"/>
        <v>1481000</v>
      </c>
      <c r="J208" s="14"/>
      <c r="L208" s="14"/>
    </row>
    <row r="209" spans="1:12" s="13" customFormat="1" ht="21" customHeight="1">
      <c r="A209" s="202"/>
      <c r="B209" s="1005"/>
      <c r="C209" s="202">
        <v>4010</v>
      </c>
      <c r="D209" s="202" t="s">
        <v>896</v>
      </c>
      <c r="E209" s="242">
        <v>1383420</v>
      </c>
      <c r="F209" s="242">
        <v>10950</v>
      </c>
      <c r="G209" s="242"/>
      <c r="H209" s="242">
        <f t="shared" si="0"/>
        <v>1372470</v>
      </c>
      <c r="J209" s="14"/>
      <c r="L209" s="14"/>
    </row>
    <row r="210" spans="1:12" s="142" customFormat="1" ht="21" customHeight="1">
      <c r="A210" s="202"/>
      <c r="B210" s="198"/>
      <c r="C210" s="178"/>
      <c r="D210" s="196" t="s">
        <v>1176</v>
      </c>
      <c r="E210" s="197">
        <v>317300</v>
      </c>
      <c r="F210" s="197">
        <f>SUM(F211:F212)</f>
        <v>12300</v>
      </c>
      <c r="G210" s="197">
        <f>SUM(G211:G212)</f>
        <v>5000</v>
      </c>
      <c r="H210" s="197">
        <f t="shared" si="0"/>
        <v>310000</v>
      </c>
      <c r="J210" s="147"/>
      <c r="L210" s="147"/>
    </row>
    <row r="211" spans="1:12" s="126" customFormat="1" ht="21" customHeight="1">
      <c r="A211" s="202"/>
      <c r="B211" s="1005"/>
      <c r="C211" s="181">
        <v>4260</v>
      </c>
      <c r="D211" s="181" t="s">
        <v>1177</v>
      </c>
      <c r="E211" s="204">
        <v>97300</v>
      </c>
      <c r="F211" s="204">
        <v>12300</v>
      </c>
      <c r="G211" s="204"/>
      <c r="H211" s="914">
        <f t="shared" si="0"/>
        <v>85000</v>
      </c>
      <c r="J211" s="148"/>
      <c r="L211" s="148"/>
    </row>
    <row r="212" spans="1:12" s="126" customFormat="1" ht="21" customHeight="1">
      <c r="A212" s="202"/>
      <c r="B212" s="1000"/>
      <c r="C212" s="205">
        <v>4300</v>
      </c>
      <c r="D212" s="205" t="s">
        <v>1173</v>
      </c>
      <c r="E212" s="207">
        <v>59000</v>
      </c>
      <c r="F212" s="207"/>
      <c r="G212" s="207">
        <v>5000</v>
      </c>
      <c r="H212" s="1119">
        <f t="shared" si="0"/>
        <v>64000</v>
      </c>
      <c r="J212" s="148"/>
      <c r="L212" s="148"/>
    </row>
    <row r="213" spans="1:12" s="13" customFormat="1" ht="21" customHeight="1">
      <c r="A213" s="173"/>
      <c r="B213" s="168">
        <v>85410</v>
      </c>
      <c r="C213" s="168"/>
      <c r="D213" s="168" t="s">
        <v>646</v>
      </c>
      <c r="E213" s="194">
        <v>6471139</v>
      </c>
      <c r="F213" s="194">
        <f>F214+F216</f>
        <v>22606</v>
      </c>
      <c r="G213" s="194"/>
      <c r="H213" s="194">
        <f t="shared" si="0"/>
        <v>6448533</v>
      </c>
      <c r="J213" s="14"/>
      <c r="L213" s="14"/>
    </row>
    <row r="214" spans="1:12" s="13" customFormat="1" ht="21" customHeight="1">
      <c r="A214" s="99"/>
      <c r="B214" s="99"/>
      <c r="C214" s="99"/>
      <c r="D214" s="196" t="s">
        <v>492</v>
      </c>
      <c r="E214" s="197">
        <v>3878500</v>
      </c>
      <c r="F214" s="197">
        <f>F215</f>
        <v>14600</v>
      </c>
      <c r="G214" s="197"/>
      <c r="H214" s="197">
        <f t="shared" si="0"/>
        <v>3863900</v>
      </c>
      <c r="J214" s="14"/>
      <c r="L214" s="14"/>
    </row>
    <row r="215" spans="1:12" s="13" customFormat="1" ht="21" customHeight="1">
      <c r="A215" s="202"/>
      <c r="B215" s="202"/>
      <c r="C215" s="181">
        <v>4010</v>
      </c>
      <c r="D215" s="181" t="s">
        <v>896</v>
      </c>
      <c r="E215" s="204">
        <v>3589272</v>
      </c>
      <c r="F215" s="204">
        <v>14600</v>
      </c>
      <c r="G215" s="204"/>
      <c r="H215" s="204">
        <f t="shared" si="0"/>
        <v>3574672</v>
      </c>
      <c r="J215" s="14"/>
      <c r="L215" s="14"/>
    </row>
    <row r="216" spans="1:12" s="13" customFormat="1" ht="18.75" customHeight="1">
      <c r="A216" s="99"/>
      <c r="B216" s="99"/>
      <c r="C216" s="99"/>
      <c r="D216" s="324" t="s">
        <v>1176</v>
      </c>
      <c r="E216" s="237">
        <v>1303606</v>
      </c>
      <c r="F216" s="237">
        <f>SUM(F217:F218)</f>
        <v>8006</v>
      </c>
      <c r="G216" s="237"/>
      <c r="H216" s="237">
        <f t="shared" si="0"/>
        <v>1295600</v>
      </c>
      <c r="J216" s="14"/>
      <c r="L216" s="14"/>
    </row>
    <row r="217" spans="1:12" s="13" customFormat="1" ht="18.75" customHeight="1">
      <c r="A217" s="202"/>
      <c r="B217" s="202"/>
      <c r="C217" s="181">
        <v>4260</v>
      </c>
      <c r="D217" s="181" t="s">
        <v>1177</v>
      </c>
      <c r="E217" s="204">
        <v>709586</v>
      </c>
      <c r="F217" s="204">
        <f>-22000+28606</f>
        <v>6606</v>
      </c>
      <c r="G217" s="204"/>
      <c r="H217" s="204">
        <f t="shared" si="0"/>
        <v>702980</v>
      </c>
      <c r="J217" s="14"/>
      <c r="L217" s="14"/>
    </row>
    <row r="218" spans="1:12" s="13" customFormat="1" ht="18.75" customHeight="1">
      <c r="A218" s="202"/>
      <c r="B218" s="202"/>
      <c r="C218" s="202">
        <v>4440</v>
      </c>
      <c r="D218" s="202" t="s">
        <v>630</v>
      </c>
      <c r="E218" s="242">
        <v>216460</v>
      </c>
      <c r="F218" s="242">
        <v>1400</v>
      </c>
      <c r="G218" s="242"/>
      <c r="H218" s="242">
        <f t="shared" si="0"/>
        <v>215060</v>
      </c>
      <c r="J218" s="14"/>
      <c r="L218" s="14"/>
    </row>
    <row r="219" spans="1:12" s="13" customFormat="1" ht="18.75" customHeight="1">
      <c r="A219" s="202"/>
      <c r="B219" s="174">
        <v>85415</v>
      </c>
      <c r="C219" s="174"/>
      <c r="D219" s="174" t="s">
        <v>1179</v>
      </c>
      <c r="E219" s="233">
        <v>1207914</v>
      </c>
      <c r="F219" s="233"/>
      <c r="G219" s="233">
        <f>G220</f>
        <v>27589</v>
      </c>
      <c r="H219" s="233">
        <f t="shared" si="0"/>
        <v>1235503</v>
      </c>
      <c r="J219" s="14"/>
      <c r="L219" s="14"/>
    </row>
    <row r="220" spans="1:12" s="13" customFormat="1" ht="18.75" customHeight="1">
      <c r="A220" s="202"/>
      <c r="B220" s="202"/>
      <c r="C220" s="202"/>
      <c r="D220" s="196" t="s">
        <v>554</v>
      </c>
      <c r="E220" s="197">
        <v>310000</v>
      </c>
      <c r="F220" s="197"/>
      <c r="G220" s="197">
        <f>G221</f>
        <v>27589</v>
      </c>
      <c r="H220" s="197">
        <f t="shared" si="0"/>
        <v>337589</v>
      </c>
      <c r="J220" s="14"/>
      <c r="L220" s="14"/>
    </row>
    <row r="221" spans="1:12" s="13" customFormat="1" ht="18.75" customHeight="1">
      <c r="A221" s="181"/>
      <c r="B221" s="181"/>
      <c r="C221" s="181">
        <v>3240</v>
      </c>
      <c r="D221" s="181" t="s">
        <v>1181</v>
      </c>
      <c r="E221" s="204">
        <v>177000</v>
      </c>
      <c r="F221" s="204"/>
      <c r="G221" s="204">
        <f>90141-62552</f>
        <v>27589</v>
      </c>
      <c r="H221" s="204">
        <f t="shared" si="0"/>
        <v>204589</v>
      </c>
      <c r="J221" s="14"/>
      <c r="L221" s="14"/>
    </row>
    <row r="222" spans="1:12" s="13" customFormat="1" ht="21" customHeight="1">
      <c r="A222" s="202"/>
      <c r="B222" s="168">
        <v>85417</v>
      </c>
      <c r="C222" s="168"/>
      <c r="D222" s="168" t="s">
        <v>1484</v>
      </c>
      <c r="E222" s="194">
        <v>244000</v>
      </c>
      <c r="F222" s="194"/>
      <c r="G222" s="194">
        <f>G223</f>
        <v>4000</v>
      </c>
      <c r="H222" s="194">
        <f t="shared" si="0"/>
        <v>248000</v>
      </c>
      <c r="J222" s="14"/>
      <c r="L222" s="14"/>
    </row>
    <row r="223" spans="1:12" s="13" customFormat="1" ht="21" customHeight="1">
      <c r="A223" s="202"/>
      <c r="B223" s="202"/>
      <c r="C223" s="300"/>
      <c r="D223" s="196" t="s">
        <v>1176</v>
      </c>
      <c r="E223" s="197">
        <v>56000</v>
      </c>
      <c r="F223" s="197"/>
      <c r="G223" s="197">
        <f>G224</f>
        <v>4000</v>
      </c>
      <c r="H223" s="197">
        <f t="shared" si="0"/>
        <v>60000</v>
      </c>
      <c r="J223" s="14"/>
      <c r="L223" s="14"/>
    </row>
    <row r="224" spans="1:12" s="13" customFormat="1" ht="21" customHeight="1">
      <c r="A224" s="202"/>
      <c r="B224" s="202"/>
      <c r="C224" s="181">
        <v>4260</v>
      </c>
      <c r="D224" s="181" t="s">
        <v>1177</v>
      </c>
      <c r="E224" s="204">
        <v>19400</v>
      </c>
      <c r="F224" s="204"/>
      <c r="G224" s="204">
        <v>4000</v>
      </c>
      <c r="H224" s="242">
        <f t="shared" si="0"/>
        <v>23400</v>
      </c>
      <c r="J224" s="14"/>
      <c r="L224" s="14"/>
    </row>
    <row r="225" spans="1:12" s="13" customFormat="1" ht="21" customHeight="1">
      <c r="A225" s="173"/>
      <c r="B225" s="174">
        <v>85495</v>
      </c>
      <c r="C225" s="174"/>
      <c r="D225" s="174" t="s">
        <v>488</v>
      </c>
      <c r="E225" s="233">
        <v>5369258</v>
      </c>
      <c r="F225" s="233">
        <f>F226</f>
        <v>9630</v>
      </c>
      <c r="G225" s="233">
        <f>G226</f>
        <v>85476</v>
      </c>
      <c r="H225" s="233">
        <f t="shared" si="0"/>
        <v>5445104</v>
      </c>
      <c r="J225" s="14"/>
      <c r="L225" s="14"/>
    </row>
    <row r="226" spans="1:12" s="13" customFormat="1" ht="21" customHeight="1">
      <c r="A226" s="99"/>
      <c r="B226" s="99"/>
      <c r="C226" s="99"/>
      <c r="D226" s="915" t="s">
        <v>353</v>
      </c>
      <c r="E226" s="916">
        <v>5181250</v>
      </c>
      <c r="F226" s="916">
        <f>F227+F229+F234</f>
        <v>9630</v>
      </c>
      <c r="G226" s="916">
        <f>G227+G229+G234</f>
        <v>85476</v>
      </c>
      <c r="H226" s="916">
        <f t="shared" si="0"/>
        <v>5257096</v>
      </c>
      <c r="J226" s="14"/>
      <c r="L226" s="14"/>
    </row>
    <row r="227" spans="1:12" s="13" customFormat="1" ht="21" customHeight="1">
      <c r="A227" s="99"/>
      <c r="B227" s="99"/>
      <c r="C227" s="99"/>
      <c r="D227" s="917" t="s">
        <v>492</v>
      </c>
      <c r="E227" s="918">
        <v>3230350</v>
      </c>
      <c r="F227" s="918"/>
      <c r="G227" s="918">
        <f>G228</f>
        <v>58223</v>
      </c>
      <c r="H227" s="918">
        <f t="shared" si="0"/>
        <v>3288573</v>
      </c>
      <c r="J227" s="14"/>
      <c r="L227" s="14"/>
    </row>
    <row r="228" spans="1:12" s="13" customFormat="1" ht="21" customHeight="1">
      <c r="A228" s="99"/>
      <c r="B228" s="99"/>
      <c r="C228" s="181">
        <v>4010</v>
      </c>
      <c r="D228" s="181" t="s">
        <v>896</v>
      </c>
      <c r="E228" s="204">
        <v>2966551</v>
      </c>
      <c r="F228" s="204"/>
      <c r="G228" s="204">
        <f>73942-15719</f>
        <v>58223</v>
      </c>
      <c r="H228" s="204">
        <f t="shared" si="0"/>
        <v>3024774</v>
      </c>
      <c r="J228" s="14"/>
      <c r="L228" s="14"/>
    </row>
    <row r="229" spans="1:12" s="13" customFormat="1" ht="21" customHeight="1">
      <c r="A229" s="99"/>
      <c r="B229" s="99"/>
      <c r="C229" s="178"/>
      <c r="D229" s="196" t="s">
        <v>1176</v>
      </c>
      <c r="E229" s="197">
        <v>1352586</v>
      </c>
      <c r="F229" s="197">
        <f>SUM(F230:F233)</f>
        <v>9630</v>
      </c>
      <c r="G229" s="197"/>
      <c r="H229" s="197">
        <f t="shared" si="0"/>
        <v>1342956</v>
      </c>
      <c r="J229" s="14"/>
      <c r="L229" s="14"/>
    </row>
    <row r="230" spans="1:12" s="13" customFormat="1" ht="21" customHeight="1">
      <c r="A230" s="99"/>
      <c r="B230" s="99"/>
      <c r="C230" s="181">
        <v>3020</v>
      </c>
      <c r="D230" s="181" t="s">
        <v>489</v>
      </c>
      <c r="E230" s="204">
        <v>33551</v>
      </c>
      <c r="F230" s="204">
        <v>1000</v>
      </c>
      <c r="G230" s="204"/>
      <c r="H230" s="204">
        <f t="shared" si="0"/>
        <v>32551</v>
      </c>
      <c r="J230" s="14"/>
      <c r="L230" s="14"/>
    </row>
    <row r="231" spans="1:12" s="13" customFormat="1" ht="21" customHeight="1">
      <c r="A231" s="99"/>
      <c r="B231" s="99"/>
      <c r="C231" s="205">
        <v>4210</v>
      </c>
      <c r="D231" s="205" t="s">
        <v>1174</v>
      </c>
      <c r="E231" s="207">
        <v>193310</v>
      </c>
      <c r="F231" s="207">
        <v>4000</v>
      </c>
      <c r="G231" s="207"/>
      <c r="H231" s="207">
        <f t="shared" si="0"/>
        <v>189310</v>
      </c>
      <c r="J231" s="14"/>
      <c r="L231" s="14"/>
    </row>
    <row r="232" spans="1:12" s="13" customFormat="1" ht="24.75" customHeight="1">
      <c r="A232" s="202"/>
      <c r="B232" s="202"/>
      <c r="C232" s="181">
        <v>4300</v>
      </c>
      <c r="D232" s="203" t="s">
        <v>1173</v>
      </c>
      <c r="E232" s="220">
        <v>129333</v>
      </c>
      <c r="F232" s="220">
        <v>4000</v>
      </c>
      <c r="G232" s="220"/>
      <c r="H232" s="220">
        <f t="shared" si="0"/>
        <v>125333</v>
      </c>
      <c r="J232" s="14"/>
      <c r="L232" s="14"/>
    </row>
    <row r="233" spans="1:12" s="13" customFormat="1" ht="21" customHeight="1">
      <c r="A233" s="99"/>
      <c r="B233" s="99"/>
      <c r="C233" s="205">
        <v>4440</v>
      </c>
      <c r="D233" s="205" t="s">
        <v>630</v>
      </c>
      <c r="E233" s="207">
        <v>158851</v>
      </c>
      <c r="F233" s="207">
        <v>630</v>
      </c>
      <c r="G233" s="207"/>
      <c r="H233" s="207">
        <f t="shared" si="0"/>
        <v>158221</v>
      </c>
      <c r="J233" s="14"/>
      <c r="L233" s="14"/>
    </row>
    <row r="234" spans="1:12" s="13" customFormat="1" ht="21" customHeight="1">
      <c r="A234" s="99"/>
      <c r="B234" s="99"/>
      <c r="C234" s="99"/>
      <c r="D234" s="324" t="s">
        <v>553</v>
      </c>
      <c r="E234" s="237">
        <v>598314</v>
      </c>
      <c r="F234" s="237"/>
      <c r="G234" s="237">
        <f>SUM(G235:G236)</f>
        <v>27253</v>
      </c>
      <c r="H234" s="237">
        <f t="shared" si="0"/>
        <v>625567</v>
      </c>
      <c r="J234" s="14"/>
      <c r="L234" s="14"/>
    </row>
    <row r="235" spans="1:12" s="13" customFormat="1" ht="21" customHeight="1">
      <c r="A235" s="202"/>
      <c r="B235" s="202"/>
      <c r="C235" s="181">
        <v>4110</v>
      </c>
      <c r="D235" s="181" t="s">
        <v>1178</v>
      </c>
      <c r="E235" s="204">
        <v>513390</v>
      </c>
      <c r="F235" s="204"/>
      <c r="G235" s="204">
        <f>26690-990</f>
        <v>25700</v>
      </c>
      <c r="H235" s="204">
        <f t="shared" si="0"/>
        <v>539090</v>
      </c>
      <c r="J235" s="14"/>
      <c r="L235" s="14"/>
    </row>
    <row r="236" spans="1:12" s="13" customFormat="1" ht="21" customHeight="1">
      <c r="A236" s="181"/>
      <c r="B236" s="181"/>
      <c r="C236" s="205">
        <v>4120</v>
      </c>
      <c r="D236" s="205" t="s">
        <v>487</v>
      </c>
      <c r="E236" s="207">
        <v>84924</v>
      </c>
      <c r="F236" s="207"/>
      <c r="G236" s="207">
        <f>1933-380</f>
        <v>1553</v>
      </c>
      <c r="H236" s="207">
        <f t="shared" si="0"/>
        <v>86477</v>
      </c>
      <c r="J236" s="14"/>
      <c r="L236" s="14"/>
    </row>
    <row r="237" spans="1:12" ht="21" customHeight="1">
      <c r="A237" s="192">
        <v>900</v>
      </c>
      <c r="B237" s="192"/>
      <c r="C237" s="192"/>
      <c r="D237" s="192" t="s">
        <v>1128</v>
      </c>
      <c r="E237" s="232">
        <v>44679866</v>
      </c>
      <c r="F237" s="232">
        <f>F238+F242+F247</f>
        <v>500000</v>
      </c>
      <c r="G237" s="232">
        <f>G238+G242+G247</f>
        <v>500000</v>
      </c>
      <c r="H237" s="232">
        <f t="shared" si="0"/>
        <v>44679866</v>
      </c>
      <c r="J237" s="8"/>
      <c r="L237" s="8"/>
    </row>
    <row r="238" spans="1:12" ht="21" customHeight="1">
      <c r="A238" s="173"/>
      <c r="B238" s="174">
        <v>90001</v>
      </c>
      <c r="C238" s="174"/>
      <c r="D238" s="174" t="s">
        <v>1129</v>
      </c>
      <c r="E238" s="233">
        <v>7332000</v>
      </c>
      <c r="F238" s="233"/>
      <c r="G238" s="233">
        <f>G239</f>
        <v>100000</v>
      </c>
      <c r="H238" s="233">
        <f t="shared" si="0"/>
        <v>7432000</v>
      </c>
      <c r="J238" s="8"/>
      <c r="L238" s="8"/>
    </row>
    <row r="239" spans="1:12" ht="18.75" customHeight="1">
      <c r="A239" s="99"/>
      <c r="B239" s="99"/>
      <c r="C239" s="99"/>
      <c r="D239" s="196" t="s">
        <v>1125</v>
      </c>
      <c r="E239" s="197">
        <v>4862000</v>
      </c>
      <c r="F239" s="197"/>
      <c r="G239" s="197">
        <f>G241</f>
        <v>100000</v>
      </c>
      <c r="H239" s="197">
        <f t="shared" si="0"/>
        <v>4962000</v>
      </c>
      <c r="J239" s="8"/>
      <c r="L239" s="8"/>
    </row>
    <row r="240" spans="1:12" s="13" customFormat="1" ht="18.75" customHeight="1">
      <c r="A240" s="202"/>
      <c r="B240" s="202"/>
      <c r="C240" s="202"/>
      <c r="D240" s="387" t="s">
        <v>1488</v>
      </c>
      <c r="E240" s="387">
        <v>182000</v>
      </c>
      <c r="F240" s="387"/>
      <c r="G240" s="387">
        <v>100000</v>
      </c>
      <c r="H240" s="387">
        <f t="shared" si="0"/>
        <v>282000</v>
      </c>
      <c r="J240" s="14"/>
      <c r="L240" s="14"/>
    </row>
    <row r="241" spans="1:12" s="13" customFormat="1" ht="18.75" customHeight="1">
      <c r="A241" s="202"/>
      <c r="B241" s="202"/>
      <c r="C241" s="202">
        <v>6050</v>
      </c>
      <c r="D241" s="202" t="s">
        <v>1124</v>
      </c>
      <c r="E241" s="242">
        <v>4862000</v>
      </c>
      <c r="F241" s="242"/>
      <c r="G241" s="242">
        <f>G240</f>
        <v>100000</v>
      </c>
      <c r="H241" s="242">
        <f t="shared" si="0"/>
        <v>4962000</v>
      </c>
      <c r="J241" s="14"/>
      <c r="L241" s="14"/>
    </row>
    <row r="242" spans="1:12" ht="18.75" customHeight="1">
      <c r="A242" s="173"/>
      <c r="B242" s="174">
        <v>90002</v>
      </c>
      <c r="C242" s="174"/>
      <c r="D242" s="174" t="s">
        <v>1130</v>
      </c>
      <c r="E242" s="233">
        <v>7125000</v>
      </c>
      <c r="F242" s="233">
        <f>F243</f>
        <v>500000</v>
      </c>
      <c r="G242" s="233"/>
      <c r="H242" s="233">
        <f t="shared" si="0"/>
        <v>6625000</v>
      </c>
      <c r="J242" s="8"/>
      <c r="L242" s="8"/>
    </row>
    <row r="243" spans="1:12" ht="18.75" customHeight="1">
      <c r="A243" s="99"/>
      <c r="B243" s="178"/>
      <c r="C243" s="178"/>
      <c r="D243" s="196" t="s">
        <v>811</v>
      </c>
      <c r="E243" s="197">
        <v>1225000</v>
      </c>
      <c r="F243" s="197">
        <f>F246</f>
        <v>500000</v>
      </c>
      <c r="G243" s="197"/>
      <c r="H243" s="197">
        <f t="shared" si="0"/>
        <v>725000</v>
      </c>
      <c r="J243" s="8"/>
      <c r="L243" s="8"/>
    </row>
    <row r="244" spans="1:12" ht="18.75" customHeight="1">
      <c r="A244" s="99"/>
      <c r="B244" s="99"/>
      <c r="C244" s="99"/>
      <c r="D244" s="1127" t="s">
        <v>1489</v>
      </c>
      <c r="E244" s="1128">
        <v>1005000</v>
      </c>
      <c r="F244" s="1128">
        <v>400000</v>
      </c>
      <c r="G244" s="1128"/>
      <c r="H244" s="1128">
        <f>E244-F244+G244</f>
        <v>605000</v>
      </c>
      <c r="J244" s="8"/>
      <c r="L244" s="8"/>
    </row>
    <row r="245" spans="1:12" s="13" customFormat="1" ht="28.5" customHeight="1">
      <c r="A245" s="202"/>
      <c r="B245" s="202"/>
      <c r="C245" s="202"/>
      <c r="D245" s="940" t="s">
        <v>1131</v>
      </c>
      <c r="E245" s="940">
        <v>220000</v>
      </c>
      <c r="F245" s="940">
        <v>100000</v>
      </c>
      <c r="G245" s="940"/>
      <c r="H245" s="940">
        <f t="shared" si="0"/>
        <v>120000</v>
      </c>
      <c r="J245" s="14"/>
      <c r="L245" s="14"/>
    </row>
    <row r="246" spans="1:12" s="13" customFormat="1" ht="18.75" customHeight="1">
      <c r="A246" s="202"/>
      <c r="B246" s="181"/>
      <c r="C246" s="181">
        <v>6050</v>
      </c>
      <c r="D246" s="941" t="s">
        <v>1124</v>
      </c>
      <c r="E246" s="942">
        <v>1225000</v>
      </c>
      <c r="F246" s="942">
        <f>SUM(F244:F245)</f>
        <v>500000</v>
      </c>
      <c r="G246" s="942"/>
      <c r="H246" s="942">
        <f t="shared" si="0"/>
        <v>725000</v>
      </c>
      <c r="J246" s="14"/>
      <c r="L246" s="14"/>
    </row>
    <row r="247" spans="1:12" s="13" customFormat="1" ht="18.75" customHeight="1">
      <c r="A247" s="173"/>
      <c r="B247" s="168">
        <v>90095</v>
      </c>
      <c r="C247" s="168"/>
      <c r="D247" s="168" t="s">
        <v>488</v>
      </c>
      <c r="E247" s="194">
        <v>10109277</v>
      </c>
      <c r="F247" s="194"/>
      <c r="G247" s="194">
        <f>G248</f>
        <v>400000</v>
      </c>
      <c r="H247" s="194">
        <f t="shared" si="0"/>
        <v>10509277</v>
      </c>
      <c r="J247" s="14"/>
      <c r="L247" s="14"/>
    </row>
    <row r="248" spans="1:12" s="13" customFormat="1" ht="18.75" customHeight="1">
      <c r="A248" s="99"/>
      <c r="B248" s="99"/>
      <c r="C248" s="99"/>
      <c r="D248" s="324" t="s">
        <v>960</v>
      </c>
      <c r="E248" s="237">
        <v>10039277</v>
      </c>
      <c r="F248" s="237"/>
      <c r="G248" s="237">
        <f>G249</f>
        <v>400000</v>
      </c>
      <c r="H248" s="237">
        <f t="shared" si="0"/>
        <v>10439277</v>
      </c>
      <c r="J248" s="14"/>
      <c r="L248" s="14"/>
    </row>
    <row r="249" spans="1:12" s="13" customFormat="1" ht="27" customHeight="1">
      <c r="A249" s="202"/>
      <c r="B249" s="202"/>
      <c r="C249" s="202"/>
      <c r="D249" s="386" t="s">
        <v>1490</v>
      </c>
      <c r="E249" s="285">
        <v>2230000</v>
      </c>
      <c r="F249" s="285"/>
      <c r="G249" s="285">
        <v>400000</v>
      </c>
      <c r="H249" s="285">
        <f t="shared" si="0"/>
        <v>2630000</v>
      </c>
      <c r="J249" s="14"/>
      <c r="L249" s="14"/>
    </row>
    <row r="250" spans="1:12" s="13" customFormat="1" ht="18" customHeight="1">
      <c r="A250" s="229"/>
      <c r="B250" s="229"/>
      <c r="C250" s="181">
        <v>6050</v>
      </c>
      <c r="D250" s="181" t="s">
        <v>1124</v>
      </c>
      <c r="E250" s="204">
        <v>10039277</v>
      </c>
      <c r="F250" s="204"/>
      <c r="G250" s="204">
        <f>G249</f>
        <v>400000</v>
      </c>
      <c r="H250" s="204">
        <f t="shared" si="0"/>
        <v>10439277</v>
      </c>
      <c r="J250" s="14"/>
      <c r="L250" s="14"/>
    </row>
    <row r="251" spans="1:12" s="13" customFormat="1" ht="19.5" customHeight="1">
      <c r="A251" s="170">
        <v>921</v>
      </c>
      <c r="B251" s="170"/>
      <c r="C251" s="170"/>
      <c r="D251" s="170" t="s">
        <v>1443</v>
      </c>
      <c r="E251" s="297">
        <v>12570000</v>
      </c>
      <c r="F251" s="297">
        <f>F252</f>
        <v>3000</v>
      </c>
      <c r="G251" s="297">
        <f>G252</f>
        <v>3000</v>
      </c>
      <c r="H251" s="297">
        <f>E251-F251+G251</f>
        <v>12570000</v>
      </c>
      <c r="J251" s="14"/>
      <c r="L251" s="14"/>
    </row>
    <row r="252" spans="1:12" s="13" customFormat="1" ht="19.5" customHeight="1">
      <c r="A252" s="99"/>
      <c r="B252" s="174">
        <v>92105</v>
      </c>
      <c r="C252" s="174"/>
      <c r="D252" s="174" t="s">
        <v>1492</v>
      </c>
      <c r="E252" s="233">
        <v>810000</v>
      </c>
      <c r="F252" s="233">
        <f>F253</f>
        <v>3000</v>
      </c>
      <c r="G252" s="233">
        <f>G253+G256</f>
        <v>3000</v>
      </c>
      <c r="H252" s="194">
        <f t="shared" si="0"/>
        <v>810000</v>
      </c>
      <c r="J252" s="14"/>
      <c r="L252" s="14"/>
    </row>
    <row r="253" spans="1:12" s="13" customFormat="1" ht="24.75" customHeight="1">
      <c r="A253" s="99"/>
      <c r="B253" s="99"/>
      <c r="C253" s="202"/>
      <c r="D253" s="271" t="s">
        <v>809</v>
      </c>
      <c r="E253" s="197">
        <v>750000</v>
      </c>
      <c r="F253" s="197">
        <f>F254</f>
        <v>3000</v>
      </c>
      <c r="G253" s="197"/>
      <c r="H253" s="237">
        <f t="shared" si="0"/>
        <v>747000</v>
      </c>
      <c r="J253" s="14"/>
      <c r="L253" s="14"/>
    </row>
    <row r="254" spans="1:12" s="13" customFormat="1" ht="25.5" customHeight="1">
      <c r="A254" s="99"/>
      <c r="B254" s="99"/>
      <c r="C254" s="202"/>
      <c r="D254" s="958" t="s">
        <v>1494</v>
      </c>
      <c r="E254" s="1124">
        <v>81000</v>
      </c>
      <c r="F254" s="1124">
        <f>F255</f>
        <v>3000</v>
      </c>
      <c r="G254" s="1124"/>
      <c r="H254" s="1124">
        <f>E254-F254+G254</f>
        <v>78000</v>
      </c>
      <c r="J254" s="14"/>
      <c r="L254" s="14"/>
    </row>
    <row r="255" spans="1:12" s="13" customFormat="1" ht="19.5" customHeight="1">
      <c r="A255" s="99"/>
      <c r="B255" s="99"/>
      <c r="C255" s="181">
        <v>4300</v>
      </c>
      <c r="D255" s="181" t="s">
        <v>1173</v>
      </c>
      <c r="E255" s="204">
        <v>16000</v>
      </c>
      <c r="F255" s="204">
        <v>3000</v>
      </c>
      <c r="G255" s="204"/>
      <c r="H255" s="204">
        <f>E255-F255+G255</f>
        <v>13000</v>
      </c>
      <c r="J255" s="14"/>
      <c r="L255" s="14"/>
    </row>
    <row r="256" spans="1:12" s="13" customFormat="1" ht="19.5" customHeight="1">
      <c r="A256" s="99"/>
      <c r="B256" s="99"/>
      <c r="C256" s="202"/>
      <c r="D256" s="324" t="s">
        <v>1495</v>
      </c>
      <c r="E256" s="237">
        <v>30000</v>
      </c>
      <c r="F256" s="237"/>
      <c r="G256" s="237">
        <f>G257</f>
        <v>3000</v>
      </c>
      <c r="H256" s="237">
        <f>E256-F256+G256</f>
        <v>33000</v>
      </c>
      <c r="J256" s="14"/>
      <c r="L256" s="14"/>
    </row>
    <row r="257" spans="1:12" s="13" customFormat="1" ht="19.5" customHeight="1">
      <c r="A257" s="99"/>
      <c r="B257" s="99"/>
      <c r="C257" s="181">
        <v>3240</v>
      </c>
      <c r="D257" s="181" t="s">
        <v>1181</v>
      </c>
      <c r="E257" s="204">
        <v>30000</v>
      </c>
      <c r="F257" s="204"/>
      <c r="G257" s="204">
        <v>3000</v>
      </c>
      <c r="H257" s="204">
        <f>E257-F257+G257</f>
        <v>33000</v>
      </c>
      <c r="J257" s="14"/>
      <c r="L257" s="14"/>
    </row>
    <row r="258" spans="1:8" ht="29.25" customHeight="1" thickBot="1">
      <c r="A258" s="99"/>
      <c r="B258" s="99"/>
      <c r="C258" s="97"/>
      <c r="D258" s="1097" t="s">
        <v>549</v>
      </c>
      <c r="E258" s="1098">
        <v>154159</v>
      </c>
      <c r="F258" s="1098"/>
      <c r="G258" s="1098"/>
      <c r="H258" s="1098">
        <f t="shared" si="0"/>
        <v>154159</v>
      </c>
    </row>
    <row r="259" spans="1:8" ht="22.5" customHeight="1" thickBot="1">
      <c r="A259" s="379"/>
      <c r="B259" s="403"/>
      <c r="C259" s="403"/>
      <c r="D259" s="1099" t="s">
        <v>923</v>
      </c>
      <c r="E259" s="1100">
        <v>63920852</v>
      </c>
      <c r="F259" s="1100">
        <f>F260+F279</f>
        <v>7490</v>
      </c>
      <c r="G259" s="1100">
        <f>G260+G279</f>
        <v>1033295</v>
      </c>
      <c r="H259" s="1100">
        <f aca="true" t="shared" si="6" ref="H259:H266">E259+G259-F259</f>
        <v>64946657</v>
      </c>
    </row>
    <row r="260" spans="1:9" s="19" customFormat="1" ht="18.75" customHeight="1" thickBot="1">
      <c r="A260" s="229"/>
      <c r="B260" s="229"/>
      <c r="C260" s="229"/>
      <c r="D260" s="308" t="s">
        <v>493</v>
      </c>
      <c r="E260" s="309">
        <v>44242538</v>
      </c>
      <c r="F260" s="309">
        <f>F261</f>
        <v>5509</v>
      </c>
      <c r="G260" s="309">
        <f>G261+G267</f>
        <v>1005509</v>
      </c>
      <c r="H260" s="309">
        <f t="shared" si="6"/>
        <v>45242538</v>
      </c>
      <c r="I260" s="18"/>
    </row>
    <row r="261" spans="1:9" s="19" customFormat="1" ht="19.5" customHeight="1" thickTop="1">
      <c r="A261" s="191">
        <v>750</v>
      </c>
      <c r="B261" s="192"/>
      <c r="C261" s="192"/>
      <c r="D261" s="171" t="s">
        <v>1175</v>
      </c>
      <c r="E261" s="152">
        <v>1499616</v>
      </c>
      <c r="F261" s="152">
        <f>F262</f>
        <v>5509</v>
      </c>
      <c r="G261" s="152">
        <f>G262</f>
        <v>5509</v>
      </c>
      <c r="H261" s="152">
        <f t="shared" si="6"/>
        <v>1499616</v>
      </c>
      <c r="I261" s="103"/>
    </row>
    <row r="262" spans="1:9" s="19" customFormat="1" ht="18.75" customHeight="1">
      <c r="A262" s="99"/>
      <c r="B262" s="254">
        <v>75011</v>
      </c>
      <c r="C262" s="254"/>
      <c r="D262" s="208" t="s">
        <v>539</v>
      </c>
      <c r="E262" s="211">
        <v>1499616</v>
      </c>
      <c r="F262" s="211">
        <f>F263+F265</f>
        <v>5509</v>
      </c>
      <c r="G262" s="211">
        <f>G263+G265</f>
        <v>5509</v>
      </c>
      <c r="H262" s="211">
        <f t="shared" si="6"/>
        <v>1499616</v>
      </c>
      <c r="I262" s="103"/>
    </row>
    <row r="263" spans="1:9" s="19" customFormat="1" ht="18.75" customHeight="1">
      <c r="A263" s="99"/>
      <c r="B263" s="178"/>
      <c r="C263" s="178"/>
      <c r="D263" s="271" t="s">
        <v>1176</v>
      </c>
      <c r="E263" s="179">
        <v>44116</v>
      </c>
      <c r="F263" s="179"/>
      <c r="G263" s="179">
        <f>SUM(G264:G266)</f>
        <v>5509</v>
      </c>
      <c r="H263" s="179">
        <f t="shared" si="6"/>
        <v>49625</v>
      </c>
      <c r="I263" s="103"/>
    </row>
    <row r="264" spans="1:9" s="19" customFormat="1" ht="18.75" customHeight="1">
      <c r="A264" s="99"/>
      <c r="B264" s="99"/>
      <c r="C264" s="181">
        <v>4440</v>
      </c>
      <c r="D264" s="203" t="s">
        <v>630</v>
      </c>
      <c r="E264" s="220">
        <v>44116</v>
      </c>
      <c r="F264" s="220"/>
      <c r="G264" s="220">
        <v>5509</v>
      </c>
      <c r="H264" s="220">
        <f t="shared" si="6"/>
        <v>49625</v>
      </c>
      <c r="I264" s="103"/>
    </row>
    <row r="265" spans="1:9" s="19" customFormat="1" ht="18.75" customHeight="1">
      <c r="A265" s="99"/>
      <c r="B265" s="99"/>
      <c r="C265" s="300"/>
      <c r="D265" s="271" t="s">
        <v>553</v>
      </c>
      <c r="E265" s="179">
        <v>239300</v>
      </c>
      <c r="F265" s="179">
        <f>F266</f>
        <v>5509</v>
      </c>
      <c r="G265" s="179"/>
      <c r="H265" s="179">
        <f t="shared" si="6"/>
        <v>233791</v>
      </c>
      <c r="I265" s="103"/>
    </row>
    <row r="266" spans="1:9" s="19" customFormat="1" ht="18.75" customHeight="1">
      <c r="A266" s="99"/>
      <c r="B266" s="99"/>
      <c r="C266" s="202">
        <v>4110</v>
      </c>
      <c r="D266" s="1107" t="s">
        <v>1178</v>
      </c>
      <c r="E266" s="940">
        <v>210300</v>
      </c>
      <c r="F266" s="940">
        <v>5509</v>
      </c>
      <c r="G266" s="940"/>
      <c r="H266" s="940">
        <f t="shared" si="6"/>
        <v>204791</v>
      </c>
      <c r="I266" s="103"/>
    </row>
    <row r="267" spans="1:9" s="19" customFormat="1" ht="18.75" customHeight="1">
      <c r="A267" s="170">
        <v>852</v>
      </c>
      <c r="B267" s="170"/>
      <c r="C267" s="305"/>
      <c r="D267" s="315" t="s">
        <v>485</v>
      </c>
      <c r="E267" s="316">
        <v>42232982</v>
      </c>
      <c r="F267" s="316"/>
      <c r="G267" s="316">
        <f>G268</f>
        <v>1000000</v>
      </c>
      <c r="H267" s="316">
        <f aca="true" t="shared" si="7" ref="H267:H277">E267-F267+G267</f>
        <v>43232982</v>
      </c>
      <c r="I267" s="103"/>
    </row>
    <row r="268" spans="1:9" s="19" customFormat="1" ht="27.75" customHeight="1">
      <c r="A268" s="99"/>
      <c r="B268" s="174">
        <v>85212</v>
      </c>
      <c r="C268" s="299"/>
      <c r="D268" s="175" t="s">
        <v>796</v>
      </c>
      <c r="E268" s="176">
        <v>25693642</v>
      </c>
      <c r="F268" s="176"/>
      <c r="G268" s="176">
        <f>G269+G271+G273+G276</f>
        <v>1000000</v>
      </c>
      <c r="H268" s="176">
        <f t="shared" si="7"/>
        <v>26693642</v>
      </c>
      <c r="I268" s="103"/>
    </row>
    <row r="269" spans="1:9" s="19" customFormat="1" ht="18.75" customHeight="1">
      <c r="A269" s="99"/>
      <c r="B269" s="99"/>
      <c r="C269" s="300"/>
      <c r="D269" s="271" t="s">
        <v>492</v>
      </c>
      <c r="E269" s="179">
        <v>312618</v>
      </c>
      <c r="F269" s="179"/>
      <c r="G269" s="179">
        <f>G270</f>
        <v>12110</v>
      </c>
      <c r="H269" s="179">
        <f t="shared" si="7"/>
        <v>324728</v>
      </c>
      <c r="I269" s="103"/>
    </row>
    <row r="270" spans="1:9" s="19" customFormat="1" ht="18.75" customHeight="1">
      <c r="A270" s="99"/>
      <c r="B270" s="99"/>
      <c r="C270" s="181">
        <v>4010</v>
      </c>
      <c r="D270" s="203" t="s">
        <v>896</v>
      </c>
      <c r="E270" s="220">
        <v>312618</v>
      </c>
      <c r="F270" s="220"/>
      <c r="G270" s="220">
        <v>12110</v>
      </c>
      <c r="H270" s="220">
        <f t="shared" si="7"/>
        <v>324728</v>
      </c>
      <c r="I270" s="103"/>
    </row>
    <row r="271" spans="1:9" s="19" customFormat="1" ht="18.75" customHeight="1">
      <c r="A271" s="99"/>
      <c r="B271" s="99"/>
      <c r="C271" s="300"/>
      <c r="D271" s="271" t="s">
        <v>1176</v>
      </c>
      <c r="E271" s="179">
        <v>448215</v>
      </c>
      <c r="F271" s="179"/>
      <c r="G271" s="179">
        <f>G272</f>
        <v>5400</v>
      </c>
      <c r="H271" s="179">
        <f t="shared" si="7"/>
        <v>453615</v>
      </c>
      <c r="I271" s="103"/>
    </row>
    <row r="272" spans="1:9" s="19" customFormat="1" ht="18.75" customHeight="1">
      <c r="A272" s="99"/>
      <c r="B272" s="99"/>
      <c r="C272" s="181">
        <v>4210</v>
      </c>
      <c r="D272" s="203" t="s">
        <v>1174</v>
      </c>
      <c r="E272" s="220">
        <v>150000</v>
      </c>
      <c r="F272" s="220"/>
      <c r="G272" s="220">
        <v>5400</v>
      </c>
      <c r="H272" s="220">
        <f t="shared" si="7"/>
        <v>155400</v>
      </c>
      <c r="I272" s="103"/>
    </row>
    <row r="273" spans="1:9" s="19" customFormat="1" ht="18.75" customHeight="1">
      <c r="A273" s="99"/>
      <c r="B273" s="99"/>
      <c r="C273" s="300"/>
      <c r="D273" s="271" t="s">
        <v>553</v>
      </c>
      <c r="E273" s="179">
        <v>64322</v>
      </c>
      <c r="F273" s="179"/>
      <c r="G273" s="179">
        <f>SUM(G274:G275)</f>
        <v>2490</v>
      </c>
      <c r="H273" s="179">
        <f t="shared" si="7"/>
        <v>66812</v>
      </c>
      <c r="I273" s="103"/>
    </row>
    <row r="274" spans="1:9" s="19" customFormat="1" ht="18.75" customHeight="1">
      <c r="A274" s="99"/>
      <c r="B274" s="99"/>
      <c r="C274" s="202">
        <v>4110</v>
      </c>
      <c r="D274" s="203" t="s">
        <v>1178</v>
      </c>
      <c r="E274" s="940">
        <v>57430</v>
      </c>
      <c r="F274" s="940"/>
      <c r="G274" s="940">
        <v>2223</v>
      </c>
      <c r="H274" s="940">
        <f t="shared" si="7"/>
        <v>59653</v>
      </c>
      <c r="I274" s="103"/>
    </row>
    <row r="275" spans="1:9" s="19" customFormat="1" ht="18.75" customHeight="1">
      <c r="A275" s="99"/>
      <c r="B275" s="99"/>
      <c r="C275" s="205">
        <v>4120</v>
      </c>
      <c r="D275" s="206" t="s">
        <v>487</v>
      </c>
      <c r="E275" s="222">
        <v>6892</v>
      </c>
      <c r="F275" s="222"/>
      <c r="G275" s="222">
        <v>267</v>
      </c>
      <c r="H275" s="222">
        <f t="shared" si="7"/>
        <v>7159</v>
      </c>
      <c r="I275" s="103"/>
    </row>
    <row r="276" spans="1:9" s="19" customFormat="1" ht="18.75" customHeight="1">
      <c r="A276" s="99"/>
      <c r="B276" s="99"/>
      <c r="C276" s="300"/>
      <c r="D276" s="271" t="s">
        <v>805</v>
      </c>
      <c r="E276" s="179">
        <v>24694997</v>
      </c>
      <c r="F276" s="179"/>
      <c r="G276" s="179">
        <f>G277</f>
        <v>980000</v>
      </c>
      <c r="H276" s="179">
        <f t="shared" si="7"/>
        <v>25674997</v>
      </c>
      <c r="I276" s="103"/>
    </row>
    <row r="277" spans="1:9" s="19" customFormat="1" ht="18.75" customHeight="1">
      <c r="A277" s="99"/>
      <c r="B277" s="99"/>
      <c r="C277" s="202">
        <v>3110</v>
      </c>
      <c r="D277" s="1291" t="s">
        <v>1496</v>
      </c>
      <c r="E277" s="408">
        <v>24047797</v>
      </c>
      <c r="F277" s="408"/>
      <c r="G277" s="408">
        <v>980000</v>
      </c>
      <c r="H277" s="408">
        <f t="shared" si="7"/>
        <v>25027797</v>
      </c>
      <c r="I277" s="103"/>
    </row>
    <row r="278" spans="1:9" s="19" customFormat="1" ht="25.5" customHeight="1">
      <c r="A278" s="1108"/>
      <c r="B278" s="1108"/>
      <c r="C278" s="1109"/>
      <c r="D278" s="1110"/>
      <c r="E278" s="1111"/>
      <c r="F278" s="1111"/>
      <c r="G278" s="1111"/>
      <c r="H278" s="1111"/>
      <c r="I278" s="103"/>
    </row>
    <row r="279" spans="1:8" s="19" customFormat="1" ht="27.75" customHeight="1" thickBot="1">
      <c r="A279" s="254"/>
      <c r="B279" s="255"/>
      <c r="C279" s="255"/>
      <c r="D279" s="109" t="s">
        <v>496</v>
      </c>
      <c r="E279" s="256">
        <v>19678314</v>
      </c>
      <c r="F279" s="256">
        <f>F286+F297+F291+F281</f>
        <v>1981</v>
      </c>
      <c r="G279" s="256">
        <f>G286+G297+G291+G281</f>
        <v>27786</v>
      </c>
      <c r="H279" s="256">
        <f>E279+G279-F279</f>
        <v>19704119</v>
      </c>
    </row>
    <row r="280" spans="1:8" s="19" customFormat="1" ht="19.5" customHeight="1" hidden="1">
      <c r="A280" s="229"/>
      <c r="B280" s="229"/>
      <c r="C280" s="205">
        <v>4610</v>
      </c>
      <c r="D280" s="206" t="s">
        <v>497</v>
      </c>
      <c r="E280" s="222"/>
      <c r="F280" s="222"/>
      <c r="G280" s="222"/>
      <c r="H280" s="222"/>
    </row>
    <row r="281" spans="1:8" s="19" customFormat="1" ht="19.5" customHeight="1" thickTop="1">
      <c r="A281" s="170">
        <v>700</v>
      </c>
      <c r="B281" s="170"/>
      <c r="C281" s="170"/>
      <c r="D281" s="420" t="s">
        <v>1422</v>
      </c>
      <c r="E281" s="232">
        <v>539982</v>
      </c>
      <c r="F281" s="232">
        <f>F282</f>
        <v>702</v>
      </c>
      <c r="G281" s="232">
        <f>G282</f>
        <v>702</v>
      </c>
      <c r="H281" s="232">
        <f aca="true" t="shared" si="8" ref="H281:H290">E281+G281-F281</f>
        <v>539982</v>
      </c>
    </row>
    <row r="282" spans="1:8" s="19" customFormat="1" ht="19.5" customHeight="1">
      <c r="A282" s="99"/>
      <c r="B282" s="174">
        <v>70005</v>
      </c>
      <c r="C282" s="174"/>
      <c r="D282" s="168" t="s">
        <v>1427</v>
      </c>
      <c r="E282" s="211">
        <v>539982</v>
      </c>
      <c r="F282" s="211">
        <f>F283</f>
        <v>702</v>
      </c>
      <c r="G282" s="211">
        <f>G283</f>
        <v>702</v>
      </c>
      <c r="H282" s="211">
        <f t="shared" si="8"/>
        <v>539982</v>
      </c>
    </row>
    <row r="283" spans="1:8" s="19" customFormat="1" ht="19.5" customHeight="1">
      <c r="A283" s="99"/>
      <c r="B283" s="99"/>
      <c r="C283" s="202"/>
      <c r="D283" s="271" t="s">
        <v>942</v>
      </c>
      <c r="E283" s="197">
        <v>539982</v>
      </c>
      <c r="F283" s="197">
        <f>SUM(F284:F285)</f>
        <v>702</v>
      </c>
      <c r="G283" s="197">
        <f>SUM(G284:G285)</f>
        <v>702</v>
      </c>
      <c r="H283" s="197">
        <f t="shared" si="8"/>
        <v>539982</v>
      </c>
    </row>
    <row r="284" spans="1:8" s="19" customFormat="1" ht="19.5" customHeight="1">
      <c r="A284" s="99"/>
      <c r="B284" s="99"/>
      <c r="C284" s="181">
        <v>4480</v>
      </c>
      <c r="D284" s="436" t="s">
        <v>943</v>
      </c>
      <c r="E284" s="204">
        <v>3200</v>
      </c>
      <c r="F284" s="204">
        <v>702</v>
      </c>
      <c r="G284" s="204"/>
      <c r="H284" s="204">
        <f t="shared" si="8"/>
        <v>2498</v>
      </c>
    </row>
    <row r="285" spans="1:8" s="19" customFormat="1" ht="24.75" customHeight="1">
      <c r="A285" s="99"/>
      <c r="B285" s="99"/>
      <c r="C285" s="205">
        <v>4590</v>
      </c>
      <c r="D285" s="203" t="s">
        <v>944</v>
      </c>
      <c r="E285" s="204">
        <v>403432</v>
      </c>
      <c r="F285" s="204"/>
      <c r="G285" s="204">
        <v>702</v>
      </c>
      <c r="H285" s="204">
        <f t="shared" si="8"/>
        <v>404134</v>
      </c>
    </row>
    <row r="286" spans="1:8" s="19" customFormat="1" ht="19.5" customHeight="1">
      <c r="A286" s="170">
        <v>750</v>
      </c>
      <c r="B286" s="170"/>
      <c r="C286" s="192"/>
      <c r="D286" s="192" t="s">
        <v>1175</v>
      </c>
      <c r="E286" s="232">
        <v>926945</v>
      </c>
      <c r="F286" s="232">
        <f>F287</f>
        <v>264</v>
      </c>
      <c r="G286" s="232">
        <f>G287</f>
        <v>264</v>
      </c>
      <c r="H286" s="232">
        <f t="shared" si="8"/>
        <v>926945</v>
      </c>
    </row>
    <row r="287" spans="1:8" s="19" customFormat="1" ht="19.5" customHeight="1">
      <c r="A287" s="99"/>
      <c r="B287" s="168">
        <v>75011</v>
      </c>
      <c r="C287" s="168"/>
      <c r="D287" s="208" t="s">
        <v>539</v>
      </c>
      <c r="E287" s="211">
        <v>809945</v>
      </c>
      <c r="F287" s="211">
        <f>F288</f>
        <v>264</v>
      </c>
      <c r="G287" s="211">
        <f>G288</f>
        <v>264</v>
      </c>
      <c r="H287" s="211">
        <f t="shared" si="8"/>
        <v>809945</v>
      </c>
    </row>
    <row r="288" spans="1:8" s="19" customFormat="1" ht="19.5" customHeight="1">
      <c r="A288" s="99"/>
      <c r="B288" s="99"/>
      <c r="C288" s="99"/>
      <c r="D288" s="310" t="s">
        <v>1176</v>
      </c>
      <c r="E288" s="197">
        <v>34145</v>
      </c>
      <c r="F288" s="197">
        <f>SUM(F289:F290)</f>
        <v>264</v>
      </c>
      <c r="G288" s="197">
        <f>SUM(G289:G290)</f>
        <v>264</v>
      </c>
      <c r="H288" s="197">
        <f t="shared" si="8"/>
        <v>34145</v>
      </c>
    </row>
    <row r="289" spans="1:8" s="19" customFormat="1" ht="19.5" customHeight="1">
      <c r="A289" s="99"/>
      <c r="B289" s="99"/>
      <c r="C289" s="181">
        <v>4300</v>
      </c>
      <c r="D289" s="181" t="s">
        <v>1173</v>
      </c>
      <c r="E289" s="204">
        <v>7445</v>
      </c>
      <c r="F289" s="204"/>
      <c r="G289" s="204">
        <v>264</v>
      </c>
      <c r="H289" s="204">
        <f t="shared" si="8"/>
        <v>7709</v>
      </c>
    </row>
    <row r="290" spans="1:8" s="19" customFormat="1" ht="19.5" customHeight="1">
      <c r="A290" s="229"/>
      <c r="B290" s="229"/>
      <c r="C290" s="181">
        <v>4440</v>
      </c>
      <c r="D290" s="181" t="s">
        <v>630</v>
      </c>
      <c r="E290" s="204">
        <v>26700</v>
      </c>
      <c r="F290" s="204">
        <v>264</v>
      </c>
      <c r="G290" s="204"/>
      <c r="H290" s="204">
        <f t="shared" si="8"/>
        <v>26436</v>
      </c>
    </row>
    <row r="291" spans="1:8" s="19" customFormat="1" ht="19.5" customHeight="1">
      <c r="A291" s="192">
        <v>754</v>
      </c>
      <c r="B291" s="192"/>
      <c r="C291" s="287"/>
      <c r="D291" s="192" t="s">
        <v>690</v>
      </c>
      <c r="E291" s="232">
        <v>11806000</v>
      </c>
      <c r="F291" s="232"/>
      <c r="G291" s="232">
        <f>G292</f>
        <v>20000</v>
      </c>
      <c r="H291" s="232">
        <f aca="true" t="shared" si="9" ref="H291:H296">E291-F291+G291</f>
        <v>11826000</v>
      </c>
    </row>
    <row r="292" spans="1:8" s="19" customFormat="1" ht="19.5" customHeight="1">
      <c r="A292" s="178"/>
      <c r="B292" s="168">
        <v>75411</v>
      </c>
      <c r="C292" s="181"/>
      <c r="D292" s="168" t="s">
        <v>691</v>
      </c>
      <c r="E292" s="194">
        <v>11806000</v>
      </c>
      <c r="F292" s="194"/>
      <c r="G292" s="194">
        <f>G293</f>
        <v>20000</v>
      </c>
      <c r="H292" s="194">
        <f t="shared" si="9"/>
        <v>11826000</v>
      </c>
    </row>
    <row r="293" spans="1:8" s="19" customFormat="1" ht="19.5" customHeight="1">
      <c r="A293" s="99"/>
      <c r="B293" s="178"/>
      <c r="C293" s="300"/>
      <c r="D293" s="196" t="s">
        <v>1176</v>
      </c>
      <c r="E293" s="197">
        <v>2927200</v>
      </c>
      <c r="F293" s="197"/>
      <c r="G293" s="197">
        <f>SUM(G294:G296)</f>
        <v>20000</v>
      </c>
      <c r="H293" s="197">
        <f t="shared" si="9"/>
        <v>2947200</v>
      </c>
    </row>
    <row r="294" spans="1:8" s="19" customFormat="1" ht="19.5" customHeight="1">
      <c r="A294" s="99"/>
      <c r="B294" s="99"/>
      <c r="C294" s="181">
        <v>4210</v>
      </c>
      <c r="D294" s="181" t="s">
        <v>1174</v>
      </c>
      <c r="E294" s="204">
        <v>300000</v>
      </c>
      <c r="F294" s="204"/>
      <c r="G294" s="204">
        <v>9000</v>
      </c>
      <c r="H294" s="204">
        <f t="shared" si="9"/>
        <v>309000</v>
      </c>
    </row>
    <row r="295" spans="1:8" s="19" customFormat="1" ht="19.5" customHeight="1">
      <c r="A295" s="99"/>
      <c r="B295" s="99"/>
      <c r="C295" s="181">
        <v>4300</v>
      </c>
      <c r="D295" s="181" t="s">
        <v>1173</v>
      </c>
      <c r="E295" s="204">
        <v>137000</v>
      </c>
      <c r="F295" s="204"/>
      <c r="G295" s="204">
        <v>7000</v>
      </c>
      <c r="H295" s="204">
        <f t="shared" si="9"/>
        <v>144000</v>
      </c>
    </row>
    <row r="296" spans="1:8" s="19" customFormat="1" ht="19.5" customHeight="1">
      <c r="A296" s="229"/>
      <c r="B296" s="229"/>
      <c r="C296" s="181">
        <v>4410</v>
      </c>
      <c r="D296" s="181" t="s">
        <v>1006</v>
      </c>
      <c r="E296" s="204">
        <v>20000</v>
      </c>
      <c r="F296" s="204"/>
      <c r="G296" s="204">
        <v>4000</v>
      </c>
      <c r="H296" s="204">
        <f t="shared" si="9"/>
        <v>24000</v>
      </c>
    </row>
    <row r="297" spans="1:8" s="19" customFormat="1" ht="19.5" customHeight="1">
      <c r="A297" s="191">
        <v>853</v>
      </c>
      <c r="B297" s="192"/>
      <c r="C297" s="192"/>
      <c r="D297" s="171" t="s">
        <v>684</v>
      </c>
      <c r="E297" s="152">
        <v>551105</v>
      </c>
      <c r="F297" s="152">
        <f>F298</f>
        <v>1015</v>
      </c>
      <c r="G297" s="152">
        <f>G298+G305</f>
        <v>6820</v>
      </c>
      <c r="H297" s="152">
        <f aca="true" t="shared" si="10" ref="H297:H304">E297+G297-F297</f>
        <v>556910</v>
      </c>
    </row>
    <row r="298" spans="1:8" s="19" customFormat="1" ht="19.5" customHeight="1">
      <c r="A298" s="99"/>
      <c r="B298" s="168">
        <v>85321</v>
      </c>
      <c r="C298" s="193"/>
      <c r="D298" s="168" t="s">
        <v>685</v>
      </c>
      <c r="E298" s="194">
        <v>509000</v>
      </c>
      <c r="F298" s="194">
        <f>F299+F301</f>
        <v>1015</v>
      </c>
      <c r="G298" s="194">
        <f>G301</f>
        <v>1015</v>
      </c>
      <c r="H298" s="194">
        <f t="shared" si="10"/>
        <v>509000</v>
      </c>
    </row>
    <row r="299" spans="1:8" s="19" customFormat="1" ht="19.5" customHeight="1">
      <c r="A299" s="99"/>
      <c r="B299" s="173"/>
      <c r="C299" s="195"/>
      <c r="D299" s="196" t="s">
        <v>492</v>
      </c>
      <c r="E299" s="197">
        <v>259389</v>
      </c>
      <c r="F299" s="197">
        <f>F300</f>
        <v>1015</v>
      </c>
      <c r="G299" s="197"/>
      <c r="H299" s="197">
        <f>E299-F299+G299</f>
        <v>258374</v>
      </c>
    </row>
    <row r="300" spans="1:8" s="19" customFormat="1" ht="19.5" customHeight="1">
      <c r="A300" s="99"/>
      <c r="B300" s="99"/>
      <c r="C300" s="198">
        <v>4010</v>
      </c>
      <c r="D300" s="202" t="s">
        <v>896</v>
      </c>
      <c r="E300" s="242">
        <v>240702</v>
      </c>
      <c r="F300" s="242">
        <v>1015</v>
      </c>
      <c r="G300" s="242"/>
      <c r="H300" s="242">
        <f>E300-F300+G300</f>
        <v>239687</v>
      </c>
    </row>
    <row r="301" spans="1:8" s="19" customFormat="1" ht="18.75" customHeight="1">
      <c r="A301" s="99"/>
      <c r="B301" s="99"/>
      <c r="C301" s="178"/>
      <c r="D301" s="201" t="s">
        <v>1176</v>
      </c>
      <c r="E301" s="197">
        <v>186311</v>
      </c>
      <c r="F301" s="197"/>
      <c r="G301" s="197">
        <f>SUM(G302:G304)</f>
        <v>1015</v>
      </c>
      <c r="H301" s="197">
        <f t="shared" si="10"/>
        <v>187326</v>
      </c>
    </row>
    <row r="302" spans="1:8" s="126" customFormat="1" ht="18.75" customHeight="1">
      <c r="A302" s="202"/>
      <c r="B302" s="202"/>
      <c r="C302" s="181">
        <v>4210</v>
      </c>
      <c r="D302" s="203" t="s">
        <v>1174</v>
      </c>
      <c r="E302" s="204">
        <v>6191</v>
      </c>
      <c r="F302" s="204"/>
      <c r="G302" s="204">
        <v>500</v>
      </c>
      <c r="H302" s="204">
        <f t="shared" si="10"/>
        <v>6691</v>
      </c>
    </row>
    <row r="303" spans="1:8" s="126" customFormat="1" ht="19.5" customHeight="1">
      <c r="A303" s="202"/>
      <c r="B303" s="202"/>
      <c r="C303" s="205">
        <v>4300</v>
      </c>
      <c r="D303" s="206" t="s">
        <v>1173</v>
      </c>
      <c r="E303" s="207">
        <v>171722</v>
      </c>
      <c r="F303" s="207"/>
      <c r="G303" s="207">
        <v>500</v>
      </c>
      <c r="H303" s="207">
        <f t="shared" si="10"/>
        <v>172222</v>
      </c>
    </row>
    <row r="304" spans="1:8" s="126" customFormat="1" ht="18.75" customHeight="1">
      <c r="A304" s="202"/>
      <c r="B304" s="181"/>
      <c r="C304" s="205">
        <v>4440</v>
      </c>
      <c r="D304" s="206" t="s">
        <v>630</v>
      </c>
      <c r="E304" s="207">
        <v>6398</v>
      </c>
      <c r="F304" s="207"/>
      <c r="G304" s="207">
        <v>15</v>
      </c>
      <c r="H304" s="207">
        <f t="shared" si="10"/>
        <v>6413</v>
      </c>
    </row>
    <row r="305" spans="1:8" ht="19.5" customHeight="1">
      <c r="A305" s="365"/>
      <c r="B305" s="272">
        <v>85334</v>
      </c>
      <c r="C305" s="272"/>
      <c r="D305" s="272" t="s">
        <v>1386</v>
      </c>
      <c r="E305" s="363">
        <v>42105</v>
      </c>
      <c r="F305" s="363"/>
      <c r="G305" s="363">
        <f>G306</f>
        <v>5805</v>
      </c>
      <c r="H305" s="363">
        <f>E305+G305</f>
        <v>47910</v>
      </c>
    </row>
    <row r="306" spans="1:8" ht="19.5" customHeight="1">
      <c r="A306" s="365"/>
      <c r="B306" s="366"/>
      <c r="C306" s="366"/>
      <c r="D306" s="367" t="s">
        <v>1389</v>
      </c>
      <c r="E306" s="368">
        <v>42105</v>
      </c>
      <c r="F306" s="368"/>
      <c r="G306" s="368">
        <f>G307</f>
        <v>5805</v>
      </c>
      <c r="H306" s="368">
        <f>E306+G306</f>
        <v>47910</v>
      </c>
    </row>
    <row r="307" spans="1:8" ht="19.5" customHeight="1">
      <c r="A307" s="364"/>
      <c r="B307" s="364"/>
      <c r="C307" s="11">
        <v>3110</v>
      </c>
      <c r="D307" s="11" t="s">
        <v>1496</v>
      </c>
      <c r="E307" s="12">
        <v>22865</v>
      </c>
      <c r="F307" s="12"/>
      <c r="G307" s="12">
        <v>5805</v>
      </c>
      <c r="H307" s="12">
        <f>E307+G307</f>
        <v>28670</v>
      </c>
    </row>
    <row r="309" spans="4:6" ht="12.75">
      <c r="D309" s="1383" t="s">
        <v>874</v>
      </c>
      <c r="F309" s="1383" t="s">
        <v>871</v>
      </c>
    </row>
    <row r="310" spans="4:6" ht="12.75">
      <c r="D310" s="1383"/>
      <c r="F310" s="1383" t="s">
        <v>872</v>
      </c>
    </row>
    <row r="311" spans="4:6" ht="12.75">
      <c r="D311" s="1383" t="s">
        <v>875</v>
      </c>
      <c r="F311" s="1383"/>
    </row>
    <row r="312" spans="4:6" ht="12.75">
      <c r="D312" s="1383" t="s">
        <v>876</v>
      </c>
      <c r="F312" s="1383" t="s">
        <v>873</v>
      </c>
    </row>
    <row r="313" spans="4:6" ht="12.75">
      <c r="D313" s="1383"/>
      <c r="F313" s="1383"/>
    </row>
  </sheetData>
  <printOptions horizontalCentered="1"/>
  <pageMargins left="0.3937007874015748" right="0.3937007874015748" top="0.61" bottom="0.47" header="0.5118110236220472" footer="0.31496062992125984"/>
  <pageSetup firstPageNumber="18" useFirstPageNumber="1" horizontalDpi="300" verticalDpi="300" orientation="landscape" paperSize="9" scale="85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K306"/>
  <sheetViews>
    <sheetView zoomScale="75" zoomScaleNormal="75" zoomScaleSheetLayoutView="75" workbookViewId="0" topLeftCell="A1">
      <selection activeCell="J10" sqref="J10:K10"/>
    </sheetView>
  </sheetViews>
  <sheetFormatPr defaultColWidth="9.00390625" defaultRowHeight="12.75"/>
  <cols>
    <col min="1" max="1" width="8.25390625" style="0" customWidth="1"/>
    <col min="2" max="2" width="8.00390625" style="0" customWidth="1"/>
    <col min="3" max="3" width="6.375" style="0" customWidth="1"/>
    <col min="4" max="4" width="75.875" style="0" customWidth="1"/>
    <col min="5" max="5" width="15.75390625" style="0" hidden="1" customWidth="1"/>
    <col min="6" max="6" width="21.625" style="0" customWidth="1"/>
    <col min="7" max="7" width="19.125" style="0" customWidth="1"/>
    <col min="8" max="8" width="20.00390625" style="0" customWidth="1"/>
    <col min="9" max="9" width="11.125" style="0" customWidth="1"/>
    <col min="10" max="10" width="12.125" style="0" customWidth="1"/>
  </cols>
  <sheetData>
    <row r="1" ht="19.5" customHeight="1">
      <c r="G1" s="8" t="s">
        <v>1348</v>
      </c>
    </row>
    <row r="2" spans="1:7" ht="19.5" customHeight="1">
      <c r="A2" s="20"/>
      <c r="G2" s="1" t="s">
        <v>877</v>
      </c>
    </row>
    <row r="3" spans="1:7" ht="19.5" customHeight="1">
      <c r="A3" s="20"/>
      <c r="C3" s="111"/>
      <c r="D3" s="2" t="s">
        <v>535</v>
      </c>
      <c r="G3" s="1" t="s">
        <v>1161</v>
      </c>
    </row>
    <row r="4" spans="3:7" ht="19.5" customHeight="1">
      <c r="C4" s="111"/>
      <c r="D4" s="2" t="s">
        <v>537</v>
      </c>
      <c r="G4" s="1" t="s">
        <v>1349</v>
      </c>
    </row>
    <row r="5" ht="15.75" customHeight="1"/>
    <row r="6" ht="18.75" customHeight="1" thickBot="1">
      <c r="H6" s="3" t="s">
        <v>1163</v>
      </c>
    </row>
    <row r="7" spans="1:8" ht="21" customHeight="1" thickTop="1">
      <c r="A7" s="1401" t="s">
        <v>509</v>
      </c>
      <c r="B7" s="1404" t="s">
        <v>516</v>
      </c>
      <c r="C7" s="1404" t="s">
        <v>1166</v>
      </c>
      <c r="D7" s="1401" t="s">
        <v>517</v>
      </c>
      <c r="F7" s="158" t="s">
        <v>498</v>
      </c>
      <c r="G7" s="1399" t="s">
        <v>1162</v>
      </c>
      <c r="H7" s="1400"/>
    </row>
    <row r="8" spans="1:8" ht="21" customHeight="1" thickBot="1">
      <c r="A8" s="1403"/>
      <c r="B8" s="1403"/>
      <c r="C8" s="1403"/>
      <c r="D8" s="1402"/>
      <c r="E8" s="23" t="s">
        <v>1168</v>
      </c>
      <c r="F8" s="24" t="s">
        <v>500</v>
      </c>
      <c r="G8" s="23" t="s">
        <v>518</v>
      </c>
      <c r="H8" s="24" t="s">
        <v>500</v>
      </c>
    </row>
    <row r="9" spans="1:8" ht="15.75" customHeight="1" thickBot="1" thickTop="1">
      <c r="A9" s="25">
        <v>1</v>
      </c>
      <c r="B9" s="25">
        <v>2</v>
      </c>
      <c r="C9" s="25">
        <v>3</v>
      </c>
      <c r="D9" s="25">
        <v>4</v>
      </c>
      <c r="E9" s="25">
        <v>5</v>
      </c>
      <c r="F9" s="26">
        <v>5</v>
      </c>
      <c r="G9" s="26">
        <v>6</v>
      </c>
      <c r="H9" s="26">
        <v>7</v>
      </c>
    </row>
    <row r="10" spans="1:11" ht="21" customHeight="1" thickBot="1" thickTop="1">
      <c r="A10" s="1094"/>
      <c r="B10" s="1094"/>
      <c r="C10" s="1094"/>
      <c r="D10" s="1095" t="s">
        <v>519</v>
      </c>
      <c r="E10" s="1096" t="e">
        <f>E11</f>
        <v>#REF!</v>
      </c>
      <c r="F10" s="1096">
        <f>F11</f>
        <v>1025805</v>
      </c>
      <c r="G10" s="1096">
        <f>G11+G237+G252+G258+G269+G288+G296</f>
        <v>2783235</v>
      </c>
      <c r="H10" s="1096">
        <f>H11+H237+H252+H258+H269+H288+H296</f>
        <v>3809040</v>
      </c>
      <c r="I10" s="28"/>
      <c r="J10" s="28"/>
      <c r="K10" s="28"/>
    </row>
    <row r="11" spans="1:9" ht="18" customHeight="1">
      <c r="A11" s="1092"/>
      <c r="B11" s="1092"/>
      <c r="C11" s="1092"/>
      <c r="D11" s="238" t="s">
        <v>520</v>
      </c>
      <c r="E11" s="1093" t="e">
        <f>E12</f>
        <v>#REF!</v>
      </c>
      <c r="F11" s="239">
        <f>F12</f>
        <v>1025805</v>
      </c>
      <c r="G11" s="239">
        <f>G12+G34+G48+G57+G98+G160+G210+G153</f>
        <v>2643235</v>
      </c>
      <c r="H11" s="239">
        <f>H12+H34+H48+H57+H98+H160+H210+H153</f>
        <v>1790431</v>
      </c>
      <c r="I11" s="28"/>
    </row>
    <row r="12" spans="1:8" ht="18.75" customHeight="1">
      <c r="A12" s="1092"/>
      <c r="B12" s="1092"/>
      <c r="C12" s="1092"/>
      <c r="D12" s="238" t="s">
        <v>521</v>
      </c>
      <c r="E12" s="1093" t="e">
        <f>#REF!+#REF!</f>
        <v>#REF!</v>
      </c>
      <c r="F12" s="239">
        <f>F19+F13</f>
        <v>1025805</v>
      </c>
      <c r="G12" s="239">
        <f>G29</f>
        <v>566000</v>
      </c>
      <c r="H12" s="239"/>
    </row>
    <row r="13" spans="1:8" ht="18.75" customHeight="1" thickBot="1">
      <c r="A13" s="1092"/>
      <c r="B13" s="1092"/>
      <c r="C13" s="1092"/>
      <c r="D13" s="1319" t="s">
        <v>354</v>
      </c>
      <c r="E13" s="1320"/>
      <c r="F13" s="1321">
        <f>F14</f>
        <v>1000000</v>
      </c>
      <c r="G13" s="1321"/>
      <c r="H13" s="1321"/>
    </row>
    <row r="14" spans="1:8" ht="18.75" customHeight="1" thickBot="1">
      <c r="A14" s="1092"/>
      <c r="B14" s="1092"/>
      <c r="C14" s="1092"/>
      <c r="D14" s="1323" t="s">
        <v>1428</v>
      </c>
      <c r="E14" s="1322"/>
      <c r="F14" s="1333">
        <f>F15</f>
        <v>1000000</v>
      </c>
      <c r="G14" s="1324"/>
      <c r="H14" s="1324"/>
    </row>
    <row r="15" spans="1:8" ht="18.75" customHeight="1" thickTop="1">
      <c r="A15" s="333">
        <v>852</v>
      </c>
      <c r="B15" s="1002"/>
      <c r="C15" s="1002"/>
      <c r="D15" s="1326" t="s">
        <v>485</v>
      </c>
      <c r="E15" s="1325"/>
      <c r="F15" s="267">
        <f>F16</f>
        <v>1000000</v>
      </c>
      <c r="G15" s="267"/>
      <c r="H15" s="267"/>
    </row>
    <row r="16" spans="1:8" ht="27.75" customHeight="1">
      <c r="A16" s="1092"/>
      <c r="B16" s="1327">
        <v>85212</v>
      </c>
      <c r="C16" s="1327"/>
      <c r="D16" s="175" t="s">
        <v>797</v>
      </c>
      <c r="E16" s="1328"/>
      <c r="F16" s="278">
        <f>F17</f>
        <v>1000000</v>
      </c>
      <c r="G16" s="278"/>
      <c r="H16" s="278"/>
    </row>
    <row r="17" spans="1:8" ht="24.75" customHeight="1">
      <c r="A17" s="1092"/>
      <c r="B17" s="1092"/>
      <c r="C17" s="261"/>
      <c r="D17" s="271" t="s">
        <v>798</v>
      </c>
      <c r="E17" s="1329"/>
      <c r="F17" s="433">
        <f>F18</f>
        <v>1000000</v>
      </c>
      <c r="G17" s="1330"/>
      <c r="H17" s="1330"/>
    </row>
    <row r="18" spans="1:8" ht="26.25" customHeight="1">
      <c r="A18" s="1092"/>
      <c r="B18" s="1092"/>
      <c r="C18" s="1007">
        <v>2010</v>
      </c>
      <c r="D18" s="203" t="s">
        <v>799</v>
      </c>
      <c r="E18" s="1331"/>
      <c r="F18" s="412">
        <v>1000000</v>
      </c>
      <c r="G18" s="1332"/>
      <c r="H18" s="1332"/>
    </row>
    <row r="19" spans="1:8" ht="21" customHeight="1" thickBot="1">
      <c r="A19" s="402"/>
      <c r="B19" s="403"/>
      <c r="C19" s="403"/>
      <c r="D19" s="404" t="s">
        <v>538</v>
      </c>
      <c r="E19" s="405"/>
      <c r="F19" s="406">
        <f>F20</f>
        <v>25805</v>
      </c>
      <c r="G19" s="404"/>
      <c r="H19" s="404"/>
    </row>
    <row r="20" spans="1:8" s="20" customFormat="1" ht="21.75" customHeight="1" thickBot="1">
      <c r="A20" s="173"/>
      <c r="B20" s="173"/>
      <c r="C20" s="173"/>
      <c r="D20" s="109" t="s">
        <v>508</v>
      </c>
      <c r="E20" s="407"/>
      <c r="F20" s="256">
        <f>F21+F25</f>
        <v>25805</v>
      </c>
      <c r="G20" s="256"/>
      <c r="H20" s="256"/>
    </row>
    <row r="21" spans="1:9" s="1" customFormat="1" ht="19.5" customHeight="1" thickTop="1">
      <c r="A21" s="170">
        <v>754</v>
      </c>
      <c r="B21" s="170"/>
      <c r="C21" s="170"/>
      <c r="D21" s="171" t="s">
        <v>690</v>
      </c>
      <c r="E21" s="152"/>
      <c r="F21" s="172">
        <f>F22</f>
        <v>20000</v>
      </c>
      <c r="G21" s="172"/>
      <c r="H21" s="152"/>
      <c r="I21" s="20"/>
    </row>
    <row r="22" spans="1:9" s="1" customFormat="1" ht="20.25" customHeight="1">
      <c r="A22" s="173"/>
      <c r="B22" s="174">
        <v>75411</v>
      </c>
      <c r="C22" s="174"/>
      <c r="D22" s="175" t="s">
        <v>691</v>
      </c>
      <c r="E22" s="176"/>
      <c r="F22" s="177">
        <f>F23</f>
        <v>20000</v>
      </c>
      <c r="G22" s="177"/>
      <c r="H22" s="176"/>
      <c r="I22" s="20"/>
    </row>
    <row r="23" spans="1:9" s="1" customFormat="1" ht="24.75" customHeight="1">
      <c r="A23" s="99"/>
      <c r="B23" s="178"/>
      <c r="C23" s="178"/>
      <c r="D23" s="319" t="s">
        <v>541</v>
      </c>
      <c r="E23" s="161"/>
      <c r="F23" s="180">
        <f>F24</f>
        <v>20000</v>
      </c>
      <c r="G23" s="180"/>
      <c r="H23" s="179"/>
      <c r="I23" s="20"/>
    </row>
    <row r="24" spans="1:9" s="1" customFormat="1" ht="39.75" customHeight="1">
      <c r="A24" s="202"/>
      <c r="B24" s="202"/>
      <c r="C24" s="202">
        <v>2110</v>
      </c>
      <c r="D24" s="203" t="s">
        <v>1418</v>
      </c>
      <c r="E24" s="166"/>
      <c r="F24" s="408">
        <v>20000</v>
      </c>
      <c r="G24" s="408"/>
      <c r="H24" s="408"/>
      <c r="I24" s="20"/>
    </row>
    <row r="25" spans="1:9" s="143" customFormat="1" ht="19.5" customHeight="1">
      <c r="A25" s="170">
        <v>853</v>
      </c>
      <c r="B25" s="170"/>
      <c r="C25" s="170"/>
      <c r="D25" s="171" t="s">
        <v>684</v>
      </c>
      <c r="E25" s="160"/>
      <c r="F25" s="316">
        <f>F26</f>
        <v>5805</v>
      </c>
      <c r="G25" s="316"/>
      <c r="H25" s="316"/>
      <c r="I25" s="141"/>
    </row>
    <row r="26" spans="1:9" s="19" customFormat="1" ht="19.5" customHeight="1">
      <c r="A26" s="300"/>
      <c r="B26" s="174">
        <v>85334</v>
      </c>
      <c r="C26" s="174"/>
      <c r="D26" s="272" t="s">
        <v>1386</v>
      </c>
      <c r="E26" s="163"/>
      <c r="F26" s="176">
        <f>F27</f>
        <v>5805</v>
      </c>
      <c r="G26" s="176"/>
      <c r="H26" s="176"/>
      <c r="I26" s="122"/>
    </row>
    <row r="27" spans="1:9" s="19" customFormat="1" ht="19.5" customHeight="1">
      <c r="A27" s="202"/>
      <c r="B27" s="300"/>
      <c r="C27" s="300"/>
      <c r="D27" s="367" t="s">
        <v>1387</v>
      </c>
      <c r="E27" s="161"/>
      <c r="F27" s="179">
        <f>F28</f>
        <v>5805</v>
      </c>
      <c r="G27" s="179"/>
      <c r="H27" s="179"/>
      <c r="I27" s="122"/>
    </row>
    <row r="28" spans="1:9" s="19" customFormat="1" ht="41.25" customHeight="1">
      <c r="A28" s="181"/>
      <c r="B28" s="181"/>
      <c r="C28" s="181">
        <v>2110</v>
      </c>
      <c r="D28" s="203" t="s">
        <v>1388</v>
      </c>
      <c r="E28" s="162"/>
      <c r="F28" s="220">
        <v>5805</v>
      </c>
      <c r="G28" s="220"/>
      <c r="H28" s="220"/>
      <c r="I28" s="122"/>
    </row>
    <row r="29" spans="1:8" s="20" customFormat="1" ht="21.75" customHeight="1" thickBot="1">
      <c r="A29" s="248"/>
      <c r="B29" s="248"/>
      <c r="C29" s="248"/>
      <c r="D29" s="230" t="s">
        <v>1172</v>
      </c>
      <c r="E29" s="1091"/>
      <c r="F29" s="256"/>
      <c r="G29" s="256">
        <f>G30</f>
        <v>566000</v>
      </c>
      <c r="H29" s="256"/>
    </row>
    <row r="30" spans="1:9" s="1" customFormat="1" ht="21.75" customHeight="1" thickTop="1">
      <c r="A30" s="191">
        <v>758</v>
      </c>
      <c r="B30" s="192"/>
      <c r="C30" s="192"/>
      <c r="D30" s="171" t="s">
        <v>482</v>
      </c>
      <c r="E30" s="231"/>
      <c r="F30" s="152"/>
      <c r="G30" s="152">
        <f>G31</f>
        <v>566000</v>
      </c>
      <c r="H30" s="152"/>
      <c r="I30" s="20"/>
    </row>
    <row r="31" spans="1:9" s="1" customFormat="1" ht="21.75" customHeight="1">
      <c r="A31" s="99"/>
      <c r="B31" s="168">
        <v>75818</v>
      </c>
      <c r="C31" s="168"/>
      <c r="D31" s="168" t="s">
        <v>483</v>
      </c>
      <c r="E31" s="231"/>
      <c r="F31" s="194"/>
      <c r="G31" s="194">
        <f>G32</f>
        <v>566000</v>
      </c>
      <c r="H31" s="194"/>
      <c r="I31" s="20"/>
    </row>
    <row r="32" spans="1:9" s="1" customFormat="1" ht="24" customHeight="1">
      <c r="A32" s="99"/>
      <c r="B32" s="99"/>
      <c r="C32" s="99"/>
      <c r="D32" s="271" t="s">
        <v>484</v>
      </c>
      <c r="E32" s="231"/>
      <c r="F32" s="179"/>
      <c r="G32" s="179">
        <f>G33</f>
        <v>566000</v>
      </c>
      <c r="H32" s="179"/>
      <c r="I32" s="20"/>
    </row>
    <row r="33" spans="1:9" s="1" customFormat="1" ht="21.75" customHeight="1">
      <c r="A33" s="202"/>
      <c r="B33" s="202"/>
      <c r="C33" s="181">
        <v>4810</v>
      </c>
      <c r="D33" s="203" t="s">
        <v>526</v>
      </c>
      <c r="E33" s="388"/>
      <c r="F33" s="220"/>
      <c r="G33" s="220">
        <f>130000+216000+220000</f>
        <v>566000</v>
      </c>
      <c r="H33" s="220"/>
      <c r="I33" s="20"/>
    </row>
    <row r="34" spans="1:9" s="1" customFormat="1" ht="24" customHeight="1">
      <c r="A34" s="262"/>
      <c r="B34" s="262"/>
      <c r="C34" s="262"/>
      <c r="D34" s="258" t="s">
        <v>946</v>
      </c>
      <c r="E34" s="457"/>
      <c r="F34" s="258"/>
      <c r="G34" s="1012">
        <f>G35+G42</f>
        <v>55702</v>
      </c>
      <c r="H34" s="1012">
        <f>H35+H42</f>
        <v>55702</v>
      </c>
      <c r="I34" s="20"/>
    </row>
    <row r="35" spans="1:9" s="1" customFormat="1" ht="19.5" customHeight="1" thickBot="1">
      <c r="A35" s="99"/>
      <c r="B35" s="99"/>
      <c r="C35" s="202"/>
      <c r="D35" s="109" t="s">
        <v>1172</v>
      </c>
      <c r="E35" s="304"/>
      <c r="F35" s="109"/>
      <c r="G35" s="256">
        <f aca="true" t="shared" si="0" ref="G35:H37">G36</f>
        <v>55000</v>
      </c>
      <c r="H35" s="256">
        <f t="shared" si="0"/>
        <v>55000</v>
      </c>
      <c r="I35" s="20"/>
    </row>
    <row r="36" spans="1:9" s="1" customFormat="1" ht="18.75" customHeight="1" thickTop="1">
      <c r="A36" s="170">
        <v>700</v>
      </c>
      <c r="B36" s="170"/>
      <c r="C36" s="170"/>
      <c r="D36" s="420" t="s">
        <v>1422</v>
      </c>
      <c r="E36" s="152"/>
      <c r="F36" s="171"/>
      <c r="G36" s="152">
        <f t="shared" si="0"/>
        <v>55000</v>
      </c>
      <c r="H36" s="152">
        <f t="shared" si="0"/>
        <v>55000</v>
      </c>
      <c r="I36" s="20"/>
    </row>
    <row r="37" spans="1:9" s="1" customFormat="1" ht="18.75" customHeight="1">
      <c r="A37" s="99"/>
      <c r="B37" s="174">
        <v>70005</v>
      </c>
      <c r="C37" s="174"/>
      <c r="D37" s="168" t="s">
        <v>1427</v>
      </c>
      <c r="E37" s="176"/>
      <c r="F37" s="175"/>
      <c r="G37" s="176">
        <f t="shared" si="0"/>
        <v>55000</v>
      </c>
      <c r="H37" s="176">
        <f t="shared" si="0"/>
        <v>55000</v>
      </c>
      <c r="I37" s="20"/>
    </row>
    <row r="38" spans="1:9" s="1" customFormat="1" ht="27.75" customHeight="1">
      <c r="A38" s="99"/>
      <c r="B38" s="99"/>
      <c r="C38" s="202"/>
      <c r="D38" s="271" t="s">
        <v>1429</v>
      </c>
      <c r="E38" s="179"/>
      <c r="F38" s="271"/>
      <c r="G38" s="179">
        <f>SUM(G39:G41)</f>
        <v>55000</v>
      </c>
      <c r="H38" s="179">
        <f>SUM(H39:H41)</f>
        <v>55000</v>
      </c>
      <c r="I38" s="20"/>
    </row>
    <row r="39" spans="1:9" s="1" customFormat="1" ht="18.75" customHeight="1">
      <c r="A39" s="99"/>
      <c r="B39" s="99"/>
      <c r="C39" s="181">
        <v>4260</v>
      </c>
      <c r="D39" s="436" t="s">
        <v>1177</v>
      </c>
      <c r="E39" s="388"/>
      <c r="F39" s="203"/>
      <c r="G39" s="220">
        <v>5000</v>
      </c>
      <c r="H39" s="220"/>
      <c r="I39" s="20"/>
    </row>
    <row r="40" spans="1:9" s="1" customFormat="1" ht="18.75" customHeight="1">
      <c r="A40" s="99"/>
      <c r="B40" s="99"/>
      <c r="C40" s="205">
        <v>4300</v>
      </c>
      <c r="D40" s="203" t="s">
        <v>1173</v>
      </c>
      <c r="E40" s="437"/>
      <c r="F40" s="206"/>
      <c r="G40" s="222">
        <v>50000</v>
      </c>
      <c r="H40" s="222"/>
      <c r="I40" s="20"/>
    </row>
    <row r="41" spans="1:9" s="1" customFormat="1" ht="18.75" customHeight="1">
      <c r="A41" s="99"/>
      <c r="B41" s="99"/>
      <c r="C41" s="205">
        <v>4610</v>
      </c>
      <c r="D41" s="181" t="s">
        <v>497</v>
      </c>
      <c r="E41" s="437"/>
      <c r="F41" s="206"/>
      <c r="G41" s="222"/>
      <c r="H41" s="222">
        <v>55000</v>
      </c>
      <c r="I41" s="20"/>
    </row>
    <row r="42" spans="1:9" s="1" customFormat="1" ht="19.5" customHeight="1" thickBot="1">
      <c r="A42" s="99"/>
      <c r="B42" s="99"/>
      <c r="C42" s="202"/>
      <c r="D42" s="109" t="s">
        <v>496</v>
      </c>
      <c r="E42" s="304"/>
      <c r="F42" s="109"/>
      <c r="G42" s="256">
        <f aca="true" t="shared" si="1" ref="G42:H44">G43</f>
        <v>702</v>
      </c>
      <c r="H42" s="256">
        <f t="shared" si="1"/>
        <v>702</v>
      </c>
      <c r="I42" s="20"/>
    </row>
    <row r="43" spans="1:9" s="1" customFormat="1" ht="19.5" customHeight="1" thickTop="1">
      <c r="A43" s="170">
        <v>700</v>
      </c>
      <c r="B43" s="170"/>
      <c r="C43" s="170"/>
      <c r="D43" s="420" t="s">
        <v>1422</v>
      </c>
      <c r="E43" s="152"/>
      <c r="F43" s="171"/>
      <c r="G43" s="152">
        <f t="shared" si="1"/>
        <v>702</v>
      </c>
      <c r="H43" s="152">
        <f t="shared" si="1"/>
        <v>702</v>
      </c>
      <c r="I43" s="20"/>
    </row>
    <row r="44" spans="1:9" s="1" customFormat="1" ht="19.5" customHeight="1">
      <c r="A44" s="99"/>
      <c r="B44" s="174">
        <v>70005</v>
      </c>
      <c r="C44" s="174"/>
      <c r="D44" s="168" t="s">
        <v>1427</v>
      </c>
      <c r="E44" s="176"/>
      <c r="F44" s="175"/>
      <c r="G44" s="176">
        <f t="shared" si="1"/>
        <v>702</v>
      </c>
      <c r="H44" s="176">
        <f t="shared" si="1"/>
        <v>702</v>
      </c>
      <c r="I44" s="20"/>
    </row>
    <row r="45" spans="1:9" s="1" customFormat="1" ht="18.75" customHeight="1">
      <c r="A45" s="99"/>
      <c r="B45" s="99"/>
      <c r="C45" s="202"/>
      <c r="D45" s="271" t="s">
        <v>942</v>
      </c>
      <c r="E45" s="179"/>
      <c r="F45" s="271"/>
      <c r="G45" s="179">
        <f>SUM(G46:G47)</f>
        <v>702</v>
      </c>
      <c r="H45" s="179">
        <f>SUM(H46:H47)</f>
        <v>702</v>
      </c>
      <c r="I45" s="20"/>
    </row>
    <row r="46" spans="1:9" s="1" customFormat="1" ht="18.75" customHeight="1">
      <c r="A46" s="99"/>
      <c r="B46" s="99"/>
      <c r="C46" s="181">
        <v>4480</v>
      </c>
      <c r="D46" s="436" t="s">
        <v>943</v>
      </c>
      <c r="E46" s="388"/>
      <c r="F46" s="203"/>
      <c r="G46" s="220">
        <v>702</v>
      </c>
      <c r="H46" s="220"/>
      <c r="I46" s="20"/>
    </row>
    <row r="47" spans="1:9" s="1" customFormat="1" ht="18.75" customHeight="1">
      <c r="A47" s="99"/>
      <c r="B47" s="99"/>
      <c r="C47" s="205">
        <v>4590</v>
      </c>
      <c r="D47" s="203" t="s">
        <v>944</v>
      </c>
      <c r="E47" s="437"/>
      <c r="F47" s="206"/>
      <c r="G47" s="222"/>
      <c r="H47" s="222">
        <v>702</v>
      </c>
      <c r="I47" s="20"/>
    </row>
    <row r="48" spans="1:9" s="1" customFormat="1" ht="24" customHeight="1">
      <c r="A48" s="202"/>
      <c r="B48" s="202"/>
      <c r="C48" s="202"/>
      <c r="D48" s="238" t="s">
        <v>947</v>
      </c>
      <c r="E48" s="231"/>
      <c r="F48" s="239"/>
      <c r="G48" s="239"/>
      <c r="H48" s="239">
        <f>H49</f>
        <v>216000</v>
      </c>
      <c r="I48" s="20"/>
    </row>
    <row r="49" spans="1:9" s="1" customFormat="1" ht="19.5" customHeight="1" thickBot="1">
      <c r="A49" s="168"/>
      <c r="B49" s="168"/>
      <c r="C49" s="168"/>
      <c r="D49" s="230" t="s">
        <v>1172</v>
      </c>
      <c r="E49" s="231"/>
      <c r="F49" s="169"/>
      <c r="G49" s="169"/>
      <c r="H49" s="169">
        <f>H50</f>
        <v>216000</v>
      </c>
      <c r="I49" s="20"/>
    </row>
    <row r="50" spans="1:9" s="1" customFormat="1" ht="18.75" customHeight="1" thickTop="1">
      <c r="A50" s="170">
        <v>600</v>
      </c>
      <c r="B50" s="170"/>
      <c r="C50" s="170"/>
      <c r="D50" s="315" t="s">
        <v>551</v>
      </c>
      <c r="E50" s="231"/>
      <c r="F50" s="316"/>
      <c r="G50" s="316"/>
      <c r="H50" s="316">
        <f>H51</f>
        <v>216000</v>
      </c>
      <c r="I50" s="20"/>
    </row>
    <row r="51" spans="1:9" s="1" customFormat="1" ht="18.75" customHeight="1">
      <c r="A51" s="99"/>
      <c r="B51" s="168">
        <v>60004</v>
      </c>
      <c r="C51" s="168"/>
      <c r="D51" s="168" t="s">
        <v>1419</v>
      </c>
      <c r="E51" s="231"/>
      <c r="F51" s="194"/>
      <c r="G51" s="194"/>
      <c r="H51" s="194">
        <f>H52+H54</f>
        <v>216000</v>
      </c>
      <c r="I51" s="20"/>
    </row>
    <row r="52" spans="1:9" s="1" customFormat="1" ht="18.75" customHeight="1">
      <c r="A52" s="99"/>
      <c r="B52" s="99"/>
      <c r="C52" s="99"/>
      <c r="D52" s="324" t="s">
        <v>1420</v>
      </c>
      <c r="E52" s="231"/>
      <c r="F52" s="237"/>
      <c r="G52" s="237"/>
      <c r="H52" s="237">
        <f>H53</f>
        <v>36000</v>
      </c>
      <c r="I52" s="20"/>
    </row>
    <row r="53" spans="1:9" s="1" customFormat="1" ht="18.75" customHeight="1">
      <c r="A53" s="99"/>
      <c r="B53" s="99"/>
      <c r="C53" s="181">
        <v>4300</v>
      </c>
      <c r="D53" s="181" t="s">
        <v>1173</v>
      </c>
      <c r="E53" s="231"/>
      <c r="F53" s="204"/>
      <c r="G53" s="204"/>
      <c r="H53" s="204">
        <v>36000</v>
      </c>
      <c r="I53" s="20"/>
    </row>
    <row r="54" spans="1:9" s="1" customFormat="1" ht="18.75" customHeight="1">
      <c r="A54" s="99"/>
      <c r="B54" s="99"/>
      <c r="C54" s="99"/>
      <c r="D54" s="196" t="s">
        <v>1421</v>
      </c>
      <c r="E54" s="231"/>
      <c r="F54" s="197"/>
      <c r="G54" s="197"/>
      <c r="H54" s="197">
        <f>H55</f>
        <v>180000</v>
      </c>
      <c r="I54" s="20"/>
    </row>
    <row r="55" spans="1:9" s="1" customFormat="1" ht="18.75" customHeight="1">
      <c r="A55" s="181"/>
      <c r="B55" s="181"/>
      <c r="C55" s="181">
        <v>4300</v>
      </c>
      <c r="D55" s="181" t="s">
        <v>1173</v>
      </c>
      <c r="E55" s="388"/>
      <c r="F55" s="204"/>
      <c r="G55" s="204"/>
      <c r="H55" s="204">
        <v>180000</v>
      </c>
      <c r="I55" s="20"/>
    </row>
    <row r="56" spans="1:9" s="1" customFormat="1" ht="27.75" customHeight="1">
      <c r="A56" s="1109"/>
      <c r="B56" s="1109"/>
      <c r="C56" s="1109"/>
      <c r="D56" s="1109"/>
      <c r="E56" s="1111"/>
      <c r="F56" s="1276"/>
      <c r="G56" s="1276"/>
      <c r="H56" s="1276"/>
      <c r="I56" s="20"/>
    </row>
    <row r="57" spans="1:9" s="1" customFormat="1" ht="24" customHeight="1">
      <c r="A57" s="202"/>
      <c r="B57" s="202"/>
      <c r="C57" s="202"/>
      <c r="D57" s="238" t="s">
        <v>948</v>
      </c>
      <c r="E57" s="231"/>
      <c r="F57" s="239"/>
      <c r="G57" s="239">
        <f>G58+G85+G92</f>
        <v>56518</v>
      </c>
      <c r="H57" s="239">
        <f>H58+H85+H92</f>
        <v>48818</v>
      </c>
      <c r="I57" s="20"/>
    </row>
    <row r="58" spans="1:9" s="1" customFormat="1" ht="15" customHeight="1" thickBot="1">
      <c r="A58" s="173"/>
      <c r="B58" s="173"/>
      <c r="C58" s="173"/>
      <c r="D58" s="230" t="s">
        <v>1172</v>
      </c>
      <c r="E58" s="231"/>
      <c r="F58" s="169"/>
      <c r="G58" s="169">
        <f>G59+G64+G80+G71</f>
        <v>50745</v>
      </c>
      <c r="H58" s="169">
        <f>H59+H64+H80+H71</f>
        <v>43045</v>
      </c>
      <c r="I58" s="20"/>
    </row>
    <row r="59" spans="1:9" s="1" customFormat="1" ht="18.75" customHeight="1" thickTop="1">
      <c r="A59" s="170">
        <v>750</v>
      </c>
      <c r="B59" s="170"/>
      <c r="C59" s="170"/>
      <c r="D59" s="170" t="s">
        <v>1175</v>
      </c>
      <c r="E59" s="231"/>
      <c r="F59" s="297"/>
      <c r="G59" s="297">
        <f>G60</f>
        <v>7322</v>
      </c>
      <c r="H59" s="297">
        <f>H60</f>
        <v>7322</v>
      </c>
      <c r="I59" s="20"/>
    </row>
    <row r="60" spans="1:9" s="1" customFormat="1" ht="18.75" customHeight="1">
      <c r="A60" s="99"/>
      <c r="B60" s="168">
        <v>75023</v>
      </c>
      <c r="C60" s="168"/>
      <c r="D60" s="168" t="s">
        <v>757</v>
      </c>
      <c r="E60" s="231"/>
      <c r="F60" s="194"/>
      <c r="G60" s="194">
        <f>G61</f>
        <v>7322</v>
      </c>
      <c r="H60" s="194">
        <f>H61</f>
        <v>7322</v>
      </c>
      <c r="I60" s="20"/>
    </row>
    <row r="61" spans="1:9" s="1" customFormat="1" ht="18.75" customHeight="1">
      <c r="A61" s="99"/>
      <c r="B61" s="99"/>
      <c r="C61" s="178"/>
      <c r="D61" s="196" t="s">
        <v>1176</v>
      </c>
      <c r="E61" s="231"/>
      <c r="F61" s="307"/>
      <c r="G61" s="307">
        <f>G62+G63</f>
        <v>7322</v>
      </c>
      <c r="H61" s="307">
        <f>SUM(H62:H63)</f>
        <v>7322</v>
      </c>
      <c r="I61" s="20"/>
    </row>
    <row r="62" spans="1:9" s="1" customFormat="1" ht="18.75" customHeight="1">
      <c r="A62" s="99"/>
      <c r="B62" s="99"/>
      <c r="C62" s="181">
        <v>4430</v>
      </c>
      <c r="D62" s="181" t="s">
        <v>1004</v>
      </c>
      <c r="E62" s="231"/>
      <c r="F62" s="220"/>
      <c r="G62" s="220"/>
      <c r="H62" s="220">
        <v>7322</v>
      </c>
      <c r="I62" s="20"/>
    </row>
    <row r="63" spans="1:9" s="1" customFormat="1" ht="18.75" customHeight="1">
      <c r="A63" s="181"/>
      <c r="B63" s="181"/>
      <c r="C63" s="205">
        <v>4440</v>
      </c>
      <c r="D63" s="205" t="s">
        <v>630</v>
      </c>
      <c r="E63" s="388"/>
      <c r="F63" s="220"/>
      <c r="G63" s="220">
        <v>7322</v>
      </c>
      <c r="H63" s="220"/>
      <c r="I63" s="20"/>
    </row>
    <row r="64" spans="1:9" s="1" customFormat="1" ht="19.5" customHeight="1">
      <c r="A64" s="192">
        <v>801</v>
      </c>
      <c r="B64" s="192"/>
      <c r="C64" s="192"/>
      <c r="D64" s="192" t="s">
        <v>490</v>
      </c>
      <c r="E64" s="231"/>
      <c r="F64" s="232"/>
      <c r="G64" s="232">
        <f>G65+G68</f>
        <v>4700</v>
      </c>
      <c r="H64" s="232"/>
      <c r="I64" s="20"/>
    </row>
    <row r="65" spans="1:9" s="1" customFormat="1" ht="19.5" customHeight="1">
      <c r="A65" s="99"/>
      <c r="B65" s="174">
        <v>80120</v>
      </c>
      <c r="C65" s="174"/>
      <c r="D65" s="174" t="s">
        <v>921</v>
      </c>
      <c r="E65" s="231"/>
      <c r="F65" s="233"/>
      <c r="G65" s="233">
        <f>G66</f>
        <v>4269</v>
      </c>
      <c r="H65" s="233"/>
      <c r="I65" s="20"/>
    </row>
    <row r="66" spans="1:9" s="1" customFormat="1" ht="19.5" customHeight="1">
      <c r="A66" s="99"/>
      <c r="B66" s="99"/>
      <c r="C66" s="178"/>
      <c r="D66" s="196" t="s">
        <v>1176</v>
      </c>
      <c r="E66" s="231"/>
      <c r="F66" s="197"/>
      <c r="G66" s="197">
        <f>G67</f>
        <v>4269</v>
      </c>
      <c r="H66" s="197"/>
      <c r="I66" s="20"/>
    </row>
    <row r="67" spans="1:9" s="140" customFormat="1" ht="19.5" customHeight="1">
      <c r="A67" s="202"/>
      <c r="B67" s="181"/>
      <c r="C67" s="181">
        <v>4270</v>
      </c>
      <c r="D67" s="181" t="s">
        <v>920</v>
      </c>
      <c r="E67" s="388"/>
      <c r="F67" s="204"/>
      <c r="G67" s="204">
        <v>4269</v>
      </c>
      <c r="H67" s="204"/>
      <c r="I67" s="144"/>
    </row>
    <row r="68" spans="1:9" s="1" customFormat="1" ht="19.5" customHeight="1">
      <c r="A68" s="173"/>
      <c r="B68" s="168">
        <v>80130</v>
      </c>
      <c r="C68" s="168"/>
      <c r="D68" s="168" t="s">
        <v>647</v>
      </c>
      <c r="E68" s="231"/>
      <c r="F68" s="194"/>
      <c r="G68" s="194">
        <f>G69</f>
        <v>431</v>
      </c>
      <c r="H68" s="194"/>
      <c r="I68" s="20"/>
    </row>
    <row r="69" spans="1:9" s="1" customFormat="1" ht="19.5" customHeight="1">
      <c r="A69" s="99"/>
      <c r="B69" s="99"/>
      <c r="C69" s="178"/>
      <c r="D69" s="196" t="s">
        <v>1176</v>
      </c>
      <c r="E69" s="231"/>
      <c r="F69" s="197"/>
      <c r="G69" s="197">
        <f>G70</f>
        <v>431</v>
      </c>
      <c r="H69" s="197"/>
      <c r="I69" s="20"/>
    </row>
    <row r="70" spans="1:9" s="1" customFormat="1" ht="19.5" customHeight="1">
      <c r="A70" s="202"/>
      <c r="B70" s="202"/>
      <c r="C70" s="202">
        <v>4270</v>
      </c>
      <c r="D70" s="202" t="s">
        <v>920</v>
      </c>
      <c r="E70" s="231"/>
      <c r="F70" s="242"/>
      <c r="G70" s="242">
        <v>431</v>
      </c>
      <c r="H70" s="242"/>
      <c r="I70" s="20"/>
    </row>
    <row r="71" spans="1:9" s="1" customFormat="1" ht="19.5" customHeight="1">
      <c r="A71" s="170">
        <v>852</v>
      </c>
      <c r="B71" s="170"/>
      <c r="C71" s="170"/>
      <c r="D71" s="170" t="s">
        <v>485</v>
      </c>
      <c r="E71" s="1334"/>
      <c r="F71" s="297"/>
      <c r="G71" s="297">
        <f>G76</f>
        <v>35723</v>
      </c>
      <c r="H71" s="297">
        <f>H72</f>
        <v>35723</v>
      </c>
      <c r="I71" s="20"/>
    </row>
    <row r="72" spans="1:9" s="1" customFormat="1" ht="19.5" customHeight="1">
      <c r="A72" s="202"/>
      <c r="B72" s="174">
        <v>85202</v>
      </c>
      <c r="C72" s="168"/>
      <c r="D72" s="168" t="s">
        <v>988</v>
      </c>
      <c r="E72" s="301"/>
      <c r="F72" s="194"/>
      <c r="G72" s="194"/>
      <c r="H72" s="194">
        <f>H73</f>
        <v>35723</v>
      </c>
      <c r="I72" s="20"/>
    </row>
    <row r="73" spans="1:9" s="1" customFormat="1" ht="19.5" customHeight="1">
      <c r="A73" s="202"/>
      <c r="B73" s="202"/>
      <c r="C73" s="300"/>
      <c r="D73" s="324" t="s">
        <v>960</v>
      </c>
      <c r="E73" s="306"/>
      <c r="F73" s="237"/>
      <c r="G73" s="237"/>
      <c r="H73" s="237">
        <f>H74</f>
        <v>35723</v>
      </c>
      <c r="I73" s="20"/>
    </row>
    <row r="74" spans="1:9" s="1" customFormat="1" ht="19.5" customHeight="1">
      <c r="A74" s="202"/>
      <c r="B74" s="202"/>
      <c r="C74" s="202"/>
      <c r="D74" s="957" t="s">
        <v>687</v>
      </c>
      <c r="E74" s="1335"/>
      <c r="F74" s="1124"/>
      <c r="G74" s="1124"/>
      <c r="H74" s="1124">
        <f>H75</f>
        <v>35723</v>
      </c>
      <c r="I74" s="20"/>
    </row>
    <row r="75" spans="1:9" s="1" customFormat="1" ht="19.5" customHeight="1">
      <c r="A75" s="202"/>
      <c r="B75" s="202"/>
      <c r="C75" s="181">
        <v>6050</v>
      </c>
      <c r="D75" s="181" t="s">
        <v>1124</v>
      </c>
      <c r="E75" s="231"/>
      <c r="F75" s="204"/>
      <c r="G75" s="204"/>
      <c r="H75" s="204">
        <v>35723</v>
      </c>
      <c r="I75" s="20"/>
    </row>
    <row r="76" spans="1:9" s="1" customFormat="1" ht="19.5" customHeight="1">
      <c r="A76" s="202"/>
      <c r="B76" s="174">
        <v>85203</v>
      </c>
      <c r="C76" s="168"/>
      <c r="D76" s="168" t="s">
        <v>973</v>
      </c>
      <c r="E76" s="301"/>
      <c r="F76" s="194"/>
      <c r="G76" s="194">
        <f>G77</f>
        <v>35723</v>
      </c>
      <c r="H76" s="194"/>
      <c r="I76" s="20"/>
    </row>
    <row r="77" spans="1:9" s="1" customFormat="1" ht="19.5" customHeight="1">
      <c r="A77" s="202"/>
      <c r="B77" s="286"/>
      <c r="C77" s="286"/>
      <c r="D77" s="196" t="s">
        <v>960</v>
      </c>
      <c r="E77" s="306"/>
      <c r="F77" s="237"/>
      <c r="G77" s="237">
        <f>G78</f>
        <v>35723</v>
      </c>
      <c r="H77" s="237"/>
      <c r="I77" s="20"/>
    </row>
    <row r="78" spans="1:9" s="1" customFormat="1" ht="19.5" customHeight="1">
      <c r="A78" s="202"/>
      <c r="B78" s="173"/>
      <c r="C78" s="173"/>
      <c r="D78" s="957" t="s">
        <v>810</v>
      </c>
      <c r="E78" s="1335"/>
      <c r="F78" s="1124"/>
      <c r="G78" s="1124">
        <f>G79</f>
        <v>35723</v>
      </c>
      <c r="H78" s="1124"/>
      <c r="I78" s="20"/>
    </row>
    <row r="79" spans="1:9" s="1" customFormat="1" ht="19.5" customHeight="1">
      <c r="A79" s="202"/>
      <c r="B79" s="168"/>
      <c r="C79" s="181">
        <v>6050</v>
      </c>
      <c r="D79" s="181" t="s">
        <v>1124</v>
      </c>
      <c r="E79" s="301"/>
      <c r="F79" s="194"/>
      <c r="G79" s="204">
        <v>35723</v>
      </c>
      <c r="H79" s="194"/>
      <c r="I79" s="20"/>
    </row>
    <row r="80" spans="1:9" s="1" customFormat="1" ht="19.5" customHeight="1">
      <c r="A80" s="170">
        <v>854</v>
      </c>
      <c r="B80" s="170"/>
      <c r="C80" s="192"/>
      <c r="D80" s="192" t="s">
        <v>640</v>
      </c>
      <c r="E80" s="280"/>
      <c r="F80" s="232"/>
      <c r="G80" s="232">
        <f>G81</f>
        <v>3000</v>
      </c>
      <c r="H80" s="232"/>
      <c r="I80" s="20"/>
    </row>
    <row r="81" spans="1:9" s="1" customFormat="1" ht="19.5" customHeight="1">
      <c r="A81" s="173"/>
      <c r="B81" s="168">
        <v>85410</v>
      </c>
      <c r="C81" s="168"/>
      <c r="D81" s="168" t="s">
        <v>646</v>
      </c>
      <c r="E81" s="231"/>
      <c r="F81" s="194"/>
      <c r="G81" s="194">
        <f>G82</f>
        <v>3000</v>
      </c>
      <c r="H81" s="194"/>
      <c r="I81" s="20"/>
    </row>
    <row r="82" spans="1:9" s="1" customFormat="1" ht="19.5" customHeight="1">
      <c r="A82" s="173"/>
      <c r="B82" s="173"/>
      <c r="C82" s="178"/>
      <c r="D82" s="196" t="s">
        <v>1176</v>
      </c>
      <c r="E82" s="231"/>
      <c r="F82" s="197"/>
      <c r="G82" s="197">
        <f>G83</f>
        <v>3000</v>
      </c>
      <c r="H82" s="197"/>
      <c r="I82" s="20"/>
    </row>
    <row r="83" spans="1:9" s="1" customFormat="1" ht="19.5" customHeight="1">
      <c r="A83" s="202"/>
      <c r="B83" s="202"/>
      <c r="C83" s="202">
        <v>4270</v>
      </c>
      <c r="D83" s="202" t="s">
        <v>920</v>
      </c>
      <c r="E83" s="231"/>
      <c r="F83" s="242"/>
      <c r="G83" s="242">
        <v>3000</v>
      </c>
      <c r="H83" s="242"/>
      <c r="I83" s="20"/>
    </row>
    <row r="84" spans="1:9" s="1" customFormat="1" ht="46.5" customHeight="1">
      <c r="A84" s="1109"/>
      <c r="B84" s="1109"/>
      <c r="C84" s="1109"/>
      <c r="D84" s="1109"/>
      <c r="E84" s="1111"/>
      <c r="F84" s="1276"/>
      <c r="G84" s="1276"/>
      <c r="H84" s="1276"/>
      <c r="I84" s="20"/>
    </row>
    <row r="85" spans="1:9" s="1" customFormat="1" ht="19.5" customHeight="1" thickBot="1">
      <c r="A85" s="229"/>
      <c r="B85" s="229"/>
      <c r="C85" s="229"/>
      <c r="D85" s="230" t="s">
        <v>493</v>
      </c>
      <c r="E85" s="231"/>
      <c r="F85" s="169"/>
      <c r="G85" s="169">
        <f>G86</f>
        <v>5509</v>
      </c>
      <c r="H85" s="169">
        <f>H86</f>
        <v>5509</v>
      </c>
      <c r="I85" s="20"/>
    </row>
    <row r="86" spans="1:9" s="1" customFormat="1" ht="19.5" customHeight="1" thickTop="1">
      <c r="A86" s="191">
        <v>750</v>
      </c>
      <c r="B86" s="192"/>
      <c r="C86" s="192"/>
      <c r="D86" s="171" t="s">
        <v>1175</v>
      </c>
      <c r="E86" s="231"/>
      <c r="F86" s="152"/>
      <c r="G86" s="152">
        <f>G87</f>
        <v>5509</v>
      </c>
      <c r="H86" s="152">
        <f>H87</f>
        <v>5509</v>
      </c>
      <c r="I86" s="20"/>
    </row>
    <row r="87" spans="1:9" s="1" customFormat="1" ht="19.5" customHeight="1">
      <c r="A87" s="99"/>
      <c r="B87" s="254">
        <v>75011</v>
      </c>
      <c r="C87" s="254"/>
      <c r="D87" s="208" t="s">
        <v>757</v>
      </c>
      <c r="E87" s="231"/>
      <c r="F87" s="211"/>
      <c r="G87" s="211">
        <f>G88+G90</f>
        <v>5509</v>
      </c>
      <c r="H87" s="211">
        <f>H88+H90</f>
        <v>5509</v>
      </c>
      <c r="I87" s="20"/>
    </row>
    <row r="88" spans="1:9" s="1" customFormat="1" ht="19.5" customHeight="1">
      <c r="A88" s="99"/>
      <c r="B88" s="178"/>
      <c r="C88" s="178"/>
      <c r="D88" s="271" t="s">
        <v>1176</v>
      </c>
      <c r="E88" s="231"/>
      <c r="F88" s="179"/>
      <c r="G88" s="179"/>
      <c r="H88" s="179">
        <f>H89</f>
        <v>5509</v>
      </c>
      <c r="I88" s="20"/>
    </row>
    <row r="89" spans="1:9" s="1" customFormat="1" ht="19.5" customHeight="1">
      <c r="A89" s="99"/>
      <c r="B89" s="99"/>
      <c r="C89" s="181">
        <v>4440</v>
      </c>
      <c r="D89" s="203" t="s">
        <v>630</v>
      </c>
      <c r="E89" s="231"/>
      <c r="F89" s="220"/>
      <c r="G89" s="220"/>
      <c r="H89" s="220">
        <v>5509</v>
      </c>
      <c r="I89" s="20"/>
    </row>
    <row r="90" spans="1:9" s="1" customFormat="1" ht="19.5" customHeight="1">
      <c r="A90" s="99"/>
      <c r="B90" s="99"/>
      <c r="C90" s="300"/>
      <c r="D90" s="910" t="s">
        <v>553</v>
      </c>
      <c r="E90" s="306"/>
      <c r="F90" s="911"/>
      <c r="G90" s="911">
        <f>G91</f>
        <v>5509</v>
      </c>
      <c r="H90" s="911"/>
      <c r="I90" s="20"/>
    </row>
    <row r="91" spans="1:9" s="1" customFormat="1" ht="19.5" customHeight="1">
      <c r="A91" s="99"/>
      <c r="B91" s="99"/>
      <c r="C91" s="181">
        <v>4110</v>
      </c>
      <c r="D91" s="203" t="s">
        <v>1178</v>
      </c>
      <c r="E91" s="231"/>
      <c r="F91" s="220"/>
      <c r="G91" s="220">
        <v>5509</v>
      </c>
      <c r="H91" s="220"/>
      <c r="I91" s="20"/>
    </row>
    <row r="92" spans="1:9" s="1" customFormat="1" ht="19.5" customHeight="1" thickBot="1">
      <c r="A92" s="99"/>
      <c r="B92" s="99"/>
      <c r="C92" s="198"/>
      <c r="D92" s="109" t="s">
        <v>496</v>
      </c>
      <c r="E92" s="256"/>
      <c r="F92" s="256"/>
      <c r="G92" s="256">
        <f aca="true" t="shared" si="2" ref="G92:H94">G93</f>
        <v>264</v>
      </c>
      <c r="H92" s="256">
        <f t="shared" si="2"/>
        <v>264</v>
      </c>
      <c r="I92" s="20"/>
    </row>
    <row r="93" spans="1:9" s="1" customFormat="1" ht="19.5" customHeight="1" thickTop="1">
      <c r="A93" s="170">
        <v>750</v>
      </c>
      <c r="B93" s="170"/>
      <c r="C93" s="311"/>
      <c r="D93" s="171" t="s">
        <v>1175</v>
      </c>
      <c r="E93" s="152"/>
      <c r="F93" s="152"/>
      <c r="G93" s="152">
        <f t="shared" si="2"/>
        <v>264</v>
      </c>
      <c r="H93" s="152">
        <f t="shared" si="2"/>
        <v>264</v>
      </c>
      <c r="I93" s="20"/>
    </row>
    <row r="94" spans="1:9" s="1" customFormat="1" ht="19.5" customHeight="1">
      <c r="A94" s="99"/>
      <c r="B94" s="174">
        <v>75011</v>
      </c>
      <c r="C94" s="312"/>
      <c r="D94" s="175" t="s">
        <v>539</v>
      </c>
      <c r="E94" s="176"/>
      <c r="F94" s="176"/>
      <c r="G94" s="176">
        <f t="shared" si="2"/>
        <v>264</v>
      </c>
      <c r="H94" s="176">
        <f t="shared" si="2"/>
        <v>264</v>
      </c>
      <c r="I94" s="20"/>
    </row>
    <row r="95" spans="1:9" s="1" customFormat="1" ht="19.5" customHeight="1">
      <c r="A95" s="99"/>
      <c r="B95" s="99"/>
      <c r="C95" s="202"/>
      <c r="D95" s="271" t="s">
        <v>1176</v>
      </c>
      <c r="E95" s="179"/>
      <c r="F95" s="179"/>
      <c r="G95" s="179">
        <f>SUM(G96:G97)</f>
        <v>264</v>
      </c>
      <c r="H95" s="179">
        <f>SUM(H96:H97)</f>
        <v>264</v>
      </c>
      <c r="I95" s="20"/>
    </row>
    <row r="96" spans="1:9" s="1" customFormat="1" ht="19.5" customHeight="1">
      <c r="A96" s="99"/>
      <c r="B96" s="99"/>
      <c r="C96" s="181">
        <v>4300</v>
      </c>
      <c r="D96" s="203" t="s">
        <v>1173</v>
      </c>
      <c r="E96" s="220"/>
      <c r="F96" s="220"/>
      <c r="G96" s="220"/>
      <c r="H96" s="220">
        <v>264</v>
      </c>
      <c r="I96" s="20"/>
    </row>
    <row r="97" spans="1:9" s="143" customFormat="1" ht="19.5" customHeight="1">
      <c r="A97" s="99"/>
      <c r="B97" s="99"/>
      <c r="C97" s="205">
        <v>4440</v>
      </c>
      <c r="D97" s="206" t="s">
        <v>630</v>
      </c>
      <c r="E97" s="222"/>
      <c r="F97" s="222"/>
      <c r="G97" s="222">
        <v>264</v>
      </c>
      <c r="H97" s="222"/>
      <c r="I97" s="141"/>
    </row>
    <row r="98" spans="1:9" s="1" customFormat="1" ht="24.75" customHeight="1">
      <c r="A98" s="99"/>
      <c r="B98" s="99"/>
      <c r="C98" s="202"/>
      <c r="D98" s="238" t="s">
        <v>949</v>
      </c>
      <c r="E98" s="231"/>
      <c r="F98" s="239"/>
      <c r="G98" s="239">
        <f>G99</f>
        <v>495364</v>
      </c>
      <c r="H98" s="239">
        <f>H99</f>
        <v>260</v>
      </c>
      <c r="I98" s="20"/>
    </row>
    <row r="99" spans="1:9" s="1" customFormat="1" ht="15.75" customHeight="1" thickBot="1">
      <c r="A99" s="168"/>
      <c r="B99" s="168"/>
      <c r="C99" s="168"/>
      <c r="D99" s="230" t="s">
        <v>1172</v>
      </c>
      <c r="E99" s="231"/>
      <c r="F99" s="169"/>
      <c r="G99" s="169">
        <f>G100+G125</f>
        <v>495364</v>
      </c>
      <c r="H99" s="169">
        <f>H100+H125</f>
        <v>260</v>
      </c>
      <c r="I99" s="20"/>
    </row>
    <row r="100" spans="1:9" s="1" customFormat="1" ht="18.75" customHeight="1" thickTop="1">
      <c r="A100" s="192">
        <v>801</v>
      </c>
      <c r="B100" s="192"/>
      <c r="C100" s="192"/>
      <c r="D100" s="192" t="s">
        <v>490</v>
      </c>
      <c r="E100" s="231"/>
      <c r="F100" s="232"/>
      <c r="G100" s="232">
        <f>G101+G110+G118+G122</f>
        <v>257087</v>
      </c>
      <c r="H100" s="232">
        <f>H110</f>
        <v>260</v>
      </c>
      <c r="I100" s="9"/>
    </row>
    <row r="101" spans="1:9" s="15" customFormat="1" ht="19.5" customHeight="1">
      <c r="A101" s="99"/>
      <c r="B101" s="174">
        <v>80101</v>
      </c>
      <c r="C101" s="174"/>
      <c r="D101" s="174" t="s">
        <v>491</v>
      </c>
      <c r="E101" s="231"/>
      <c r="F101" s="233"/>
      <c r="G101" s="233">
        <f>G102+G104+G108</f>
        <v>191223</v>
      </c>
      <c r="H101" s="233"/>
      <c r="I101" s="139"/>
    </row>
    <row r="102" spans="1:9" s="15" customFormat="1" ht="18.75" customHeight="1">
      <c r="A102" s="99"/>
      <c r="B102" s="99"/>
      <c r="C102" s="99"/>
      <c r="D102" s="196" t="s">
        <v>492</v>
      </c>
      <c r="E102" s="231"/>
      <c r="F102" s="197"/>
      <c r="G102" s="197">
        <f>G103</f>
        <v>18000</v>
      </c>
      <c r="H102" s="197"/>
      <c r="I102" s="139"/>
    </row>
    <row r="103" spans="1:9" s="15" customFormat="1" ht="18.75" customHeight="1">
      <c r="A103" s="202"/>
      <c r="B103" s="202"/>
      <c r="C103" s="181">
        <v>4010</v>
      </c>
      <c r="D103" s="181" t="s">
        <v>896</v>
      </c>
      <c r="E103" s="231"/>
      <c r="F103" s="204"/>
      <c r="G103" s="204">
        <v>18000</v>
      </c>
      <c r="H103" s="204"/>
      <c r="I103" s="139"/>
    </row>
    <row r="104" spans="1:9" s="15" customFormat="1" ht="18.75" customHeight="1">
      <c r="A104" s="99"/>
      <c r="B104" s="99"/>
      <c r="C104" s="178"/>
      <c r="D104" s="196" t="s">
        <v>1176</v>
      </c>
      <c r="E104" s="231"/>
      <c r="F104" s="197"/>
      <c r="G104" s="197">
        <f>SUM(G105:G107)</f>
        <v>172385</v>
      </c>
      <c r="H104" s="197"/>
      <c r="I104" s="139"/>
    </row>
    <row r="105" spans="1:9" s="15" customFormat="1" ht="18.75" customHeight="1">
      <c r="A105" s="99"/>
      <c r="B105" s="99"/>
      <c r="C105" s="181">
        <v>4260</v>
      </c>
      <c r="D105" s="181" t="s">
        <v>1177</v>
      </c>
      <c r="E105" s="388"/>
      <c r="F105" s="204"/>
      <c r="G105" s="204">
        <v>85179</v>
      </c>
      <c r="H105" s="204"/>
      <c r="I105" s="139"/>
    </row>
    <row r="106" spans="1:9" s="135" customFormat="1" ht="19.5" customHeight="1">
      <c r="A106" s="202"/>
      <c r="B106" s="202"/>
      <c r="C106" s="181">
        <v>4300</v>
      </c>
      <c r="D106" s="203" t="s">
        <v>1173</v>
      </c>
      <c r="E106" s="388"/>
      <c r="F106" s="204"/>
      <c r="G106" s="204">
        <v>48781</v>
      </c>
      <c r="H106" s="204"/>
      <c r="I106" s="108"/>
    </row>
    <row r="107" spans="1:9" s="15" customFormat="1" ht="19.5" customHeight="1">
      <c r="A107" s="202"/>
      <c r="B107" s="202"/>
      <c r="C107" s="181">
        <v>4440</v>
      </c>
      <c r="D107" s="181" t="s">
        <v>630</v>
      </c>
      <c r="E107" s="231"/>
      <c r="F107" s="204"/>
      <c r="G107" s="204">
        <v>38425</v>
      </c>
      <c r="H107" s="204"/>
      <c r="I107" s="139"/>
    </row>
    <row r="108" spans="1:9" s="15" customFormat="1" ht="19.5" customHeight="1">
      <c r="A108" s="99"/>
      <c r="B108" s="99"/>
      <c r="C108" s="99"/>
      <c r="D108" s="310" t="s">
        <v>837</v>
      </c>
      <c r="E108" s="231"/>
      <c r="F108" s="307"/>
      <c r="G108" s="307">
        <f>G109</f>
        <v>838</v>
      </c>
      <c r="H108" s="307"/>
      <c r="I108" s="139"/>
    </row>
    <row r="109" spans="1:9" s="135" customFormat="1" ht="19.5" customHeight="1">
      <c r="A109" s="202"/>
      <c r="B109" s="202"/>
      <c r="C109" s="181">
        <v>4440</v>
      </c>
      <c r="D109" s="203" t="s">
        <v>630</v>
      </c>
      <c r="E109" s="231"/>
      <c r="F109" s="220"/>
      <c r="G109" s="220">
        <v>838</v>
      </c>
      <c r="H109" s="220"/>
      <c r="I109" s="108"/>
    </row>
    <row r="110" spans="1:9" s="1" customFormat="1" ht="18.75" customHeight="1">
      <c r="A110" s="173"/>
      <c r="B110" s="338">
        <v>80104</v>
      </c>
      <c r="C110" s="254"/>
      <c r="D110" s="208" t="s">
        <v>619</v>
      </c>
      <c r="E110" s="231"/>
      <c r="F110" s="211"/>
      <c r="G110" s="211">
        <f>G111</f>
        <v>260</v>
      </c>
      <c r="H110" s="211">
        <f>H111</f>
        <v>260</v>
      </c>
      <c r="I110" s="20"/>
    </row>
    <row r="111" spans="1:9" s="1" customFormat="1" ht="18.75" customHeight="1">
      <c r="A111" s="173"/>
      <c r="B111" s="379"/>
      <c r="C111" s="379"/>
      <c r="D111" s="382" t="s">
        <v>1010</v>
      </c>
      <c r="E111" s="231"/>
      <c r="F111" s="383"/>
      <c r="G111" s="383">
        <f>G112</f>
        <v>260</v>
      </c>
      <c r="H111" s="383">
        <f>H112</f>
        <v>260</v>
      </c>
      <c r="I111" s="20"/>
    </row>
    <row r="112" spans="1:9" s="1" customFormat="1" ht="18.75" customHeight="1">
      <c r="A112" s="99"/>
      <c r="B112" s="99"/>
      <c r="C112" s="99"/>
      <c r="D112" s="384" t="s">
        <v>621</v>
      </c>
      <c r="E112" s="231"/>
      <c r="F112" s="385"/>
      <c r="G112" s="385">
        <f>G114+G117</f>
        <v>260</v>
      </c>
      <c r="H112" s="385">
        <f>H114+H117</f>
        <v>260</v>
      </c>
      <c r="I112" s="20"/>
    </row>
    <row r="113" spans="1:9" s="13" customFormat="1" ht="27" customHeight="1">
      <c r="A113" s="202"/>
      <c r="B113" s="202"/>
      <c r="C113" s="202"/>
      <c r="D113" s="386" t="s">
        <v>572</v>
      </c>
      <c r="E113" s="231"/>
      <c r="F113" s="387"/>
      <c r="G113" s="387"/>
      <c r="H113" s="387">
        <v>68</v>
      </c>
      <c r="I113" s="138"/>
    </row>
    <row r="114" spans="1:9" s="1" customFormat="1" ht="18" customHeight="1">
      <c r="A114" s="229"/>
      <c r="B114" s="229"/>
      <c r="C114" s="181">
        <v>2540</v>
      </c>
      <c r="D114" s="203" t="s">
        <v>622</v>
      </c>
      <c r="E114" s="388"/>
      <c r="F114" s="220"/>
      <c r="G114" s="220"/>
      <c r="H114" s="220">
        <f>H113</f>
        <v>68</v>
      </c>
      <c r="I114" s="20"/>
    </row>
    <row r="115" spans="1:9" s="146" customFormat="1" ht="31.5" customHeight="1">
      <c r="A115" s="202"/>
      <c r="B115" s="202"/>
      <c r="C115" s="202"/>
      <c r="D115" s="389" t="s">
        <v>627</v>
      </c>
      <c r="E115" s="390"/>
      <c r="F115" s="391"/>
      <c r="G115" s="391">
        <v>260</v>
      </c>
      <c r="H115" s="391"/>
      <c r="I115" s="145"/>
    </row>
    <row r="116" spans="1:9" s="13" customFormat="1" ht="27" customHeight="1">
      <c r="A116" s="202"/>
      <c r="B116" s="202"/>
      <c r="C116" s="202"/>
      <c r="D116" s="389" t="s">
        <v>628</v>
      </c>
      <c r="E116" s="231"/>
      <c r="F116" s="391"/>
      <c r="G116" s="391"/>
      <c r="H116" s="391">
        <v>192</v>
      </c>
      <c r="I116" s="138"/>
    </row>
    <row r="117" spans="1:9" s="1" customFormat="1" ht="29.25" customHeight="1">
      <c r="A117" s="99"/>
      <c r="B117" s="229"/>
      <c r="C117" s="181">
        <v>2590</v>
      </c>
      <c r="D117" s="203" t="s">
        <v>623</v>
      </c>
      <c r="E117" s="231"/>
      <c r="F117" s="357"/>
      <c r="G117" s="357">
        <f>G115+G116</f>
        <v>260</v>
      </c>
      <c r="H117" s="357">
        <f>H116+H115</f>
        <v>192</v>
      </c>
      <c r="I117" s="20"/>
    </row>
    <row r="118" spans="1:9" s="1" customFormat="1" ht="19.5" customHeight="1">
      <c r="A118" s="173"/>
      <c r="B118" s="168">
        <v>80110</v>
      </c>
      <c r="C118" s="168"/>
      <c r="D118" s="168" t="s">
        <v>1133</v>
      </c>
      <c r="E118" s="231"/>
      <c r="F118" s="194"/>
      <c r="G118" s="194">
        <f>G119</f>
        <v>60611</v>
      </c>
      <c r="H118" s="194"/>
      <c r="I118" s="20"/>
    </row>
    <row r="119" spans="1:9" s="1" customFormat="1" ht="19.5" customHeight="1">
      <c r="A119" s="173"/>
      <c r="B119" s="173"/>
      <c r="C119" s="178"/>
      <c r="D119" s="196" t="s">
        <v>1176</v>
      </c>
      <c r="E119" s="231"/>
      <c r="F119" s="197"/>
      <c r="G119" s="197">
        <f>SUM(G120:G121)</f>
        <v>60611</v>
      </c>
      <c r="H119" s="197"/>
      <c r="I119" s="20"/>
    </row>
    <row r="120" spans="1:9" s="1" customFormat="1" ht="19.5" customHeight="1">
      <c r="A120" s="202"/>
      <c r="B120" s="202"/>
      <c r="C120" s="181">
        <v>4210</v>
      </c>
      <c r="D120" s="181" t="s">
        <v>1174</v>
      </c>
      <c r="E120" s="231"/>
      <c r="F120" s="204"/>
      <c r="G120" s="204">
        <v>15480</v>
      </c>
      <c r="H120" s="204"/>
      <c r="I120" s="20"/>
    </row>
    <row r="121" spans="1:9" s="1" customFormat="1" ht="19.5" customHeight="1">
      <c r="A121" s="202"/>
      <c r="B121" s="181"/>
      <c r="C121" s="181">
        <v>4260</v>
      </c>
      <c r="D121" s="181" t="s">
        <v>1177</v>
      </c>
      <c r="E121" s="231"/>
      <c r="F121" s="204"/>
      <c r="G121" s="204">
        <v>45131</v>
      </c>
      <c r="H121" s="204"/>
      <c r="I121" s="20"/>
    </row>
    <row r="122" spans="1:9" s="1" customFormat="1" ht="19.5" customHeight="1">
      <c r="A122" s="173"/>
      <c r="B122" s="168">
        <v>80130</v>
      </c>
      <c r="C122" s="168"/>
      <c r="D122" s="168" t="s">
        <v>638</v>
      </c>
      <c r="E122" s="231"/>
      <c r="F122" s="194"/>
      <c r="G122" s="194">
        <f>G123</f>
        <v>4993</v>
      </c>
      <c r="H122" s="194"/>
      <c r="I122" s="20"/>
    </row>
    <row r="123" spans="1:9" s="1" customFormat="1" ht="19.5" customHeight="1">
      <c r="A123" s="99"/>
      <c r="B123" s="99"/>
      <c r="C123" s="178"/>
      <c r="D123" s="196" t="s">
        <v>1176</v>
      </c>
      <c r="E123" s="231"/>
      <c r="F123" s="197"/>
      <c r="G123" s="197">
        <f>G124</f>
        <v>4993</v>
      </c>
      <c r="H123" s="197"/>
      <c r="I123" s="20"/>
    </row>
    <row r="124" spans="1:9" s="1" customFormat="1" ht="19.5" customHeight="1">
      <c r="A124" s="181"/>
      <c r="B124" s="181"/>
      <c r="C124" s="181">
        <v>4260</v>
      </c>
      <c r="D124" s="181" t="s">
        <v>1177</v>
      </c>
      <c r="E124" s="388"/>
      <c r="F124" s="204"/>
      <c r="G124" s="204">
        <v>4993</v>
      </c>
      <c r="H124" s="204"/>
      <c r="I124" s="20"/>
    </row>
    <row r="125" spans="1:9" s="1" customFormat="1" ht="19.5" customHeight="1">
      <c r="A125" s="192">
        <v>854</v>
      </c>
      <c r="B125" s="192"/>
      <c r="C125" s="192"/>
      <c r="D125" s="192" t="s">
        <v>640</v>
      </c>
      <c r="E125" s="231"/>
      <c r="F125" s="232"/>
      <c r="G125" s="232">
        <f>G126+G129+G137+G140+G145+G148</f>
        <v>238277</v>
      </c>
      <c r="H125" s="232"/>
      <c r="I125" s="20"/>
    </row>
    <row r="126" spans="1:9" s="1" customFormat="1" ht="19.5" customHeight="1">
      <c r="A126" s="99"/>
      <c r="B126" s="174">
        <v>85401</v>
      </c>
      <c r="C126" s="174"/>
      <c r="D126" s="174" t="s">
        <v>641</v>
      </c>
      <c r="E126" s="231"/>
      <c r="F126" s="233"/>
      <c r="G126" s="233">
        <f>G127</f>
        <v>5504</v>
      </c>
      <c r="H126" s="233"/>
      <c r="I126" s="20"/>
    </row>
    <row r="127" spans="1:9" s="1" customFormat="1" ht="19.5" customHeight="1">
      <c r="A127" s="99"/>
      <c r="B127" s="99"/>
      <c r="C127" s="178"/>
      <c r="D127" s="324" t="s">
        <v>1176</v>
      </c>
      <c r="E127" s="909"/>
      <c r="F127" s="237"/>
      <c r="G127" s="237">
        <f>G128</f>
        <v>5504</v>
      </c>
      <c r="H127" s="237"/>
      <c r="I127" s="20"/>
    </row>
    <row r="128" spans="1:9" s="1" customFormat="1" ht="19.5" customHeight="1">
      <c r="A128" s="99"/>
      <c r="B128" s="99"/>
      <c r="C128" s="181">
        <v>4300</v>
      </c>
      <c r="D128" s="181" t="s">
        <v>1173</v>
      </c>
      <c r="E128" s="231"/>
      <c r="F128" s="204"/>
      <c r="G128" s="204">
        <v>5504</v>
      </c>
      <c r="H128" s="204"/>
      <c r="I128" s="20"/>
    </row>
    <row r="129" spans="1:9" s="1" customFormat="1" ht="19.5" customHeight="1">
      <c r="A129" s="99"/>
      <c r="B129" s="174">
        <v>85403</v>
      </c>
      <c r="C129" s="168"/>
      <c r="D129" s="168" t="s">
        <v>643</v>
      </c>
      <c r="E129" s="231"/>
      <c r="F129" s="194"/>
      <c r="G129" s="194">
        <f>G130+G132+G135</f>
        <v>75992</v>
      </c>
      <c r="H129" s="194"/>
      <c r="I129" s="20"/>
    </row>
    <row r="130" spans="1:9" s="1" customFormat="1" ht="19.5" customHeight="1">
      <c r="A130" s="99"/>
      <c r="B130" s="99"/>
      <c r="C130" s="99"/>
      <c r="D130" s="196" t="s">
        <v>492</v>
      </c>
      <c r="E130" s="231"/>
      <c r="F130" s="197"/>
      <c r="G130" s="197">
        <f>G131</f>
        <v>19992</v>
      </c>
      <c r="H130" s="197"/>
      <c r="I130" s="20"/>
    </row>
    <row r="131" spans="1:9" s="1" customFormat="1" ht="19.5" customHeight="1">
      <c r="A131" s="202"/>
      <c r="B131" s="202"/>
      <c r="C131" s="181">
        <v>4010</v>
      </c>
      <c r="D131" s="181" t="s">
        <v>896</v>
      </c>
      <c r="E131" s="388"/>
      <c r="F131" s="204"/>
      <c r="G131" s="204">
        <v>19992</v>
      </c>
      <c r="H131" s="204"/>
      <c r="I131" s="20"/>
    </row>
    <row r="132" spans="1:9" s="1" customFormat="1" ht="19.5" customHeight="1">
      <c r="A132" s="99"/>
      <c r="B132" s="99"/>
      <c r="C132" s="99"/>
      <c r="D132" s="324" t="s">
        <v>1176</v>
      </c>
      <c r="E132" s="231"/>
      <c r="F132" s="237"/>
      <c r="G132" s="237">
        <f>SUM(G133:G134)</f>
        <v>40000</v>
      </c>
      <c r="H132" s="237"/>
      <c r="I132" s="20"/>
    </row>
    <row r="133" spans="1:9" s="1" customFormat="1" ht="19.5" customHeight="1">
      <c r="A133" s="202"/>
      <c r="B133" s="202"/>
      <c r="C133" s="181">
        <v>4210</v>
      </c>
      <c r="D133" s="181" t="s">
        <v>838</v>
      </c>
      <c r="E133" s="231"/>
      <c r="F133" s="204"/>
      <c r="G133" s="204">
        <v>10000</v>
      </c>
      <c r="H133" s="204"/>
      <c r="I133" s="20"/>
    </row>
    <row r="134" spans="1:9" s="1" customFormat="1" ht="19.5" customHeight="1">
      <c r="A134" s="202"/>
      <c r="B134" s="202"/>
      <c r="C134" s="205">
        <v>4260</v>
      </c>
      <c r="D134" s="181" t="s">
        <v>1177</v>
      </c>
      <c r="E134" s="231"/>
      <c r="F134" s="204"/>
      <c r="G134" s="204">
        <v>30000</v>
      </c>
      <c r="H134" s="204"/>
      <c r="I134" s="20"/>
    </row>
    <row r="135" spans="1:9" s="1" customFormat="1" ht="19.5" customHeight="1">
      <c r="A135" s="202"/>
      <c r="B135" s="202"/>
      <c r="C135" s="202"/>
      <c r="D135" s="324" t="s">
        <v>553</v>
      </c>
      <c r="E135" s="306"/>
      <c r="F135" s="237"/>
      <c r="G135" s="237">
        <f>G136</f>
        <v>16000</v>
      </c>
      <c r="H135" s="237"/>
      <c r="I135" s="20"/>
    </row>
    <row r="136" spans="1:9" s="1" customFormat="1" ht="19.5" customHeight="1">
      <c r="A136" s="202"/>
      <c r="B136" s="181"/>
      <c r="C136" s="181">
        <v>4110</v>
      </c>
      <c r="D136" s="181" t="s">
        <v>1178</v>
      </c>
      <c r="E136" s="231"/>
      <c r="F136" s="204"/>
      <c r="G136" s="204">
        <v>16000</v>
      </c>
      <c r="H136" s="204"/>
      <c r="I136" s="20"/>
    </row>
    <row r="137" spans="1:9" s="1" customFormat="1" ht="22.5" customHeight="1">
      <c r="A137" s="173"/>
      <c r="B137" s="254">
        <v>85406</v>
      </c>
      <c r="C137" s="254"/>
      <c r="D137" s="208" t="s">
        <v>1037</v>
      </c>
      <c r="E137" s="231"/>
      <c r="F137" s="211"/>
      <c r="G137" s="211">
        <f>G138</f>
        <v>15000</v>
      </c>
      <c r="H137" s="211"/>
      <c r="I137" s="20"/>
    </row>
    <row r="138" spans="1:9" s="1" customFormat="1" ht="19.5" customHeight="1">
      <c r="A138" s="99"/>
      <c r="B138" s="99"/>
      <c r="C138" s="99"/>
      <c r="D138" s="196" t="s">
        <v>492</v>
      </c>
      <c r="E138" s="231"/>
      <c r="F138" s="197"/>
      <c r="G138" s="197">
        <f>G139</f>
        <v>15000</v>
      </c>
      <c r="H138" s="197"/>
      <c r="I138" s="20"/>
    </row>
    <row r="139" spans="1:9" s="1" customFormat="1" ht="19.5" customHeight="1">
      <c r="A139" s="202"/>
      <c r="B139" s="202"/>
      <c r="C139" s="181">
        <v>4010</v>
      </c>
      <c r="D139" s="181" t="s">
        <v>896</v>
      </c>
      <c r="E139" s="231"/>
      <c r="F139" s="204"/>
      <c r="G139" s="204">
        <v>15000</v>
      </c>
      <c r="H139" s="204"/>
      <c r="I139" s="20"/>
    </row>
    <row r="140" spans="1:9" s="1" customFormat="1" ht="19.5" customHeight="1">
      <c r="A140" s="173"/>
      <c r="B140" s="174">
        <v>85407</v>
      </c>
      <c r="C140" s="168"/>
      <c r="D140" s="168" t="s">
        <v>645</v>
      </c>
      <c r="E140" s="231"/>
      <c r="F140" s="194"/>
      <c r="G140" s="194">
        <f>G141+G143</f>
        <v>23250</v>
      </c>
      <c r="H140" s="194"/>
      <c r="I140" s="20"/>
    </row>
    <row r="141" spans="1:9" s="1" customFormat="1" ht="19.5" customHeight="1">
      <c r="A141" s="99"/>
      <c r="B141" s="99"/>
      <c r="C141" s="99"/>
      <c r="D141" s="196" t="s">
        <v>492</v>
      </c>
      <c r="E141" s="231"/>
      <c r="F141" s="197"/>
      <c r="G141" s="197">
        <f>G142</f>
        <v>10950</v>
      </c>
      <c r="H141" s="197"/>
      <c r="I141" s="20"/>
    </row>
    <row r="142" spans="1:9" s="1" customFormat="1" ht="19.5" customHeight="1">
      <c r="A142" s="181"/>
      <c r="B142" s="181"/>
      <c r="C142" s="181">
        <v>4010</v>
      </c>
      <c r="D142" s="181" t="s">
        <v>896</v>
      </c>
      <c r="E142" s="388"/>
      <c r="F142" s="204"/>
      <c r="G142" s="204">
        <v>10950</v>
      </c>
      <c r="H142" s="204"/>
      <c r="I142" s="20"/>
    </row>
    <row r="143" spans="1:9" s="1" customFormat="1" ht="19.5" customHeight="1">
      <c r="A143" s="202"/>
      <c r="B143" s="202"/>
      <c r="C143" s="202"/>
      <c r="D143" s="324" t="s">
        <v>1176</v>
      </c>
      <c r="E143" s="911"/>
      <c r="F143" s="237"/>
      <c r="G143" s="237">
        <f>G144</f>
        <v>12300</v>
      </c>
      <c r="H143" s="237"/>
      <c r="I143" s="20"/>
    </row>
    <row r="144" spans="1:9" s="143" customFormat="1" ht="19.5" customHeight="1">
      <c r="A144" s="202"/>
      <c r="B144" s="181"/>
      <c r="C144" s="181">
        <v>4260</v>
      </c>
      <c r="D144" s="181" t="s">
        <v>1177</v>
      </c>
      <c r="E144" s="220"/>
      <c r="F144" s="204"/>
      <c r="G144" s="204">
        <v>12300</v>
      </c>
      <c r="H144" s="204"/>
      <c r="I144" s="141"/>
    </row>
    <row r="145" spans="1:9" s="1" customFormat="1" ht="19.5" customHeight="1">
      <c r="A145" s="173"/>
      <c r="B145" s="168">
        <v>85410</v>
      </c>
      <c r="C145" s="168"/>
      <c r="D145" s="168" t="s">
        <v>646</v>
      </c>
      <c r="E145" s="388"/>
      <c r="F145" s="194"/>
      <c r="G145" s="194">
        <f>G146</f>
        <v>28606</v>
      </c>
      <c r="H145" s="194"/>
      <c r="I145" s="20"/>
    </row>
    <row r="146" spans="1:9" s="1" customFormat="1" ht="19.5" customHeight="1">
      <c r="A146" s="99"/>
      <c r="B146" s="99"/>
      <c r="C146" s="99"/>
      <c r="D146" s="324" t="s">
        <v>1176</v>
      </c>
      <c r="E146" s="231"/>
      <c r="F146" s="237"/>
      <c r="G146" s="237">
        <f>G147</f>
        <v>28606</v>
      </c>
      <c r="H146" s="237"/>
      <c r="I146" s="20"/>
    </row>
    <row r="147" spans="1:9" s="1" customFormat="1" ht="19.5" customHeight="1">
      <c r="A147" s="202"/>
      <c r="B147" s="181"/>
      <c r="C147" s="181">
        <v>4260</v>
      </c>
      <c r="D147" s="181" t="s">
        <v>1177</v>
      </c>
      <c r="E147" s="231"/>
      <c r="F147" s="204"/>
      <c r="G147" s="204">
        <v>28606</v>
      </c>
      <c r="H147" s="204"/>
      <c r="I147" s="20"/>
    </row>
    <row r="148" spans="1:9" s="1" customFormat="1" ht="19.5" customHeight="1">
      <c r="A148" s="173"/>
      <c r="B148" s="168">
        <v>85415</v>
      </c>
      <c r="C148" s="168"/>
      <c r="D148" s="168" t="s">
        <v>1179</v>
      </c>
      <c r="E148" s="388"/>
      <c r="F148" s="168"/>
      <c r="G148" s="194">
        <f>G149+G151</f>
        <v>89925</v>
      </c>
      <c r="H148" s="168"/>
      <c r="I148" s="20"/>
    </row>
    <row r="149" spans="1:9" s="1" customFormat="1" ht="19.5" customHeight="1">
      <c r="A149" s="99"/>
      <c r="B149" s="99"/>
      <c r="C149" s="99"/>
      <c r="D149" s="910" t="s">
        <v>1180</v>
      </c>
      <c r="E149" s="465"/>
      <c r="F149" s="910"/>
      <c r="G149" s="911">
        <f>G150</f>
        <v>27373</v>
      </c>
      <c r="H149" s="910"/>
      <c r="I149" s="20"/>
    </row>
    <row r="150" spans="1:9" s="1" customFormat="1" ht="19.5" customHeight="1">
      <c r="A150" s="202"/>
      <c r="B150" s="202"/>
      <c r="C150" s="181">
        <v>3240</v>
      </c>
      <c r="D150" s="181" t="s">
        <v>1181</v>
      </c>
      <c r="E150" s="231"/>
      <c r="F150" s="181"/>
      <c r="G150" s="204">
        <v>27373</v>
      </c>
      <c r="H150" s="181"/>
      <c r="I150" s="20"/>
    </row>
    <row r="151" spans="1:9" s="1" customFormat="1" ht="19.5" customHeight="1">
      <c r="A151" s="202"/>
      <c r="B151" s="202"/>
      <c r="C151" s="300"/>
      <c r="D151" s="324" t="s">
        <v>554</v>
      </c>
      <c r="E151" s="306"/>
      <c r="F151" s="324"/>
      <c r="G151" s="237">
        <f>G152</f>
        <v>62552</v>
      </c>
      <c r="H151" s="324"/>
      <c r="I151" s="20"/>
    </row>
    <row r="152" spans="1:9" s="1" customFormat="1" ht="19.5" customHeight="1">
      <c r="A152" s="202"/>
      <c r="B152" s="202"/>
      <c r="C152" s="181">
        <v>3240</v>
      </c>
      <c r="D152" s="181" t="s">
        <v>1181</v>
      </c>
      <c r="E152" s="388"/>
      <c r="F152" s="181"/>
      <c r="G152" s="204">
        <v>62552</v>
      </c>
      <c r="H152" s="181"/>
      <c r="I152" s="20"/>
    </row>
    <row r="153" spans="1:9" s="1" customFormat="1" ht="24.75" customHeight="1">
      <c r="A153" s="262"/>
      <c r="B153" s="262"/>
      <c r="C153" s="262"/>
      <c r="D153" s="262" t="s">
        <v>950</v>
      </c>
      <c r="E153" s="457"/>
      <c r="F153" s="262"/>
      <c r="G153" s="259"/>
      <c r="H153" s="259">
        <f aca="true" t="shared" si="3" ref="H153:H158">H154</f>
        <v>5000</v>
      </c>
      <c r="I153" s="20"/>
    </row>
    <row r="154" spans="1:9" s="1" customFormat="1" ht="19.5" customHeight="1" thickBot="1">
      <c r="A154" s="202"/>
      <c r="B154" s="202"/>
      <c r="C154" s="202"/>
      <c r="D154" s="230" t="s">
        <v>1172</v>
      </c>
      <c r="E154" s="256"/>
      <c r="F154" s="230"/>
      <c r="G154" s="169"/>
      <c r="H154" s="169">
        <f t="shared" si="3"/>
        <v>5000</v>
      </c>
      <c r="I154" s="20"/>
    </row>
    <row r="155" spans="1:9" s="1" customFormat="1" ht="19.5" customHeight="1" thickTop="1">
      <c r="A155" s="170">
        <v>851</v>
      </c>
      <c r="B155" s="170"/>
      <c r="C155" s="170"/>
      <c r="D155" s="192" t="s">
        <v>963</v>
      </c>
      <c r="E155" s="152"/>
      <c r="F155" s="192"/>
      <c r="G155" s="232"/>
      <c r="H155" s="232">
        <f t="shared" si="3"/>
        <v>5000</v>
      </c>
      <c r="I155" s="20"/>
    </row>
    <row r="156" spans="1:9" s="1" customFormat="1" ht="19.5" customHeight="1">
      <c r="A156" s="286"/>
      <c r="B156" s="174">
        <v>85154</v>
      </c>
      <c r="C156" s="174"/>
      <c r="D156" s="174" t="s">
        <v>1436</v>
      </c>
      <c r="E156" s="176"/>
      <c r="F156" s="174"/>
      <c r="G156" s="233"/>
      <c r="H156" s="233">
        <f t="shared" si="3"/>
        <v>5000</v>
      </c>
      <c r="I156" s="20"/>
    </row>
    <row r="157" spans="1:9" s="1" customFormat="1" ht="25.5" customHeight="1">
      <c r="A157" s="173"/>
      <c r="B157" s="286"/>
      <c r="C157" s="286"/>
      <c r="D157" s="271" t="s">
        <v>1431</v>
      </c>
      <c r="E157" s="179"/>
      <c r="F157" s="196"/>
      <c r="G157" s="197"/>
      <c r="H157" s="197">
        <f t="shared" si="3"/>
        <v>5000</v>
      </c>
      <c r="I157" s="20"/>
    </row>
    <row r="158" spans="1:9" s="1" customFormat="1" ht="19.5" customHeight="1">
      <c r="A158" s="173"/>
      <c r="B158" s="173"/>
      <c r="C158" s="173"/>
      <c r="D158" s="1105" t="s">
        <v>1435</v>
      </c>
      <c r="E158" s="455"/>
      <c r="F158" s="456"/>
      <c r="G158" s="452"/>
      <c r="H158" s="452">
        <f t="shared" si="3"/>
        <v>5000</v>
      </c>
      <c r="I158" s="20"/>
    </row>
    <row r="159" spans="1:9" s="1" customFormat="1" ht="19.5" customHeight="1">
      <c r="A159" s="173"/>
      <c r="B159" s="173"/>
      <c r="C159" s="181">
        <v>6060</v>
      </c>
      <c r="D159" s="181" t="s">
        <v>1005</v>
      </c>
      <c r="E159" s="220"/>
      <c r="F159" s="181"/>
      <c r="G159" s="204"/>
      <c r="H159" s="204">
        <v>5000</v>
      </c>
      <c r="I159" s="20"/>
    </row>
    <row r="160" spans="1:9" s="1" customFormat="1" ht="24.75" customHeight="1">
      <c r="A160" s="99"/>
      <c r="B160" s="99"/>
      <c r="C160" s="202"/>
      <c r="D160" s="238" t="s">
        <v>951</v>
      </c>
      <c r="E160" s="231"/>
      <c r="F160" s="239"/>
      <c r="G160" s="239">
        <f>G201+G161</f>
        <v>299651</v>
      </c>
      <c r="H160" s="239">
        <f>H201+H161</f>
        <v>214651</v>
      </c>
      <c r="I160" s="20"/>
    </row>
    <row r="161" spans="1:9" s="1" customFormat="1" ht="19.5" customHeight="1" thickBot="1">
      <c r="A161" s="99"/>
      <c r="B161" s="99"/>
      <c r="C161" s="202"/>
      <c r="D161" s="1106" t="s">
        <v>1172</v>
      </c>
      <c r="E161" s="231"/>
      <c r="F161" s="419"/>
      <c r="G161" s="419">
        <f>G169+G162+G194</f>
        <v>298636</v>
      </c>
      <c r="H161" s="419">
        <f>H169+H162+H194</f>
        <v>213636</v>
      </c>
      <c r="I161" s="20"/>
    </row>
    <row r="162" spans="1:9" s="1" customFormat="1" ht="19.5" customHeight="1" thickTop="1">
      <c r="A162" s="170">
        <v>700</v>
      </c>
      <c r="B162" s="170"/>
      <c r="C162" s="170"/>
      <c r="D162" s="422" t="s">
        <v>1422</v>
      </c>
      <c r="E162" s="423"/>
      <c r="F162" s="424"/>
      <c r="G162" s="424">
        <f>G163</f>
        <v>18716</v>
      </c>
      <c r="H162" s="424">
        <f>H163</f>
        <v>18716</v>
      </c>
      <c r="I162" s="20"/>
    </row>
    <row r="163" spans="1:9" s="1" customFormat="1" ht="19.5" customHeight="1">
      <c r="A163" s="99"/>
      <c r="B163" s="174">
        <v>70001</v>
      </c>
      <c r="C163" s="299"/>
      <c r="D163" s="431" t="s">
        <v>1423</v>
      </c>
      <c r="E163" s="176"/>
      <c r="F163" s="278"/>
      <c r="G163" s="278">
        <f>G164</f>
        <v>18716</v>
      </c>
      <c r="H163" s="278">
        <f>H164</f>
        <v>18716</v>
      </c>
      <c r="I163" s="20"/>
    </row>
    <row r="164" spans="1:9" s="1" customFormat="1" ht="19.5" customHeight="1">
      <c r="A164" s="99"/>
      <c r="B164" s="178"/>
      <c r="C164" s="300"/>
      <c r="D164" s="432" t="s">
        <v>814</v>
      </c>
      <c r="E164" s="179"/>
      <c r="F164" s="433"/>
      <c r="G164" s="433">
        <f>G167</f>
        <v>18716</v>
      </c>
      <c r="H164" s="433">
        <f>H167</f>
        <v>18716</v>
      </c>
      <c r="I164" s="20"/>
    </row>
    <row r="165" spans="1:9" s="1" customFormat="1" ht="19.5" customHeight="1">
      <c r="A165" s="99"/>
      <c r="B165" s="99"/>
      <c r="C165" s="202"/>
      <c r="D165" s="426" t="s">
        <v>1424</v>
      </c>
      <c r="E165" s="387"/>
      <c r="F165" s="427"/>
      <c r="G165" s="279">
        <v>18716</v>
      </c>
      <c r="H165" s="279"/>
      <c r="I165" s="20"/>
    </row>
    <row r="166" spans="1:9" s="1" customFormat="1" ht="19.5" customHeight="1">
      <c r="A166" s="99"/>
      <c r="B166" s="99"/>
      <c r="C166" s="202"/>
      <c r="D166" s="428" t="s">
        <v>1425</v>
      </c>
      <c r="E166" s="429"/>
      <c r="F166" s="430"/>
      <c r="G166" s="471"/>
      <c r="H166" s="471">
        <v>18716</v>
      </c>
      <c r="I166" s="20"/>
    </row>
    <row r="167" spans="1:9" s="1" customFormat="1" ht="19.5" customHeight="1">
      <c r="A167" s="99"/>
      <c r="B167" s="99"/>
      <c r="C167" s="202">
        <v>2650</v>
      </c>
      <c r="D167" s="1358" t="s">
        <v>1426</v>
      </c>
      <c r="E167" s="940"/>
      <c r="F167" s="419"/>
      <c r="G167" s="1003">
        <f>G165+G166</f>
        <v>18716</v>
      </c>
      <c r="H167" s="1003">
        <f>H165+H166</f>
        <v>18716</v>
      </c>
      <c r="I167" s="20"/>
    </row>
    <row r="168" spans="1:9" s="1" customFormat="1" ht="63" customHeight="1">
      <c r="A168" s="1108"/>
      <c r="B168" s="1108"/>
      <c r="C168" s="1109"/>
      <c r="D168" s="1359"/>
      <c r="E168" s="1111"/>
      <c r="F168" s="1268"/>
      <c r="G168" s="1360"/>
      <c r="H168" s="1360"/>
      <c r="I168" s="20"/>
    </row>
    <row r="169" spans="1:9" s="1" customFormat="1" ht="19.5" customHeight="1">
      <c r="A169" s="192">
        <v>851</v>
      </c>
      <c r="B169" s="192"/>
      <c r="C169" s="425"/>
      <c r="D169" s="10" t="s">
        <v>963</v>
      </c>
      <c r="E169" s="277"/>
      <c r="F169" s="267"/>
      <c r="G169" s="267">
        <f>G170+G174</f>
        <v>276920</v>
      </c>
      <c r="H169" s="267">
        <f>H170+H174</f>
        <v>191920</v>
      </c>
      <c r="I169" s="20"/>
    </row>
    <row r="170" spans="1:9" s="1" customFormat="1" ht="19.5" customHeight="1">
      <c r="A170" s="173"/>
      <c r="B170" s="174">
        <v>85121</v>
      </c>
      <c r="C170" s="205"/>
      <c r="D170" s="275" t="s">
        <v>688</v>
      </c>
      <c r="E170" s="231"/>
      <c r="F170" s="278"/>
      <c r="G170" s="278">
        <f>G171</f>
        <v>80000</v>
      </c>
      <c r="H170" s="278"/>
      <c r="I170" s="20"/>
    </row>
    <row r="171" spans="1:9" s="1" customFormat="1" ht="19.5" customHeight="1">
      <c r="A171" s="99"/>
      <c r="B171" s="99"/>
      <c r="C171" s="202"/>
      <c r="D171" s="273" t="s">
        <v>689</v>
      </c>
      <c r="E171" s="231"/>
      <c r="F171" s="268"/>
      <c r="G171" s="268">
        <f>G172</f>
        <v>80000</v>
      </c>
      <c r="H171" s="268"/>
      <c r="I171" s="20"/>
    </row>
    <row r="172" spans="1:9" s="1" customFormat="1" ht="27.75" customHeight="1">
      <c r="A172" s="99"/>
      <c r="B172" s="99"/>
      <c r="C172" s="202"/>
      <c r="D172" s="274" t="s">
        <v>510</v>
      </c>
      <c r="E172" s="231"/>
      <c r="F172" s="279"/>
      <c r="G172" s="279">
        <f>G173</f>
        <v>80000</v>
      </c>
      <c r="H172" s="279"/>
      <c r="I172" s="20"/>
    </row>
    <row r="173" spans="1:9" s="1" customFormat="1" ht="27.75" customHeight="1">
      <c r="A173" s="99"/>
      <c r="B173" s="99"/>
      <c r="C173" s="202">
        <v>6220</v>
      </c>
      <c r="D173" s="458" t="s">
        <v>511</v>
      </c>
      <c r="E173" s="231"/>
      <c r="F173" s="459"/>
      <c r="G173" s="459">
        <v>80000</v>
      </c>
      <c r="H173" s="459"/>
      <c r="I173" s="20"/>
    </row>
    <row r="174" spans="1:9" s="1" customFormat="1" ht="19.5" customHeight="1">
      <c r="A174" s="99"/>
      <c r="B174" s="174">
        <v>85154</v>
      </c>
      <c r="C174" s="174"/>
      <c r="D174" s="174" t="s">
        <v>1430</v>
      </c>
      <c r="E174" s="176"/>
      <c r="F174" s="278"/>
      <c r="G174" s="278">
        <f>G175</f>
        <v>196920</v>
      </c>
      <c r="H174" s="278">
        <f>H175</f>
        <v>191920</v>
      </c>
      <c r="I174" s="20"/>
    </row>
    <row r="175" spans="1:9" s="1" customFormat="1" ht="19.5" customHeight="1">
      <c r="A175" s="99"/>
      <c r="B175" s="99"/>
      <c r="C175" s="300"/>
      <c r="D175" s="271" t="s">
        <v>1431</v>
      </c>
      <c r="E175" s="460"/>
      <c r="F175" s="433"/>
      <c r="G175" s="433">
        <f>G184+G189+G191+G176</f>
        <v>196920</v>
      </c>
      <c r="H175" s="433">
        <f>H184+H189+H191+H176</f>
        <v>191920</v>
      </c>
      <c r="I175" s="20"/>
    </row>
    <row r="176" spans="1:9" s="1" customFormat="1" ht="25.5" customHeight="1">
      <c r="A176" s="99"/>
      <c r="B176" s="99"/>
      <c r="C176" s="202"/>
      <c r="D176" s="451" t="s">
        <v>1439</v>
      </c>
      <c r="E176" s="461"/>
      <c r="F176" s="462"/>
      <c r="G176" s="462">
        <f>G183+G179</f>
        <v>133848</v>
      </c>
      <c r="H176" s="462">
        <f>H183+H179</f>
        <v>133848</v>
      </c>
      <c r="I176" s="20"/>
    </row>
    <row r="177" spans="1:9" s="1" customFormat="1" ht="19.5" customHeight="1">
      <c r="A177" s="99"/>
      <c r="B177" s="99"/>
      <c r="C177" s="202"/>
      <c r="D177" s="472" t="s">
        <v>665</v>
      </c>
      <c r="E177" s="473"/>
      <c r="F177" s="474"/>
      <c r="G177" s="474"/>
      <c r="H177" s="474">
        <v>9608</v>
      </c>
      <c r="I177" s="20"/>
    </row>
    <row r="178" spans="1:9" s="1" customFormat="1" ht="19.5" customHeight="1">
      <c r="A178" s="99"/>
      <c r="B178" s="99"/>
      <c r="C178" s="202"/>
      <c r="D178" s="1340" t="s">
        <v>1440</v>
      </c>
      <c r="E178" s="390"/>
      <c r="F178" s="1341"/>
      <c r="G178" s="1341">
        <v>12848</v>
      </c>
      <c r="H178" s="1341"/>
      <c r="I178" s="20"/>
    </row>
    <row r="179" spans="1:9" s="1" customFormat="1" ht="26.25" customHeight="1">
      <c r="A179" s="99"/>
      <c r="B179" s="99"/>
      <c r="C179" s="181">
        <v>2810</v>
      </c>
      <c r="D179" s="203" t="s">
        <v>664</v>
      </c>
      <c r="E179" s="1344"/>
      <c r="F179" s="412"/>
      <c r="G179" s="412">
        <f>SUM(G177:G178)</f>
        <v>12848</v>
      </c>
      <c r="H179" s="412">
        <f>SUM(H177:H178)</f>
        <v>9608</v>
      </c>
      <c r="I179" s="20"/>
    </row>
    <row r="180" spans="1:9" s="1" customFormat="1" ht="24.75" customHeight="1">
      <c r="A180" s="99"/>
      <c r="B180" s="99"/>
      <c r="C180" s="202"/>
      <c r="D180" s="1340" t="s">
        <v>1441</v>
      </c>
      <c r="E180" s="390"/>
      <c r="F180" s="1341"/>
      <c r="G180" s="1341"/>
      <c r="H180" s="1341">
        <v>106306</v>
      </c>
      <c r="I180" s="20"/>
    </row>
    <row r="181" spans="1:9" s="1" customFormat="1" ht="19.5" customHeight="1">
      <c r="A181" s="99"/>
      <c r="B181" s="99"/>
      <c r="C181" s="202"/>
      <c r="D181" s="1340" t="s">
        <v>666</v>
      </c>
      <c r="E181" s="390"/>
      <c r="F181" s="1341"/>
      <c r="G181" s="1341"/>
      <c r="H181" s="1341">
        <v>17934</v>
      </c>
      <c r="I181" s="20"/>
    </row>
    <row r="182" spans="1:9" s="1" customFormat="1" ht="19.5" customHeight="1">
      <c r="A182" s="99"/>
      <c r="B182" s="99"/>
      <c r="C182" s="202"/>
      <c r="D182" s="469" t="s">
        <v>1440</v>
      </c>
      <c r="E182" s="470"/>
      <c r="F182" s="471"/>
      <c r="G182" s="471">
        <f>73000+48000</f>
        <v>121000</v>
      </c>
      <c r="H182" s="471"/>
      <c r="I182" s="20"/>
    </row>
    <row r="183" spans="1:9" s="1" customFormat="1" ht="26.25" customHeight="1">
      <c r="A183" s="99"/>
      <c r="B183" s="99"/>
      <c r="C183" s="181">
        <v>2820</v>
      </c>
      <c r="D183" s="203" t="s">
        <v>1442</v>
      </c>
      <c r="E183" s="388"/>
      <c r="F183" s="412"/>
      <c r="G183" s="412">
        <f>SUM(G180:G182)</f>
        <v>121000</v>
      </c>
      <c r="H183" s="412">
        <f>SUM(H180:H182)</f>
        <v>124240</v>
      </c>
      <c r="I183" s="20"/>
    </row>
    <row r="184" spans="1:9" s="1" customFormat="1" ht="27.75" customHeight="1">
      <c r="A184" s="99"/>
      <c r="B184" s="99"/>
      <c r="C184" s="202"/>
      <c r="D184" s="466" t="s">
        <v>513</v>
      </c>
      <c r="E184" s="467"/>
      <c r="F184" s="468"/>
      <c r="G184" s="468">
        <f>G185+G188</f>
        <v>61000</v>
      </c>
      <c r="H184" s="468">
        <f>H188</f>
        <v>55000</v>
      </c>
      <c r="I184" s="20"/>
    </row>
    <row r="185" spans="1:9" s="1" customFormat="1" ht="19.5" customHeight="1">
      <c r="A185" s="99"/>
      <c r="B185" s="99"/>
      <c r="C185" s="181">
        <v>4300</v>
      </c>
      <c r="D185" s="181" t="s">
        <v>1173</v>
      </c>
      <c r="E185" s="388"/>
      <c r="F185" s="412"/>
      <c r="G185" s="412">
        <v>6000</v>
      </c>
      <c r="H185" s="412"/>
      <c r="I185" s="20"/>
    </row>
    <row r="186" spans="1:9" s="1" customFormat="1" ht="19.5" customHeight="1">
      <c r="A186" s="99"/>
      <c r="B186" s="99"/>
      <c r="C186" s="202"/>
      <c r="D186" s="1336" t="s">
        <v>665</v>
      </c>
      <c r="E186" s="1337"/>
      <c r="F186" s="1338"/>
      <c r="G186" s="1338"/>
      <c r="H186" s="1338">
        <v>55000</v>
      </c>
      <c r="I186" s="20"/>
    </row>
    <row r="187" spans="1:9" s="1" customFormat="1" ht="19.5" customHeight="1">
      <c r="A187" s="99"/>
      <c r="B187" s="99"/>
      <c r="C187" s="202"/>
      <c r="D187" s="1339" t="s">
        <v>1440</v>
      </c>
      <c r="E187" s="470"/>
      <c r="F187" s="471"/>
      <c r="G187" s="471">
        <v>55000</v>
      </c>
      <c r="H187" s="471"/>
      <c r="I187" s="20"/>
    </row>
    <row r="188" spans="1:9" s="1" customFormat="1" ht="27" customHeight="1">
      <c r="A188" s="99"/>
      <c r="B188" s="99"/>
      <c r="C188" s="202">
        <v>2810</v>
      </c>
      <c r="D188" s="1107" t="s">
        <v>664</v>
      </c>
      <c r="E188" s="231"/>
      <c r="F188" s="1003"/>
      <c r="G188" s="1003">
        <f>G186+G187</f>
        <v>55000</v>
      </c>
      <c r="H188" s="1003">
        <f>H186+H187</f>
        <v>55000</v>
      </c>
      <c r="I188" s="20"/>
    </row>
    <row r="189" spans="1:9" s="1" customFormat="1" ht="26.25" customHeight="1">
      <c r="A189" s="99"/>
      <c r="B189" s="99"/>
      <c r="C189" s="300"/>
      <c r="D189" s="382" t="s">
        <v>1437</v>
      </c>
      <c r="E189" s="463"/>
      <c r="F189" s="464"/>
      <c r="G189" s="464">
        <f>G190</f>
        <v>2072</v>
      </c>
      <c r="H189" s="464"/>
      <c r="I189" s="20"/>
    </row>
    <row r="190" spans="1:9" s="1" customFormat="1" ht="19.5" customHeight="1">
      <c r="A190" s="99"/>
      <c r="B190" s="99"/>
      <c r="C190" s="181">
        <v>4300</v>
      </c>
      <c r="D190" s="181" t="s">
        <v>1173</v>
      </c>
      <c r="E190" s="388"/>
      <c r="F190" s="412"/>
      <c r="G190" s="412">
        <v>2072</v>
      </c>
      <c r="H190" s="412"/>
      <c r="I190" s="20"/>
    </row>
    <row r="191" spans="1:9" s="1" customFormat="1" ht="19.5" customHeight="1">
      <c r="A191" s="99"/>
      <c r="B191" s="99"/>
      <c r="C191" s="300"/>
      <c r="D191" s="454" t="s">
        <v>1435</v>
      </c>
      <c r="E191" s="465"/>
      <c r="F191" s="268"/>
      <c r="G191" s="268"/>
      <c r="H191" s="268">
        <f>H192</f>
        <v>3072</v>
      </c>
      <c r="I191" s="20"/>
    </row>
    <row r="192" spans="1:9" s="1" customFormat="1" ht="19.5" customHeight="1">
      <c r="A192" s="99"/>
      <c r="B192" s="99"/>
      <c r="C192" s="202">
        <v>4300</v>
      </c>
      <c r="D192" s="202" t="s">
        <v>1173</v>
      </c>
      <c r="E192" s="1361"/>
      <c r="F192" s="1362"/>
      <c r="G192" s="1362"/>
      <c r="H192" s="1362">
        <v>3072</v>
      </c>
      <c r="I192" s="20"/>
    </row>
    <row r="193" spans="1:9" s="1" customFormat="1" ht="40.5" customHeight="1">
      <c r="A193" s="1108"/>
      <c r="B193" s="1108"/>
      <c r="C193" s="1109"/>
      <c r="D193" s="1109"/>
      <c r="E193" s="1111"/>
      <c r="F193" s="1360"/>
      <c r="G193" s="1360"/>
      <c r="H193" s="1360"/>
      <c r="I193" s="20"/>
    </row>
    <row r="194" spans="1:9" s="1" customFormat="1" ht="19.5" customHeight="1">
      <c r="A194" s="192">
        <v>921</v>
      </c>
      <c r="B194" s="192"/>
      <c r="C194" s="192"/>
      <c r="D194" s="192" t="s">
        <v>1443</v>
      </c>
      <c r="E194" s="231"/>
      <c r="F194" s="232"/>
      <c r="G194" s="232">
        <f>G195</f>
        <v>3000</v>
      </c>
      <c r="H194" s="232">
        <f>H195</f>
        <v>3000</v>
      </c>
      <c r="I194" s="20"/>
    </row>
    <row r="195" spans="1:9" s="1" customFormat="1" ht="19.5" customHeight="1">
      <c r="A195" s="99"/>
      <c r="B195" s="174">
        <v>92105</v>
      </c>
      <c r="C195" s="174"/>
      <c r="D195" s="174" t="s">
        <v>1492</v>
      </c>
      <c r="E195" s="231"/>
      <c r="F195" s="233"/>
      <c r="G195" s="233">
        <f>G196</f>
        <v>3000</v>
      </c>
      <c r="H195" s="233">
        <f>H196+H199</f>
        <v>3000</v>
      </c>
      <c r="I195" s="20"/>
    </row>
    <row r="196" spans="1:9" s="1" customFormat="1" ht="19.5" customHeight="1">
      <c r="A196" s="99"/>
      <c r="B196" s="99"/>
      <c r="C196" s="202"/>
      <c r="D196" s="196" t="s">
        <v>809</v>
      </c>
      <c r="E196" s="231"/>
      <c r="F196" s="197"/>
      <c r="G196" s="197">
        <f>G197</f>
        <v>3000</v>
      </c>
      <c r="H196" s="197"/>
      <c r="I196" s="20"/>
    </row>
    <row r="197" spans="1:9" s="1" customFormat="1" ht="20.25" customHeight="1">
      <c r="A197" s="99"/>
      <c r="B197" s="99"/>
      <c r="C197" s="202"/>
      <c r="D197" s="451" t="s">
        <v>1493</v>
      </c>
      <c r="E197" s="231"/>
      <c r="F197" s="452"/>
      <c r="G197" s="452">
        <f>G198</f>
        <v>3000</v>
      </c>
      <c r="H197" s="452"/>
      <c r="I197" s="20"/>
    </row>
    <row r="198" spans="1:9" s="1" customFormat="1" ht="19.5" customHeight="1">
      <c r="A198" s="99"/>
      <c r="B198" s="99"/>
      <c r="C198" s="181">
        <v>4300</v>
      </c>
      <c r="D198" s="181" t="s">
        <v>1173</v>
      </c>
      <c r="E198" s="231"/>
      <c r="F198" s="204"/>
      <c r="G198" s="204">
        <v>3000</v>
      </c>
      <c r="H198" s="204"/>
      <c r="I198" s="20"/>
    </row>
    <row r="199" spans="1:9" s="1" customFormat="1" ht="19.5" customHeight="1">
      <c r="A199" s="99"/>
      <c r="B199" s="99"/>
      <c r="C199" s="202"/>
      <c r="D199" s="196" t="s">
        <v>1495</v>
      </c>
      <c r="E199" s="231"/>
      <c r="F199" s="197"/>
      <c r="G199" s="197"/>
      <c r="H199" s="197">
        <f>H200</f>
        <v>3000</v>
      </c>
      <c r="I199" s="20"/>
    </row>
    <row r="200" spans="1:9" s="1" customFormat="1" ht="19.5" customHeight="1">
      <c r="A200" s="99"/>
      <c r="B200" s="99"/>
      <c r="C200" s="181">
        <v>3240</v>
      </c>
      <c r="D200" s="181" t="s">
        <v>1181</v>
      </c>
      <c r="E200" s="231"/>
      <c r="F200" s="204"/>
      <c r="G200" s="204"/>
      <c r="H200" s="204">
        <v>3000</v>
      </c>
      <c r="I200" s="20"/>
    </row>
    <row r="201" spans="1:9" s="1" customFormat="1" ht="19.5" customHeight="1" thickBot="1">
      <c r="A201" s="168"/>
      <c r="B201" s="168"/>
      <c r="C201" s="168"/>
      <c r="D201" s="230" t="s">
        <v>496</v>
      </c>
      <c r="E201" s="231"/>
      <c r="F201" s="169"/>
      <c r="G201" s="169">
        <f>G202</f>
        <v>1015</v>
      </c>
      <c r="H201" s="169">
        <f>H202</f>
        <v>1015</v>
      </c>
      <c r="I201" s="20"/>
    </row>
    <row r="202" spans="1:9" s="1" customFormat="1" ht="19.5" customHeight="1" thickTop="1">
      <c r="A202" s="192">
        <v>853</v>
      </c>
      <c r="B202" s="192"/>
      <c r="C202" s="192"/>
      <c r="D202" s="171" t="s">
        <v>684</v>
      </c>
      <c r="E202" s="165"/>
      <c r="F202" s="232"/>
      <c r="G202" s="232">
        <f>G203</f>
        <v>1015</v>
      </c>
      <c r="H202" s="232">
        <f>H203</f>
        <v>1015</v>
      </c>
      <c r="I202" s="20"/>
    </row>
    <row r="203" spans="1:9" s="1" customFormat="1" ht="19.5" customHeight="1">
      <c r="A203" s="99"/>
      <c r="B203" s="174">
        <v>85321</v>
      </c>
      <c r="C203" s="174"/>
      <c r="D203" s="168" t="s">
        <v>685</v>
      </c>
      <c r="E203" s="165"/>
      <c r="F203" s="233"/>
      <c r="G203" s="233">
        <f>G204</f>
        <v>1015</v>
      </c>
      <c r="H203" s="233">
        <f>H204+H206</f>
        <v>1015</v>
      </c>
      <c r="I203" s="20"/>
    </row>
    <row r="204" spans="1:9" s="1" customFormat="1" ht="19.5" customHeight="1">
      <c r="A204" s="99"/>
      <c r="B204" s="173"/>
      <c r="C204" s="173"/>
      <c r="D204" s="196" t="s">
        <v>492</v>
      </c>
      <c r="E204" s="167"/>
      <c r="F204" s="234"/>
      <c r="G204" s="237">
        <f>G205</f>
        <v>1015</v>
      </c>
      <c r="H204" s="234"/>
      <c r="I204" s="20"/>
    </row>
    <row r="205" spans="1:9" s="1" customFormat="1" ht="19.5" customHeight="1">
      <c r="A205" s="99"/>
      <c r="B205" s="173"/>
      <c r="C205" s="181">
        <v>4010</v>
      </c>
      <c r="D205" s="202" t="s">
        <v>896</v>
      </c>
      <c r="E205" s="164"/>
      <c r="F205" s="204"/>
      <c r="G205" s="204">
        <v>1015</v>
      </c>
      <c r="H205" s="235"/>
      <c r="I205" s="20"/>
    </row>
    <row r="206" spans="1:9" s="1" customFormat="1" ht="19.5" customHeight="1">
      <c r="A206" s="99"/>
      <c r="B206" s="173"/>
      <c r="C206" s="202"/>
      <c r="D206" s="209" t="s">
        <v>1176</v>
      </c>
      <c r="E206" s="228"/>
      <c r="F206" s="236"/>
      <c r="G206" s="236"/>
      <c r="H206" s="197">
        <f>SUM(H207:H209)</f>
        <v>1015</v>
      </c>
      <c r="I206" s="20"/>
    </row>
    <row r="207" spans="1:9" s="1" customFormat="1" ht="19.5" customHeight="1">
      <c r="A207" s="99"/>
      <c r="B207" s="173"/>
      <c r="C207" s="181">
        <v>4210</v>
      </c>
      <c r="D207" s="203" t="s">
        <v>1174</v>
      </c>
      <c r="E207" s="164"/>
      <c r="F207" s="204"/>
      <c r="G207" s="204"/>
      <c r="H207" s="204">
        <v>500</v>
      </c>
      <c r="I207" s="20"/>
    </row>
    <row r="208" spans="1:9" s="1" customFormat="1" ht="19.5" customHeight="1">
      <c r="A208" s="99"/>
      <c r="B208" s="99"/>
      <c r="C208" s="205">
        <v>4300</v>
      </c>
      <c r="D208" s="206" t="s">
        <v>1173</v>
      </c>
      <c r="E208" s="227"/>
      <c r="F208" s="222"/>
      <c r="G208" s="222"/>
      <c r="H208" s="222">
        <v>500</v>
      </c>
      <c r="I208" s="20"/>
    </row>
    <row r="209" spans="1:9" s="1" customFormat="1" ht="19.5" customHeight="1">
      <c r="A209" s="99"/>
      <c r="B209" s="99"/>
      <c r="C209" s="205">
        <v>4440</v>
      </c>
      <c r="D209" s="206" t="s">
        <v>630</v>
      </c>
      <c r="E209" s="165"/>
      <c r="F209" s="204"/>
      <c r="G209" s="204"/>
      <c r="H209" s="204">
        <v>15</v>
      </c>
      <c r="I209" s="20"/>
    </row>
    <row r="210" spans="1:9" s="1" customFormat="1" ht="24" customHeight="1">
      <c r="A210" s="99"/>
      <c r="B210" s="99"/>
      <c r="C210" s="202"/>
      <c r="D210" s="238" t="s">
        <v>952</v>
      </c>
      <c r="E210" s="231"/>
      <c r="F210" s="239"/>
      <c r="G210" s="239">
        <f>G211</f>
        <v>1170000</v>
      </c>
      <c r="H210" s="239">
        <f>H211</f>
        <v>1250000</v>
      </c>
      <c r="I210" s="20"/>
    </row>
    <row r="211" spans="1:9" s="1" customFormat="1" ht="18.75" customHeight="1" thickBot="1">
      <c r="A211" s="173"/>
      <c r="B211" s="173"/>
      <c r="C211" s="173"/>
      <c r="D211" s="230" t="s">
        <v>1172</v>
      </c>
      <c r="E211" s="231"/>
      <c r="F211" s="169"/>
      <c r="G211" s="169">
        <f>G212+G218+G223</f>
        <v>1170000</v>
      </c>
      <c r="H211" s="169">
        <f>H212+H218+H223</f>
        <v>1250000</v>
      </c>
      <c r="I211" s="20"/>
    </row>
    <row r="212" spans="1:9" s="1" customFormat="1" ht="18.75" customHeight="1" thickTop="1">
      <c r="A212" s="170">
        <v>600</v>
      </c>
      <c r="B212" s="170"/>
      <c r="C212" s="170"/>
      <c r="D212" s="315" t="s">
        <v>551</v>
      </c>
      <c r="E212" s="231"/>
      <c r="F212" s="316"/>
      <c r="G212" s="316">
        <f>G213</f>
        <v>670000</v>
      </c>
      <c r="H212" s="316">
        <f>H213</f>
        <v>670000</v>
      </c>
      <c r="I212" s="20"/>
    </row>
    <row r="213" spans="1:9" s="1" customFormat="1" ht="18.75" customHeight="1">
      <c r="A213" s="99"/>
      <c r="B213" s="168">
        <v>60015</v>
      </c>
      <c r="C213" s="168"/>
      <c r="D213" s="168" t="s">
        <v>1123</v>
      </c>
      <c r="E213" s="231"/>
      <c r="F213" s="194"/>
      <c r="G213" s="194">
        <f>G214</f>
        <v>670000</v>
      </c>
      <c r="H213" s="194">
        <f>H214</f>
        <v>670000</v>
      </c>
      <c r="I213" s="20"/>
    </row>
    <row r="214" spans="1:9" s="1" customFormat="1" ht="18.75" customHeight="1">
      <c r="A214" s="99"/>
      <c r="B214" s="99"/>
      <c r="C214" s="99"/>
      <c r="D214" s="196" t="s">
        <v>1125</v>
      </c>
      <c r="E214" s="231"/>
      <c r="F214" s="197"/>
      <c r="G214" s="237">
        <f>G217</f>
        <v>670000</v>
      </c>
      <c r="H214" s="237">
        <f>H217</f>
        <v>670000</v>
      </c>
      <c r="I214" s="20"/>
    </row>
    <row r="215" spans="1:9" s="1" customFormat="1" ht="18.75" customHeight="1">
      <c r="A215" s="202"/>
      <c r="B215" s="202"/>
      <c r="C215" s="202"/>
      <c r="D215" s="386" t="s">
        <v>1486</v>
      </c>
      <c r="E215" s="231"/>
      <c r="F215" s="285"/>
      <c r="G215" s="285">
        <v>670000</v>
      </c>
      <c r="H215" s="285"/>
      <c r="I215" s="20"/>
    </row>
    <row r="216" spans="1:9" s="1" customFormat="1" ht="18.75" customHeight="1">
      <c r="A216" s="202"/>
      <c r="B216" s="202"/>
      <c r="C216" s="202"/>
      <c r="D216" s="469" t="s">
        <v>1487</v>
      </c>
      <c r="E216" s="231"/>
      <c r="F216" s="429"/>
      <c r="G216" s="938"/>
      <c r="H216" s="938">
        <v>670000</v>
      </c>
      <c r="I216" s="20"/>
    </row>
    <row r="217" spans="1:9" s="1" customFormat="1" ht="18.75" customHeight="1">
      <c r="A217" s="202"/>
      <c r="B217" s="202"/>
      <c r="C217" s="181">
        <v>6050</v>
      </c>
      <c r="D217" s="181" t="s">
        <v>1124</v>
      </c>
      <c r="E217" s="231"/>
      <c r="F217" s="204"/>
      <c r="G217" s="942">
        <f>SUM(G215:G216)</f>
        <v>670000</v>
      </c>
      <c r="H217" s="942">
        <f>SUM(H215:H216)</f>
        <v>670000</v>
      </c>
      <c r="I217" s="20"/>
    </row>
    <row r="218" spans="1:9" s="1" customFormat="1" ht="20.25" customHeight="1">
      <c r="A218" s="170">
        <v>851</v>
      </c>
      <c r="B218" s="170"/>
      <c r="C218" s="192"/>
      <c r="D218" s="276" t="s">
        <v>963</v>
      </c>
      <c r="E218" s="280"/>
      <c r="F218" s="232"/>
      <c r="G218" s="232"/>
      <c r="H218" s="232">
        <f>H219</f>
        <v>80000</v>
      </c>
      <c r="I218" s="20"/>
    </row>
    <row r="219" spans="1:9" s="1" customFormat="1" ht="20.25" customHeight="1">
      <c r="A219" s="286"/>
      <c r="B219" s="168">
        <v>85121</v>
      </c>
      <c r="C219" s="168"/>
      <c r="D219" s="272" t="s">
        <v>688</v>
      </c>
      <c r="E219" s="281"/>
      <c r="F219" s="194"/>
      <c r="G219" s="194"/>
      <c r="H219" s="194">
        <f>H220</f>
        <v>80000</v>
      </c>
      <c r="I219" s="20"/>
    </row>
    <row r="220" spans="1:9" s="1" customFormat="1" ht="20.25" customHeight="1">
      <c r="A220" s="202"/>
      <c r="B220" s="202"/>
      <c r="C220" s="202"/>
      <c r="D220" s="282" t="s">
        <v>495</v>
      </c>
      <c r="E220" s="165"/>
      <c r="F220" s="197"/>
      <c r="G220" s="197"/>
      <c r="H220" s="197">
        <f>H221</f>
        <v>80000</v>
      </c>
      <c r="I220" s="20"/>
    </row>
    <row r="221" spans="1:9" s="1" customFormat="1" ht="24.75" customHeight="1">
      <c r="A221" s="202"/>
      <c r="B221" s="202"/>
      <c r="C221" s="202"/>
      <c r="D221" s="283" t="s">
        <v>512</v>
      </c>
      <c r="E221" s="165"/>
      <c r="F221" s="285"/>
      <c r="G221" s="285"/>
      <c r="H221" s="285">
        <f>H222</f>
        <v>80000</v>
      </c>
      <c r="I221" s="20"/>
    </row>
    <row r="222" spans="1:9" s="1" customFormat="1" ht="31.5" customHeight="1">
      <c r="A222" s="181"/>
      <c r="B222" s="181"/>
      <c r="C222" s="181">
        <v>6220</v>
      </c>
      <c r="D222" s="284" t="s">
        <v>511</v>
      </c>
      <c r="E222" s="164"/>
      <c r="F222" s="204"/>
      <c r="G222" s="204"/>
      <c r="H222" s="204">
        <v>80000</v>
      </c>
      <c r="I222" s="20"/>
    </row>
    <row r="223" spans="1:9" s="1" customFormat="1" ht="20.25" customHeight="1">
      <c r="A223" s="192">
        <v>900</v>
      </c>
      <c r="B223" s="192"/>
      <c r="C223" s="192"/>
      <c r="D223" s="192" t="s">
        <v>1128</v>
      </c>
      <c r="E223" s="231"/>
      <c r="F223" s="232"/>
      <c r="G223" s="232">
        <f>G224+G228+G233</f>
        <v>500000</v>
      </c>
      <c r="H223" s="232">
        <f>H224+H228+H233</f>
        <v>500000</v>
      </c>
      <c r="I223" s="20"/>
    </row>
    <row r="224" spans="1:9" s="1" customFormat="1" ht="20.25" customHeight="1">
      <c r="A224" s="173"/>
      <c r="B224" s="174">
        <v>90001</v>
      </c>
      <c r="C224" s="174"/>
      <c r="D224" s="174" t="s">
        <v>1129</v>
      </c>
      <c r="E224" s="231"/>
      <c r="F224" s="233"/>
      <c r="G224" s="233"/>
      <c r="H224" s="233">
        <f>H225</f>
        <v>100000</v>
      </c>
      <c r="I224" s="20"/>
    </row>
    <row r="225" spans="1:9" s="1" customFormat="1" ht="20.25" customHeight="1">
      <c r="A225" s="99"/>
      <c r="B225" s="99"/>
      <c r="C225" s="99"/>
      <c r="D225" s="196" t="s">
        <v>1125</v>
      </c>
      <c r="E225" s="231"/>
      <c r="F225" s="197"/>
      <c r="G225" s="197"/>
      <c r="H225" s="197">
        <f>H227</f>
        <v>100000</v>
      </c>
      <c r="I225" s="20"/>
    </row>
    <row r="226" spans="1:9" s="1" customFormat="1" ht="20.25" customHeight="1">
      <c r="A226" s="202"/>
      <c r="B226" s="202"/>
      <c r="C226" s="202"/>
      <c r="D226" s="387" t="s">
        <v>1488</v>
      </c>
      <c r="E226" s="231"/>
      <c r="F226" s="387"/>
      <c r="G226" s="387"/>
      <c r="H226" s="387">
        <v>100000</v>
      </c>
      <c r="I226" s="20"/>
    </row>
    <row r="227" spans="1:9" s="1" customFormat="1" ht="20.25" customHeight="1">
      <c r="A227" s="202"/>
      <c r="B227" s="181"/>
      <c r="C227" s="181">
        <v>6050</v>
      </c>
      <c r="D227" s="181" t="s">
        <v>1124</v>
      </c>
      <c r="E227" s="231"/>
      <c r="F227" s="204"/>
      <c r="G227" s="204"/>
      <c r="H227" s="942">
        <f>H226</f>
        <v>100000</v>
      </c>
      <c r="I227" s="20"/>
    </row>
    <row r="228" spans="1:9" s="1" customFormat="1" ht="20.25" customHeight="1">
      <c r="A228" s="173"/>
      <c r="B228" s="168">
        <v>90002</v>
      </c>
      <c r="C228" s="168"/>
      <c r="D228" s="168" t="s">
        <v>1130</v>
      </c>
      <c r="E228" s="231"/>
      <c r="F228" s="194"/>
      <c r="G228" s="233">
        <f>G229</f>
        <v>500000</v>
      </c>
      <c r="H228" s="233"/>
      <c r="I228" s="20"/>
    </row>
    <row r="229" spans="1:9" s="1" customFormat="1" ht="20.25" customHeight="1">
      <c r="A229" s="99"/>
      <c r="B229" s="99"/>
      <c r="C229" s="99"/>
      <c r="D229" s="196" t="s">
        <v>1125</v>
      </c>
      <c r="E229" s="231"/>
      <c r="F229" s="197"/>
      <c r="G229" s="197">
        <f>G232</f>
        <v>500000</v>
      </c>
      <c r="H229" s="197"/>
      <c r="I229" s="20"/>
    </row>
    <row r="230" spans="1:9" s="1" customFormat="1" ht="20.25" customHeight="1">
      <c r="A230" s="202"/>
      <c r="B230" s="202"/>
      <c r="C230" s="202"/>
      <c r="D230" s="939" t="s">
        <v>1489</v>
      </c>
      <c r="E230" s="231"/>
      <c r="F230" s="408"/>
      <c r="G230" s="285">
        <v>400000</v>
      </c>
      <c r="H230" s="387"/>
      <c r="I230" s="20"/>
    </row>
    <row r="231" spans="1:9" s="1" customFormat="1" ht="20.25" customHeight="1">
      <c r="A231" s="202"/>
      <c r="B231" s="202"/>
      <c r="C231" s="202"/>
      <c r="D231" s="940" t="s">
        <v>1131</v>
      </c>
      <c r="E231" s="231"/>
      <c r="F231" s="429"/>
      <c r="G231" s="940">
        <v>100000</v>
      </c>
      <c r="H231" s="940"/>
      <c r="I231" s="20"/>
    </row>
    <row r="232" spans="1:9" s="1" customFormat="1" ht="20.25" customHeight="1">
      <c r="A232" s="202"/>
      <c r="B232" s="202"/>
      <c r="C232" s="181">
        <v>6050</v>
      </c>
      <c r="D232" s="941" t="s">
        <v>1124</v>
      </c>
      <c r="E232" s="231"/>
      <c r="F232" s="942"/>
      <c r="G232" s="942">
        <f>SUM(G230:G231)</f>
        <v>500000</v>
      </c>
      <c r="H232" s="942"/>
      <c r="I232" s="20"/>
    </row>
    <row r="233" spans="1:9" s="1" customFormat="1" ht="20.25" customHeight="1">
      <c r="A233" s="202"/>
      <c r="B233" s="174">
        <v>90095</v>
      </c>
      <c r="C233" s="168"/>
      <c r="D233" s="168" t="s">
        <v>488</v>
      </c>
      <c r="E233" s="231"/>
      <c r="F233" s="242"/>
      <c r="G233" s="242"/>
      <c r="H233" s="194">
        <f>H234</f>
        <v>400000</v>
      </c>
      <c r="I233" s="20"/>
    </row>
    <row r="234" spans="1:9" s="1" customFormat="1" ht="20.25" customHeight="1">
      <c r="A234" s="202"/>
      <c r="B234" s="99"/>
      <c r="C234" s="99"/>
      <c r="D234" s="324" t="s">
        <v>1125</v>
      </c>
      <c r="E234" s="231"/>
      <c r="F234" s="912"/>
      <c r="G234" s="912"/>
      <c r="H234" s="237">
        <f>H235</f>
        <v>400000</v>
      </c>
      <c r="I234" s="20"/>
    </row>
    <row r="235" spans="1:9" s="1" customFormat="1" ht="20.25" customHeight="1">
      <c r="A235" s="202"/>
      <c r="B235" s="202"/>
      <c r="C235" s="202"/>
      <c r="D235" s="386" t="s">
        <v>1490</v>
      </c>
      <c r="E235" s="231"/>
      <c r="F235" s="285"/>
      <c r="G235" s="285"/>
      <c r="H235" s="285">
        <v>400000</v>
      </c>
      <c r="I235" s="20"/>
    </row>
    <row r="236" spans="1:9" s="1" customFormat="1" ht="20.25" customHeight="1">
      <c r="A236" s="202"/>
      <c r="B236" s="99"/>
      <c r="C236" s="181">
        <v>6050</v>
      </c>
      <c r="D236" s="181" t="s">
        <v>1124</v>
      </c>
      <c r="E236" s="388"/>
      <c r="F236" s="942"/>
      <c r="G236" s="942"/>
      <c r="H236" s="204">
        <f>H235</f>
        <v>400000</v>
      </c>
      <c r="I236" s="20"/>
    </row>
    <row r="237" spans="1:9" s="1" customFormat="1" ht="29.25" customHeight="1">
      <c r="A237" s="202"/>
      <c r="B237" s="202"/>
      <c r="C237" s="202"/>
      <c r="D237" s="238" t="s">
        <v>953</v>
      </c>
      <c r="E237" s="231"/>
      <c r="F237" s="239"/>
      <c r="G237" s="239"/>
      <c r="H237" s="239">
        <f>H238</f>
        <v>220000</v>
      </c>
      <c r="I237" s="20"/>
    </row>
    <row r="238" spans="1:9" s="13" customFormat="1" ht="17.25" customHeight="1" thickBot="1">
      <c r="A238" s="199"/>
      <c r="B238" s="199"/>
      <c r="C238" s="199"/>
      <c r="D238" s="230" t="s">
        <v>1172</v>
      </c>
      <c r="E238" s="231"/>
      <c r="F238" s="935"/>
      <c r="G238" s="936"/>
      <c r="H238" s="937">
        <f>H239</f>
        <v>220000</v>
      </c>
      <c r="I238" s="138"/>
    </row>
    <row r="239" spans="1:9" s="1" customFormat="1" ht="21" customHeight="1" thickTop="1">
      <c r="A239" s="184">
        <v>754</v>
      </c>
      <c r="B239" s="170"/>
      <c r="C239" s="170"/>
      <c r="D239" s="171" t="s">
        <v>690</v>
      </c>
      <c r="E239" s="165"/>
      <c r="F239" s="232"/>
      <c r="G239" s="232"/>
      <c r="H239" s="152">
        <f>H240</f>
        <v>220000</v>
      </c>
      <c r="I239" s="20"/>
    </row>
    <row r="240" spans="1:9" s="1" customFormat="1" ht="24" customHeight="1">
      <c r="A240" s="99"/>
      <c r="B240" s="168">
        <v>75416</v>
      </c>
      <c r="C240" s="168"/>
      <c r="D240" s="168" t="s">
        <v>1485</v>
      </c>
      <c r="E240" s="165"/>
      <c r="F240" s="194"/>
      <c r="G240" s="194"/>
      <c r="H240" s="194">
        <f>H241+H243+H250</f>
        <v>220000</v>
      </c>
      <c r="I240" s="20"/>
    </row>
    <row r="241" spans="1:9" s="1" customFormat="1" ht="18.75" customHeight="1">
      <c r="A241" s="99"/>
      <c r="B241" s="99"/>
      <c r="C241" s="99"/>
      <c r="D241" s="240" t="s">
        <v>492</v>
      </c>
      <c r="E241" s="165"/>
      <c r="F241" s="307"/>
      <c r="G241" s="307"/>
      <c r="H241" s="241">
        <f>H242</f>
        <v>92000</v>
      </c>
      <c r="I241" s="20"/>
    </row>
    <row r="242" spans="1:9" s="1" customFormat="1" ht="18.75" customHeight="1">
      <c r="A242" s="202"/>
      <c r="B242" s="202"/>
      <c r="C242" s="181">
        <v>4010</v>
      </c>
      <c r="D242" s="203" t="s">
        <v>896</v>
      </c>
      <c r="E242" s="165"/>
      <c r="F242" s="220"/>
      <c r="G242" s="220"/>
      <c r="H242" s="220">
        <v>92000</v>
      </c>
      <c r="I242" s="20"/>
    </row>
    <row r="243" spans="1:9" s="140" customFormat="1" ht="18.75" customHeight="1">
      <c r="A243" s="202"/>
      <c r="B243" s="202"/>
      <c r="C243" s="300"/>
      <c r="D243" s="271" t="s">
        <v>1176</v>
      </c>
      <c r="E243" s="164"/>
      <c r="F243" s="298"/>
      <c r="G243" s="298"/>
      <c r="H243" s="179">
        <f>SUM(H244:H249)</f>
        <v>120000</v>
      </c>
      <c r="I243" s="144"/>
    </row>
    <row r="244" spans="1:9" s="19" customFormat="1" ht="18.75" customHeight="1">
      <c r="A244" s="202"/>
      <c r="B244" s="202"/>
      <c r="C244" s="181">
        <v>3020</v>
      </c>
      <c r="D244" s="203" t="s">
        <v>489</v>
      </c>
      <c r="E244" s="165"/>
      <c r="F244" s="914"/>
      <c r="G244" s="914"/>
      <c r="H244" s="220">
        <v>14500</v>
      </c>
      <c r="I244" s="122"/>
    </row>
    <row r="245" spans="1:9" s="19" customFormat="1" ht="18.75" customHeight="1">
      <c r="A245" s="202"/>
      <c r="B245" s="202"/>
      <c r="C245" s="205">
        <v>4210</v>
      </c>
      <c r="D245" s="206" t="s">
        <v>1174</v>
      </c>
      <c r="E245" s="165"/>
      <c r="F245" s="207"/>
      <c r="G245" s="207"/>
      <c r="H245" s="222">
        <v>36860</v>
      </c>
      <c r="I245" s="122"/>
    </row>
    <row r="246" spans="1:9" s="19" customFormat="1" ht="18.75" customHeight="1">
      <c r="A246" s="202"/>
      <c r="B246" s="202"/>
      <c r="C246" s="205">
        <v>4260</v>
      </c>
      <c r="D246" s="206" t="s">
        <v>1177</v>
      </c>
      <c r="E246" s="165"/>
      <c r="F246" s="207"/>
      <c r="G246" s="207"/>
      <c r="H246" s="222">
        <v>12000</v>
      </c>
      <c r="I246" s="122"/>
    </row>
    <row r="247" spans="1:9" s="19" customFormat="1" ht="18.75" customHeight="1">
      <c r="A247" s="99"/>
      <c r="B247" s="99"/>
      <c r="C247" s="205">
        <v>4270</v>
      </c>
      <c r="D247" s="206" t="s">
        <v>813</v>
      </c>
      <c r="E247" s="165"/>
      <c r="F247" s="207"/>
      <c r="G247" s="207"/>
      <c r="H247" s="222">
        <v>20000</v>
      </c>
      <c r="I247" s="122"/>
    </row>
    <row r="248" spans="1:9" s="19" customFormat="1" ht="18.75" customHeight="1">
      <c r="A248" s="99"/>
      <c r="B248" s="99"/>
      <c r="C248" s="205">
        <v>4280</v>
      </c>
      <c r="D248" s="206" t="s">
        <v>642</v>
      </c>
      <c r="E248" s="165"/>
      <c r="F248" s="207"/>
      <c r="G248" s="207"/>
      <c r="H248" s="222">
        <v>640</v>
      </c>
      <c r="I248" s="122"/>
    </row>
    <row r="249" spans="1:9" s="19" customFormat="1" ht="18.75" customHeight="1">
      <c r="A249" s="99"/>
      <c r="B249" s="99"/>
      <c r="C249" s="205">
        <v>4300</v>
      </c>
      <c r="D249" s="206" t="s">
        <v>1173</v>
      </c>
      <c r="E249" s="165"/>
      <c r="F249" s="242"/>
      <c r="G249" s="242"/>
      <c r="H249" s="222">
        <v>36000</v>
      </c>
      <c r="I249" s="122"/>
    </row>
    <row r="250" spans="1:9" s="19" customFormat="1" ht="18.75" customHeight="1">
      <c r="A250" s="99"/>
      <c r="B250" s="99"/>
      <c r="C250" s="300"/>
      <c r="D250" s="271" t="s">
        <v>553</v>
      </c>
      <c r="E250" s="165"/>
      <c r="F250" s="197"/>
      <c r="G250" s="197"/>
      <c r="H250" s="179">
        <f>H251</f>
        <v>8000</v>
      </c>
      <c r="I250" s="122"/>
    </row>
    <row r="251" spans="1:9" s="19" customFormat="1" ht="18.75" customHeight="1">
      <c r="A251" s="229"/>
      <c r="B251" s="229"/>
      <c r="C251" s="181">
        <v>4110</v>
      </c>
      <c r="D251" s="203" t="s">
        <v>1178</v>
      </c>
      <c r="E251" s="164"/>
      <c r="F251" s="914"/>
      <c r="G251" s="914"/>
      <c r="H251" s="220">
        <v>8000</v>
      </c>
      <c r="I251" s="122"/>
    </row>
    <row r="252" spans="1:9" s="1" customFormat="1" ht="28.5" customHeight="1">
      <c r="A252" s="99"/>
      <c r="B252" s="99"/>
      <c r="C252" s="202"/>
      <c r="D252" s="238" t="s">
        <v>954</v>
      </c>
      <c r="E252" s="231"/>
      <c r="F252" s="239"/>
      <c r="G252" s="239"/>
      <c r="H252" s="239">
        <f>H253</f>
        <v>130000</v>
      </c>
      <c r="I252" s="20"/>
    </row>
    <row r="253" spans="1:9" s="1" customFormat="1" ht="18" customHeight="1" thickBot="1">
      <c r="A253" s="254"/>
      <c r="B253" s="255"/>
      <c r="C253" s="255"/>
      <c r="D253" s="109" t="s">
        <v>1172</v>
      </c>
      <c r="E253" s="231"/>
      <c r="F253" s="256"/>
      <c r="G253" s="256"/>
      <c r="H253" s="256">
        <f>H254</f>
        <v>130000</v>
      </c>
      <c r="I253" s="20"/>
    </row>
    <row r="254" spans="1:9" s="1" customFormat="1" ht="18.75" customHeight="1" thickTop="1">
      <c r="A254" s="192">
        <v>852</v>
      </c>
      <c r="B254" s="192"/>
      <c r="C254" s="192"/>
      <c r="D254" s="192" t="s">
        <v>485</v>
      </c>
      <c r="E254" s="231"/>
      <c r="F254" s="232"/>
      <c r="G254" s="232"/>
      <c r="H254" s="232">
        <f>H255</f>
        <v>130000</v>
      </c>
      <c r="I254" s="20"/>
    </row>
    <row r="255" spans="1:9" s="1" customFormat="1" ht="18.75" customHeight="1">
      <c r="A255" s="99"/>
      <c r="B255" s="168">
        <v>85201</v>
      </c>
      <c r="C255" s="168"/>
      <c r="D255" s="208" t="s">
        <v>686</v>
      </c>
      <c r="E255" s="231"/>
      <c r="F255" s="211"/>
      <c r="G255" s="211"/>
      <c r="H255" s="211">
        <f>H256</f>
        <v>130000</v>
      </c>
      <c r="I255" s="20"/>
    </row>
    <row r="256" spans="1:9" s="1" customFormat="1" ht="17.25" customHeight="1">
      <c r="A256" s="99"/>
      <c r="B256" s="99"/>
      <c r="C256" s="99"/>
      <c r="D256" s="196" t="s">
        <v>667</v>
      </c>
      <c r="E256" s="231"/>
      <c r="F256" s="197"/>
      <c r="G256" s="197"/>
      <c r="H256" s="197">
        <f>H257</f>
        <v>130000</v>
      </c>
      <c r="I256" s="20"/>
    </row>
    <row r="257" spans="1:9" s="1" customFormat="1" ht="17.25" customHeight="1">
      <c r="A257" s="99"/>
      <c r="B257" s="99"/>
      <c r="C257" s="202">
        <v>6050</v>
      </c>
      <c r="D257" s="181" t="s">
        <v>1124</v>
      </c>
      <c r="E257" s="231"/>
      <c r="F257" s="204"/>
      <c r="G257" s="204"/>
      <c r="H257" s="204">
        <v>130000</v>
      </c>
      <c r="I257" s="20"/>
    </row>
    <row r="258" spans="1:9" s="1" customFormat="1" ht="19.5" customHeight="1">
      <c r="A258" s="99"/>
      <c r="B258" s="99"/>
      <c r="C258" s="300"/>
      <c r="D258" s="302" t="s">
        <v>955</v>
      </c>
      <c r="E258" s="303"/>
      <c r="F258" s="239"/>
      <c r="G258" s="239">
        <f aca="true" t="shared" si="4" ref="G258:H260">G259</f>
        <v>140000</v>
      </c>
      <c r="H258" s="239">
        <f t="shared" si="4"/>
        <v>140000</v>
      </c>
      <c r="I258" s="20"/>
    </row>
    <row r="259" spans="1:9" s="1" customFormat="1" ht="19.5" customHeight="1" thickBot="1">
      <c r="A259" s="229"/>
      <c r="B259" s="229"/>
      <c r="C259" s="181"/>
      <c r="D259" s="230" t="s">
        <v>1172</v>
      </c>
      <c r="E259" s="304"/>
      <c r="F259" s="169"/>
      <c r="G259" s="169">
        <f t="shared" si="4"/>
        <v>140000</v>
      </c>
      <c r="H259" s="169">
        <f t="shared" si="4"/>
        <v>140000</v>
      </c>
      <c r="I259" s="20"/>
    </row>
    <row r="260" spans="1:9" s="1" customFormat="1" ht="19.5" customHeight="1" thickTop="1">
      <c r="A260" s="170">
        <v>852</v>
      </c>
      <c r="B260" s="170"/>
      <c r="C260" s="305"/>
      <c r="D260" s="192" t="s">
        <v>485</v>
      </c>
      <c r="E260" s="280"/>
      <c r="F260" s="232"/>
      <c r="G260" s="232">
        <f t="shared" si="4"/>
        <v>140000</v>
      </c>
      <c r="H260" s="232">
        <f t="shared" si="4"/>
        <v>140000</v>
      </c>
      <c r="I260" s="20"/>
    </row>
    <row r="261" spans="1:9" s="1" customFormat="1" ht="19.5" customHeight="1">
      <c r="A261" s="178"/>
      <c r="B261" s="174">
        <v>85202</v>
      </c>
      <c r="C261" s="205"/>
      <c r="D261" s="174" t="s">
        <v>988</v>
      </c>
      <c r="E261" s="301"/>
      <c r="F261" s="233"/>
      <c r="G261" s="233">
        <f>G262+G264</f>
        <v>140000</v>
      </c>
      <c r="H261" s="233">
        <f>H262+H264</f>
        <v>140000</v>
      </c>
      <c r="I261" s="20"/>
    </row>
    <row r="262" spans="1:9" s="1" customFormat="1" ht="19.5" customHeight="1">
      <c r="A262" s="99"/>
      <c r="B262" s="178"/>
      <c r="C262" s="300"/>
      <c r="D262" s="196" t="s">
        <v>492</v>
      </c>
      <c r="E262" s="306"/>
      <c r="F262" s="197"/>
      <c r="G262" s="197">
        <f>G263</f>
        <v>140000</v>
      </c>
      <c r="H262" s="197"/>
      <c r="I262" s="20"/>
    </row>
    <row r="263" spans="1:9" s="1" customFormat="1" ht="19.5" customHeight="1">
      <c r="A263" s="99"/>
      <c r="B263" s="99"/>
      <c r="C263" s="181">
        <v>4010</v>
      </c>
      <c r="D263" s="181" t="s">
        <v>896</v>
      </c>
      <c r="E263" s="388"/>
      <c r="F263" s="204"/>
      <c r="G263" s="204">
        <v>140000</v>
      </c>
      <c r="H263" s="204"/>
      <c r="I263" s="20"/>
    </row>
    <row r="264" spans="1:9" s="1" customFormat="1" ht="19.5" customHeight="1">
      <c r="A264" s="99"/>
      <c r="B264" s="99"/>
      <c r="C264" s="202"/>
      <c r="D264" s="324" t="s">
        <v>1176</v>
      </c>
      <c r="E264" s="306"/>
      <c r="F264" s="237"/>
      <c r="G264" s="237"/>
      <c r="H264" s="237">
        <f>SUM(H265:H268)</f>
        <v>140000</v>
      </c>
      <c r="I264" s="20"/>
    </row>
    <row r="265" spans="1:9" s="1" customFormat="1" ht="19.5" customHeight="1">
      <c r="A265" s="99"/>
      <c r="B265" s="99"/>
      <c r="C265" s="181">
        <v>4210</v>
      </c>
      <c r="D265" s="181" t="s">
        <v>1174</v>
      </c>
      <c r="E265" s="231"/>
      <c r="F265" s="204"/>
      <c r="G265" s="204"/>
      <c r="H265" s="204">
        <v>30000</v>
      </c>
      <c r="I265" s="20"/>
    </row>
    <row r="266" spans="1:9" s="1" customFormat="1" ht="19.5" customHeight="1">
      <c r="A266" s="99"/>
      <c r="B266" s="99"/>
      <c r="C266" s="205">
        <v>4220</v>
      </c>
      <c r="D266" s="181" t="s">
        <v>990</v>
      </c>
      <c r="E266" s="231"/>
      <c r="F266" s="207"/>
      <c r="G266" s="207"/>
      <c r="H266" s="207">
        <v>20000</v>
      </c>
      <c r="I266" s="20"/>
    </row>
    <row r="267" spans="1:9" s="1" customFormat="1" ht="19.5" customHeight="1">
      <c r="A267" s="99"/>
      <c r="B267" s="99"/>
      <c r="C267" s="205">
        <v>4260</v>
      </c>
      <c r="D267" s="205" t="s">
        <v>1177</v>
      </c>
      <c r="E267" s="231"/>
      <c r="F267" s="207"/>
      <c r="G267" s="207"/>
      <c r="H267" s="207">
        <v>60000</v>
      </c>
      <c r="I267" s="20"/>
    </row>
    <row r="268" spans="1:9" s="1" customFormat="1" ht="19.5" customHeight="1">
      <c r="A268" s="99"/>
      <c r="B268" s="99"/>
      <c r="C268" s="205">
        <v>4300</v>
      </c>
      <c r="D268" s="205" t="s">
        <v>1173</v>
      </c>
      <c r="E268" s="231"/>
      <c r="F268" s="207"/>
      <c r="G268" s="207"/>
      <c r="H268" s="207">
        <v>30000</v>
      </c>
      <c r="I268" s="20"/>
    </row>
    <row r="269" spans="1:9" s="1" customFormat="1" ht="19.5" customHeight="1">
      <c r="A269" s="99"/>
      <c r="B269" s="99"/>
      <c r="C269" s="202"/>
      <c r="D269" s="238" t="s">
        <v>956</v>
      </c>
      <c r="E269" s="313"/>
      <c r="F269" s="239"/>
      <c r="G269" s="239"/>
      <c r="H269" s="239">
        <f>H283+H270</f>
        <v>1005805</v>
      </c>
      <c r="I269" s="20"/>
    </row>
    <row r="270" spans="1:9" s="1" customFormat="1" ht="19.5" customHeight="1" thickBot="1">
      <c r="A270" s="99"/>
      <c r="B270" s="99"/>
      <c r="C270" s="1372"/>
      <c r="D270" s="1373" t="s">
        <v>493</v>
      </c>
      <c r="E270" s="1374"/>
      <c r="F270" s="1375"/>
      <c r="G270" s="266"/>
      <c r="H270" s="266">
        <f>H271</f>
        <v>1000000</v>
      </c>
      <c r="I270" s="20"/>
    </row>
    <row r="271" spans="1:9" s="1" customFormat="1" ht="19.5" customHeight="1" thickTop="1">
      <c r="A271" s="170">
        <v>852</v>
      </c>
      <c r="B271" s="170"/>
      <c r="C271" s="1346"/>
      <c r="D271" s="315" t="s">
        <v>485</v>
      </c>
      <c r="E271" s="1347"/>
      <c r="F271" s="1345"/>
      <c r="G271" s="1348"/>
      <c r="H271" s="267">
        <f>H272</f>
        <v>1000000</v>
      </c>
      <c r="I271" s="20"/>
    </row>
    <row r="272" spans="1:9" s="1" customFormat="1" ht="27.75" customHeight="1">
      <c r="A272" s="99"/>
      <c r="B272" s="174">
        <v>85212</v>
      </c>
      <c r="C272" s="1350"/>
      <c r="D272" s="175" t="s">
        <v>355</v>
      </c>
      <c r="E272" s="1351"/>
      <c r="F272" s="1349"/>
      <c r="G272" s="1352"/>
      <c r="H272" s="278">
        <f>H273+H275+H277+H281</f>
        <v>1000000</v>
      </c>
      <c r="I272" s="20"/>
    </row>
    <row r="273" spans="1:9" s="1" customFormat="1" ht="19.5" customHeight="1">
      <c r="A273" s="99"/>
      <c r="B273" s="99"/>
      <c r="C273" s="186"/>
      <c r="D273" s="271" t="s">
        <v>492</v>
      </c>
      <c r="E273" s="1356"/>
      <c r="F273" s="1357"/>
      <c r="G273" s="433"/>
      <c r="H273" s="433">
        <f>H274</f>
        <v>12110</v>
      </c>
      <c r="I273" s="20"/>
    </row>
    <row r="274" spans="1:9" s="1" customFormat="1" ht="19.5" customHeight="1">
      <c r="A274" s="99"/>
      <c r="B274" s="99"/>
      <c r="C274" s="255">
        <v>4010</v>
      </c>
      <c r="D274" s="203" t="s">
        <v>896</v>
      </c>
      <c r="E274" s="973"/>
      <c r="F274" s="974"/>
      <c r="G274" s="412"/>
      <c r="H274" s="412">
        <v>12110</v>
      </c>
      <c r="I274" s="20"/>
    </row>
    <row r="275" spans="1:9" s="1" customFormat="1" ht="19.5" customHeight="1">
      <c r="A275" s="99"/>
      <c r="B275" s="99"/>
      <c r="C275" s="186"/>
      <c r="D275" s="271" t="s">
        <v>1176</v>
      </c>
      <c r="E275" s="1353"/>
      <c r="F275" s="1354"/>
      <c r="G275" s="1355"/>
      <c r="H275" s="433">
        <f>H276</f>
        <v>5400</v>
      </c>
      <c r="I275" s="20"/>
    </row>
    <row r="276" spans="1:9" s="1" customFormat="1" ht="19.5" customHeight="1">
      <c r="A276" s="99"/>
      <c r="B276" s="99"/>
      <c r="C276" s="255">
        <v>4210</v>
      </c>
      <c r="D276" s="203" t="s">
        <v>1174</v>
      </c>
      <c r="E276" s="973"/>
      <c r="F276" s="974"/>
      <c r="G276" s="412"/>
      <c r="H276" s="412">
        <v>5400</v>
      </c>
      <c r="I276" s="20"/>
    </row>
    <row r="277" spans="1:9" s="1" customFormat="1" ht="19.5" customHeight="1">
      <c r="A277" s="99"/>
      <c r="B277" s="99"/>
      <c r="C277" s="403"/>
      <c r="D277" s="271" t="s">
        <v>553</v>
      </c>
      <c r="E277" s="1356"/>
      <c r="F277" s="1357"/>
      <c r="G277" s="433"/>
      <c r="H277" s="433">
        <f>SUM(H278:H279)</f>
        <v>2490</v>
      </c>
      <c r="I277" s="20"/>
    </row>
    <row r="278" spans="1:9" s="1" customFormat="1" ht="19.5" customHeight="1">
      <c r="A278" s="99"/>
      <c r="B278" s="99"/>
      <c r="C278" s="255">
        <v>4110</v>
      </c>
      <c r="D278" s="203" t="s">
        <v>1178</v>
      </c>
      <c r="E278" s="973"/>
      <c r="F278" s="974"/>
      <c r="G278" s="412"/>
      <c r="H278" s="412">
        <v>2223</v>
      </c>
      <c r="I278" s="20"/>
    </row>
    <row r="279" spans="1:9" s="1" customFormat="1" ht="19.5" customHeight="1">
      <c r="A279" s="99"/>
      <c r="B279" s="99"/>
      <c r="C279" s="186">
        <v>4120</v>
      </c>
      <c r="D279" s="369" t="s">
        <v>487</v>
      </c>
      <c r="E279" s="1376"/>
      <c r="F279" s="1377"/>
      <c r="G279" s="1378"/>
      <c r="H279" s="1378">
        <v>267</v>
      </c>
      <c r="I279" s="20"/>
    </row>
    <row r="280" spans="1:9" s="1" customFormat="1" ht="19.5" customHeight="1">
      <c r="A280" s="1108"/>
      <c r="B280" s="1108"/>
      <c r="C280" s="1376"/>
      <c r="D280" s="1110"/>
      <c r="E280" s="1376"/>
      <c r="F280" s="1381"/>
      <c r="G280" s="1360"/>
      <c r="H280" s="1360"/>
      <c r="I280" s="20"/>
    </row>
    <row r="281" spans="1:9" s="1" customFormat="1" ht="19.5" customHeight="1">
      <c r="A281" s="99"/>
      <c r="B281" s="99"/>
      <c r="C281" s="403"/>
      <c r="D281" s="910" t="s">
        <v>805</v>
      </c>
      <c r="E281" s="1379"/>
      <c r="F281" s="1380"/>
      <c r="G281" s="972"/>
      <c r="H281" s="972">
        <f>H282</f>
        <v>980000</v>
      </c>
      <c r="I281" s="20"/>
    </row>
    <row r="282" spans="1:9" s="1" customFormat="1" ht="19.5" customHeight="1">
      <c r="A282" s="99"/>
      <c r="B282" s="99"/>
      <c r="C282" s="255">
        <v>3110</v>
      </c>
      <c r="D282" s="436" t="s">
        <v>1496</v>
      </c>
      <c r="E282" s="973"/>
      <c r="F282" s="974"/>
      <c r="G282" s="412"/>
      <c r="H282" s="412">
        <v>980000</v>
      </c>
      <c r="I282" s="20"/>
    </row>
    <row r="283" spans="1:9" s="1" customFormat="1" ht="19.5" customHeight="1" thickBot="1">
      <c r="A283" s="168"/>
      <c r="B283" s="168"/>
      <c r="C283" s="168"/>
      <c r="D283" s="230" t="s">
        <v>540</v>
      </c>
      <c r="E283" s="313"/>
      <c r="F283" s="169"/>
      <c r="G283" s="169"/>
      <c r="H283" s="169">
        <f>H284</f>
        <v>5805</v>
      </c>
      <c r="I283" s="20"/>
    </row>
    <row r="284" spans="1:9" s="1" customFormat="1" ht="19.5" customHeight="1" thickTop="1">
      <c r="A284" s="191">
        <v>853</v>
      </c>
      <c r="B284" s="192"/>
      <c r="C284" s="192"/>
      <c r="D284" s="171" t="s">
        <v>684</v>
      </c>
      <c r="E284" s="313"/>
      <c r="F284" s="152"/>
      <c r="G284" s="152"/>
      <c r="H284" s="152">
        <f>H285</f>
        <v>5805</v>
      </c>
      <c r="I284" s="20"/>
    </row>
    <row r="285" spans="1:9" s="1" customFormat="1" ht="19.5" customHeight="1">
      <c r="A285" s="99"/>
      <c r="B285" s="168">
        <v>85334</v>
      </c>
      <c r="C285" s="168"/>
      <c r="D285" s="272" t="s">
        <v>1386</v>
      </c>
      <c r="E285" s="313"/>
      <c r="F285" s="194"/>
      <c r="G285" s="194"/>
      <c r="H285" s="363">
        <f>H286</f>
        <v>5805</v>
      </c>
      <c r="I285" s="20"/>
    </row>
    <row r="286" spans="1:9" s="1" customFormat="1" ht="19.5" customHeight="1">
      <c r="A286" s="99"/>
      <c r="B286" s="99"/>
      <c r="C286" s="99"/>
      <c r="D286" s="367" t="s">
        <v>1389</v>
      </c>
      <c r="E286" s="313"/>
      <c r="F286" s="241"/>
      <c r="G286" s="241"/>
      <c r="H286" s="368">
        <f>H287</f>
        <v>5805</v>
      </c>
      <c r="I286" s="20"/>
    </row>
    <row r="287" spans="1:9" s="1" customFormat="1" ht="19.5" customHeight="1">
      <c r="A287" s="202"/>
      <c r="B287" s="202"/>
      <c r="C287" s="181">
        <v>3110</v>
      </c>
      <c r="D287" s="11" t="s">
        <v>1496</v>
      </c>
      <c r="E287" s="314"/>
      <c r="F287" s="220"/>
      <c r="G287" s="220"/>
      <c r="H287" s="12">
        <v>5805</v>
      </c>
      <c r="I287" s="20"/>
    </row>
    <row r="288" spans="1:8" ht="24.75" customHeight="1">
      <c r="A288" s="99"/>
      <c r="B288" s="99"/>
      <c r="C288" s="202"/>
      <c r="D288" s="238" t="s">
        <v>957</v>
      </c>
      <c r="E288" s="313"/>
      <c r="F288" s="239"/>
      <c r="G288" s="239"/>
      <c r="H288" s="239">
        <f>H289</f>
        <v>20000</v>
      </c>
    </row>
    <row r="289" spans="1:8" ht="19.5" customHeight="1" thickBot="1">
      <c r="A289" s="168"/>
      <c r="B289" s="168"/>
      <c r="C289" s="168"/>
      <c r="D289" s="230" t="s">
        <v>540</v>
      </c>
      <c r="E289" s="313"/>
      <c r="F289" s="169"/>
      <c r="G289" s="169"/>
      <c r="H289" s="169">
        <f>H290</f>
        <v>20000</v>
      </c>
    </row>
    <row r="290" spans="1:8" ht="18" customHeight="1" thickTop="1">
      <c r="A290" s="191">
        <v>754</v>
      </c>
      <c r="B290" s="192"/>
      <c r="C290" s="192"/>
      <c r="D290" s="171" t="s">
        <v>690</v>
      </c>
      <c r="E290" s="313"/>
      <c r="F290" s="152"/>
      <c r="G290" s="152"/>
      <c r="H290" s="152">
        <f>H291</f>
        <v>20000</v>
      </c>
    </row>
    <row r="291" spans="1:8" ht="19.5" customHeight="1">
      <c r="A291" s="99"/>
      <c r="B291" s="168">
        <v>75411</v>
      </c>
      <c r="C291" s="168"/>
      <c r="D291" s="168" t="s">
        <v>691</v>
      </c>
      <c r="E291" s="313"/>
      <c r="F291" s="194"/>
      <c r="G291" s="194"/>
      <c r="H291" s="194">
        <f>H292</f>
        <v>20000</v>
      </c>
    </row>
    <row r="292" spans="1:8" ht="18" customHeight="1">
      <c r="A292" s="99"/>
      <c r="B292" s="99"/>
      <c r="C292" s="99"/>
      <c r="D292" s="240" t="s">
        <v>1176</v>
      </c>
      <c r="E292" s="313"/>
      <c r="F292" s="241"/>
      <c r="G292" s="241"/>
      <c r="H292" s="241">
        <f>SUM(H293:H295)</f>
        <v>20000</v>
      </c>
    </row>
    <row r="293" spans="1:8" ht="19.5" customHeight="1">
      <c r="A293" s="202"/>
      <c r="B293" s="202"/>
      <c r="C293" s="181">
        <v>4210</v>
      </c>
      <c r="D293" s="203" t="s">
        <v>1008</v>
      </c>
      <c r="E293" s="313"/>
      <c r="F293" s="220"/>
      <c r="G293" s="220"/>
      <c r="H293" s="220">
        <v>9000</v>
      </c>
    </row>
    <row r="294" spans="1:8" ht="18.75" customHeight="1">
      <c r="A294" s="202"/>
      <c r="B294" s="202"/>
      <c r="C294" s="205">
        <v>4300</v>
      </c>
      <c r="D294" s="206" t="s">
        <v>1173</v>
      </c>
      <c r="E294" s="314"/>
      <c r="F294" s="222"/>
      <c r="G294" s="222"/>
      <c r="H294" s="222">
        <v>7000</v>
      </c>
    </row>
    <row r="295" spans="1:8" ht="21" customHeight="1">
      <c r="A295" s="99"/>
      <c r="B295" s="99"/>
      <c r="C295" s="205">
        <v>4410</v>
      </c>
      <c r="D295" s="206" t="s">
        <v>1006</v>
      </c>
      <c r="E295" s="1382"/>
      <c r="F295" s="222"/>
      <c r="G295" s="222"/>
      <c r="H295" s="222">
        <v>4000</v>
      </c>
    </row>
    <row r="296" spans="1:8" ht="24.75" customHeight="1">
      <c r="A296" s="99"/>
      <c r="B296" s="99"/>
      <c r="C296" s="202"/>
      <c r="D296" s="238" t="s">
        <v>958</v>
      </c>
      <c r="E296" s="313"/>
      <c r="F296" s="239"/>
      <c r="G296" s="239"/>
      <c r="H296" s="239">
        <f>H297</f>
        <v>502804</v>
      </c>
    </row>
    <row r="297" spans="1:8" ht="15.75" customHeight="1" thickBot="1">
      <c r="A297" s="168"/>
      <c r="B297" s="168"/>
      <c r="C297" s="168"/>
      <c r="D297" s="230" t="s">
        <v>1172</v>
      </c>
      <c r="E297" s="313"/>
      <c r="F297" s="169"/>
      <c r="G297" s="169"/>
      <c r="H297" s="169">
        <f>H298+H299</f>
        <v>502804</v>
      </c>
    </row>
    <row r="298" spans="1:8" ht="20.25" customHeight="1" thickTop="1">
      <c r="A298" s="192">
        <v>801</v>
      </c>
      <c r="B298" s="192"/>
      <c r="C298" s="192"/>
      <c r="D298" s="192" t="s">
        <v>490</v>
      </c>
      <c r="E298" s="313"/>
      <c r="F298" s="232"/>
      <c r="G298" s="232"/>
      <c r="H298" s="232">
        <v>261527</v>
      </c>
    </row>
    <row r="299" spans="1:8" ht="19.5" customHeight="1">
      <c r="A299" s="192">
        <v>854</v>
      </c>
      <c r="B299" s="192"/>
      <c r="C299" s="192"/>
      <c r="D299" s="192" t="s">
        <v>640</v>
      </c>
      <c r="E299" s="313"/>
      <c r="F299" s="232"/>
      <c r="G299" s="232"/>
      <c r="H299" s="232">
        <v>241277</v>
      </c>
    </row>
    <row r="301" ht="12.75">
      <c r="D301" s="1384"/>
    </row>
    <row r="302" ht="12.75">
      <c r="D302" s="1384"/>
    </row>
    <row r="303" ht="12.75">
      <c r="D303" s="1384"/>
    </row>
    <row r="304" ht="12.75">
      <c r="D304" s="1384"/>
    </row>
    <row r="305" ht="12.75">
      <c r="D305" s="1384"/>
    </row>
    <row r="306" ht="12.75">
      <c r="D306" s="1384"/>
    </row>
  </sheetData>
  <mergeCells count="5">
    <mergeCell ref="G7:H7"/>
    <mergeCell ref="D7:D8"/>
    <mergeCell ref="A7:A8"/>
    <mergeCell ref="B7:B8"/>
    <mergeCell ref="C7:C8"/>
  </mergeCells>
  <printOptions horizontalCentered="1"/>
  <pageMargins left="0.3937007874015748" right="0.3937007874015748" top="0.4" bottom="0.7874015748031497" header="0.5118110236220472" footer="0.31496062992125984"/>
  <pageSetup firstPageNumber="29" useFirstPageNumber="1" horizontalDpi="300" verticalDpi="300" orientation="landscape" paperSize="9" scale="85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W1285"/>
  <sheetViews>
    <sheetView zoomScale="75" zoomScaleNormal="75" zoomScaleSheetLayoutView="75" workbookViewId="0" topLeftCell="B1">
      <selection activeCell="N1193" sqref="N1193"/>
    </sheetView>
  </sheetViews>
  <sheetFormatPr defaultColWidth="9.00390625" defaultRowHeight="12.75"/>
  <cols>
    <col min="1" max="1" width="0.12890625" style="485" hidden="1" customWidth="1"/>
    <col min="2" max="2" width="40.375" style="28" customWidth="1"/>
    <col min="3" max="3" width="10.75390625" style="28" hidden="1" customWidth="1"/>
    <col min="4" max="4" width="11.625" style="28" hidden="1" customWidth="1"/>
    <col min="5" max="5" width="0.37109375" style="489" hidden="1" customWidth="1"/>
    <col min="6" max="6" width="11.25390625" style="28" customWidth="1"/>
    <col min="7" max="7" width="9.375" style="28" customWidth="1"/>
    <col min="8" max="8" width="7.75390625" style="28" customWidth="1"/>
    <col min="9" max="9" width="9.75390625" style="489" customWidth="1"/>
    <col min="10" max="10" width="7.75390625" style="28" hidden="1" customWidth="1"/>
    <col min="11" max="11" width="8.875" style="28" customWidth="1"/>
    <col min="12" max="12" width="10.00390625" style="28" customWidth="1"/>
    <col min="13" max="13" width="9.00390625" style="28" customWidth="1"/>
    <col min="14" max="14" width="10.875" style="28" customWidth="1"/>
    <col min="15" max="15" width="9.00390625" style="28" customWidth="1"/>
    <col min="16" max="16" width="8.375" style="28" customWidth="1"/>
    <col min="17" max="17" width="8.875" style="28" customWidth="1"/>
    <col min="18" max="18" width="9.00390625" style="28" customWidth="1"/>
    <col min="19" max="19" width="8.25390625" style="28" customWidth="1"/>
    <col min="20" max="20" width="9.75390625" style="28" customWidth="1"/>
    <col min="21" max="21" width="10.125" style="28" customWidth="1"/>
    <col min="22" max="22" width="10.875" style="490" customWidth="1"/>
    <col min="23" max="23" width="14.00390625" style="491" customWidth="1"/>
    <col min="24" max="24" width="1.625" style="491" customWidth="1"/>
    <col min="25" max="25" width="14.00390625" style="491" customWidth="1"/>
    <col min="26" max="16384" width="9.125" style="491" customWidth="1"/>
  </cols>
  <sheetData>
    <row r="1" spans="2:23" ht="15.75" customHeight="1">
      <c r="B1" s="486"/>
      <c r="C1" s="487"/>
      <c r="D1" s="488"/>
      <c r="G1" s="488"/>
      <c r="H1" s="488"/>
      <c r="I1" s="28"/>
      <c r="L1" s="488"/>
      <c r="M1" s="488"/>
      <c r="V1" s="28"/>
      <c r="W1" s="490"/>
    </row>
    <row r="2" spans="1:23" ht="12.75">
      <c r="A2" s="492"/>
      <c r="C2" s="487"/>
      <c r="D2" s="490"/>
      <c r="I2" s="28"/>
      <c r="V2" s="28"/>
      <c r="W2" s="490"/>
    </row>
    <row r="3" spans="1:23" ht="14.25" customHeight="1">
      <c r="A3" s="493"/>
      <c r="B3" s="494"/>
      <c r="C3" s="495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  <c r="P3" s="496"/>
      <c r="Q3" s="496"/>
      <c r="R3" s="496"/>
      <c r="S3" s="496"/>
      <c r="T3" s="496"/>
      <c r="U3" s="496"/>
      <c r="V3" s="28"/>
      <c r="W3" s="497"/>
    </row>
    <row r="4" spans="1:23" s="150" customFormat="1" ht="25.5" customHeight="1" thickBot="1">
      <c r="A4" s="485"/>
      <c r="B4" s="1181" t="s">
        <v>818</v>
      </c>
      <c r="C4" s="1405" t="s">
        <v>1182</v>
      </c>
      <c r="D4" s="1406"/>
      <c r="E4" s="1407"/>
      <c r="F4" s="903" t="s">
        <v>830</v>
      </c>
      <c r="G4" s="1408" t="s">
        <v>778</v>
      </c>
      <c r="H4" s="1409"/>
      <c r="I4" s="1410" t="s">
        <v>555</v>
      </c>
      <c r="J4" s="1411"/>
      <c r="K4" s="1411"/>
      <c r="L4" s="1411"/>
      <c r="M4" s="1411"/>
      <c r="N4" s="1411"/>
      <c r="O4" s="1411"/>
      <c r="P4" s="1411"/>
      <c r="Q4" s="1411"/>
      <c r="R4" s="1411"/>
      <c r="S4" s="1411"/>
      <c r="T4" s="1412"/>
      <c r="U4" s="1307" t="s">
        <v>882</v>
      </c>
      <c r="V4" s="498"/>
      <c r="W4" s="499"/>
    </row>
    <row r="5" spans="1:23" s="504" customFormat="1" ht="13.5" thickTop="1">
      <c r="A5" s="485"/>
      <c r="B5" s="1176" t="s">
        <v>1451</v>
      </c>
      <c r="C5" s="500" t="s">
        <v>1183</v>
      </c>
      <c r="D5" s="500" t="s">
        <v>1184</v>
      </c>
      <c r="E5" s="501" t="s">
        <v>1185</v>
      </c>
      <c r="F5" s="897" t="s">
        <v>557</v>
      </c>
      <c r="G5" s="897" t="s">
        <v>558</v>
      </c>
      <c r="H5" s="897" t="s">
        <v>559</v>
      </c>
      <c r="I5" s="1170" t="s">
        <v>1024</v>
      </c>
      <c r="J5" s="1171" t="s">
        <v>883</v>
      </c>
      <c r="K5" s="1172" t="s">
        <v>560</v>
      </c>
      <c r="L5" s="1172" t="s">
        <v>884</v>
      </c>
      <c r="M5" s="1172" t="s">
        <v>561</v>
      </c>
      <c r="N5" s="1172" t="s">
        <v>562</v>
      </c>
      <c r="O5" s="1172" t="s">
        <v>563</v>
      </c>
      <c r="P5" s="1173" t="s">
        <v>1026</v>
      </c>
      <c r="Q5" s="1174" t="s">
        <v>885</v>
      </c>
      <c r="R5" s="1172" t="s">
        <v>564</v>
      </c>
      <c r="S5" s="1172" t="s">
        <v>565</v>
      </c>
      <c r="T5" s="1175" t="s">
        <v>566</v>
      </c>
      <c r="U5" s="509" t="s">
        <v>567</v>
      </c>
      <c r="V5" s="1154"/>
      <c r="W5" s="503"/>
    </row>
    <row r="6" spans="1:24" s="504" customFormat="1" ht="12.75">
      <c r="A6" s="485"/>
      <c r="B6" s="1176" t="s">
        <v>1450</v>
      </c>
      <c r="C6" s="505" t="s">
        <v>1186</v>
      </c>
      <c r="D6" s="505" t="s">
        <v>1186</v>
      </c>
      <c r="E6" s="506" t="s">
        <v>1187</v>
      </c>
      <c r="F6" s="897" t="s">
        <v>1041</v>
      </c>
      <c r="G6" s="897" t="s">
        <v>568</v>
      </c>
      <c r="H6" s="897" t="s">
        <v>569</v>
      </c>
      <c r="I6" s="897" t="s">
        <v>886</v>
      </c>
      <c r="J6" s="507" t="s">
        <v>887</v>
      </c>
      <c r="K6" s="897" t="s">
        <v>570</v>
      </c>
      <c r="L6" s="897" t="s">
        <v>888</v>
      </c>
      <c r="M6" s="897" t="s">
        <v>571</v>
      </c>
      <c r="N6" s="897" t="s">
        <v>573</v>
      </c>
      <c r="O6" s="897" t="s">
        <v>573</v>
      </c>
      <c r="P6" s="898" t="s">
        <v>573</v>
      </c>
      <c r="Q6" s="899" t="s">
        <v>889</v>
      </c>
      <c r="R6" s="897" t="s">
        <v>573</v>
      </c>
      <c r="S6" s="897" t="s">
        <v>574</v>
      </c>
      <c r="T6" s="509" t="s">
        <v>575</v>
      </c>
      <c r="U6" s="900" t="s">
        <v>835</v>
      </c>
      <c r="V6" s="1155"/>
      <c r="W6" s="503"/>
      <c r="X6" s="508"/>
    </row>
    <row r="7" spans="1:24" s="504" customFormat="1" ht="12.75">
      <c r="A7" s="485"/>
      <c r="B7" s="1176"/>
      <c r="C7" s="505" t="s">
        <v>1188</v>
      </c>
      <c r="D7" s="505" t="s">
        <v>1189</v>
      </c>
      <c r="E7" s="506" t="s">
        <v>1190</v>
      </c>
      <c r="F7" s="897" t="s">
        <v>576</v>
      </c>
      <c r="G7" s="897" t="s">
        <v>577</v>
      </c>
      <c r="H7" s="897" t="s">
        <v>578</v>
      </c>
      <c r="I7" s="897" t="s">
        <v>1025</v>
      </c>
      <c r="J7" s="507" t="s">
        <v>587</v>
      </c>
      <c r="K7" s="897" t="s">
        <v>579</v>
      </c>
      <c r="L7" s="897" t="s">
        <v>890</v>
      </c>
      <c r="M7" s="897" t="s">
        <v>580</v>
      </c>
      <c r="N7" s="897" t="s">
        <v>581</v>
      </c>
      <c r="O7" s="897" t="s">
        <v>582</v>
      </c>
      <c r="P7" s="897" t="s">
        <v>891</v>
      </c>
      <c r="Q7" s="899" t="s">
        <v>891</v>
      </c>
      <c r="R7" s="897" t="s">
        <v>583</v>
      </c>
      <c r="S7" s="897" t="s">
        <v>584</v>
      </c>
      <c r="T7" s="509" t="s">
        <v>585</v>
      </c>
      <c r="U7" s="900" t="s">
        <v>586</v>
      </c>
      <c r="V7" s="1155"/>
      <c r="W7" s="503"/>
      <c r="X7" s="508"/>
    </row>
    <row r="8" spans="1:24" s="504" customFormat="1" ht="12.75">
      <c r="A8" s="485"/>
      <c r="B8" s="1176"/>
      <c r="C8" s="505" t="s">
        <v>1191</v>
      </c>
      <c r="D8" s="505" t="s">
        <v>1192</v>
      </c>
      <c r="E8" s="506" t="s">
        <v>1193</v>
      </c>
      <c r="F8" s="897" t="s">
        <v>829</v>
      </c>
      <c r="G8" s="897" t="s">
        <v>587</v>
      </c>
      <c r="H8" s="897" t="s">
        <v>588</v>
      </c>
      <c r="I8" s="897" t="s">
        <v>576</v>
      </c>
      <c r="J8" s="502"/>
      <c r="K8" s="897" t="s">
        <v>589</v>
      </c>
      <c r="L8" s="897" t="s">
        <v>588</v>
      </c>
      <c r="M8" s="897" t="s">
        <v>591</v>
      </c>
      <c r="N8" s="897" t="s">
        <v>592</v>
      </c>
      <c r="O8" s="897"/>
      <c r="P8" s="897" t="s">
        <v>480</v>
      </c>
      <c r="Q8" s="509" t="s">
        <v>481</v>
      </c>
      <c r="R8" s="897" t="s">
        <v>831</v>
      </c>
      <c r="S8" s="897" t="s">
        <v>593</v>
      </c>
      <c r="T8" s="509" t="s">
        <v>594</v>
      </c>
      <c r="U8" s="509" t="s">
        <v>832</v>
      </c>
      <c r="V8" s="1154" t="s">
        <v>595</v>
      </c>
      <c r="X8" s="508"/>
    </row>
    <row r="9" spans="1:24" s="504" customFormat="1" ht="12.75">
      <c r="A9" s="485"/>
      <c r="B9" s="1177" t="s">
        <v>556</v>
      </c>
      <c r="C9" s="505" t="s">
        <v>1194</v>
      </c>
      <c r="D9" s="505" t="s">
        <v>1195</v>
      </c>
      <c r="E9" s="506" t="s">
        <v>1196</v>
      </c>
      <c r="F9" s="897"/>
      <c r="G9" s="897"/>
      <c r="H9" s="897" t="s">
        <v>596</v>
      </c>
      <c r="I9" s="897" t="s">
        <v>892</v>
      </c>
      <c r="J9" s="502"/>
      <c r="K9" s="897" t="s">
        <v>597</v>
      </c>
      <c r="L9" s="897" t="s">
        <v>893</v>
      </c>
      <c r="M9" s="897" t="s">
        <v>1042</v>
      </c>
      <c r="N9" s="897" t="s">
        <v>828</v>
      </c>
      <c r="O9" s="897"/>
      <c r="P9" s="897"/>
      <c r="Q9" s="509"/>
      <c r="R9" s="897"/>
      <c r="S9" s="897"/>
      <c r="T9" s="509" t="s">
        <v>598</v>
      </c>
      <c r="U9" s="509" t="s">
        <v>833</v>
      </c>
      <c r="V9" s="1155"/>
      <c r="X9" s="508"/>
    </row>
    <row r="10" spans="1:24" s="504" customFormat="1" ht="19.5" customHeight="1">
      <c r="A10" s="485"/>
      <c r="B10" s="1178" t="s">
        <v>779</v>
      </c>
      <c r="C10" s="505" t="s">
        <v>1197</v>
      </c>
      <c r="D10" s="505" t="s">
        <v>1197</v>
      </c>
      <c r="E10" s="506" t="s">
        <v>1198</v>
      </c>
      <c r="F10" s="901"/>
      <c r="G10" s="901"/>
      <c r="H10" s="901"/>
      <c r="I10" s="901" t="s">
        <v>894</v>
      </c>
      <c r="J10" s="510"/>
      <c r="K10" s="901" t="s">
        <v>599</v>
      </c>
      <c r="L10" s="901" t="s">
        <v>895</v>
      </c>
      <c r="M10" s="901"/>
      <c r="N10" s="901" t="s">
        <v>600</v>
      </c>
      <c r="O10" s="901"/>
      <c r="P10" s="901"/>
      <c r="Q10" s="902"/>
      <c r="R10" s="901"/>
      <c r="S10" s="901"/>
      <c r="T10" s="902" t="s">
        <v>601</v>
      </c>
      <c r="U10" s="509" t="s">
        <v>834</v>
      </c>
      <c r="V10" s="1156"/>
      <c r="X10" s="508"/>
    </row>
    <row r="11" spans="1:24" s="514" customFormat="1" ht="13.5" thickBot="1">
      <c r="A11" s="485"/>
      <c r="B11" s="511">
        <v>1</v>
      </c>
      <c r="C11" s="512">
        <v>6</v>
      </c>
      <c r="D11" s="512">
        <v>7</v>
      </c>
      <c r="E11" s="512">
        <v>8</v>
      </c>
      <c r="F11" s="512">
        <v>2</v>
      </c>
      <c r="G11" s="512">
        <v>3</v>
      </c>
      <c r="H11" s="512">
        <v>4</v>
      </c>
      <c r="I11" s="512">
        <v>5</v>
      </c>
      <c r="J11" s="512">
        <v>10</v>
      </c>
      <c r="K11" s="512">
        <v>6</v>
      </c>
      <c r="L11" s="512">
        <v>7</v>
      </c>
      <c r="M11" s="512">
        <v>8</v>
      </c>
      <c r="N11" s="512">
        <v>9</v>
      </c>
      <c r="O11" s="512">
        <v>10</v>
      </c>
      <c r="P11" s="512">
        <v>11</v>
      </c>
      <c r="Q11" s="512">
        <v>12</v>
      </c>
      <c r="R11" s="512">
        <v>13</v>
      </c>
      <c r="S11" s="512">
        <v>14</v>
      </c>
      <c r="T11" s="512">
        <v>15</v>
      </c>
      <c r="U11" s="512">
        <v>16</v>
      </c>
      <c r="V11" s="512">
        <v>17</v>
      </c>
      <c r="X11" s="513"/>
    </row>
    <row r="12" spans="1:24" s="519" customFormat="1" ht="18" customHeight="1" thickBot="1" thickTop="1">
      <c r="A12" s="515"/>
      <c r="B12" s="1179" t="s">
        <v>897</v>
      </c>
      <c r="C12" s="516" t="e">
        <f>C13+C522+C927+C1018+C1174+C1184</f>
        <v>#REF!</v>
      </c>
      <c r="D12" s="516" t="e">
        <f>D13+D522+D927+D1018+D1174+D1184</f>
        <v>#REF!</v>
      </c>
      <c r="E12" s="516" t="e">
        <f>E13+E522+E927+E1018+E1174+E1184</f>
        <v>#REF!</v>
      </c>
      <c r="F12" s="516">
        <f aca="true" t="shared" si="0" ref="F12:T12">F13+F522</f>
        <v>-192067</v>
      </c>
      <c r="G12" s="516">
        <f t="shared" si="0"/>
        <v>-9510</v>
      </c>
      <c r="H12" s="516">
        <f t="shared" si="0"/>
        <v>14550</v>
      </c>
      <c r="I12" s="516">
        <f t="shared" si="0"/>
        <v>1225</v>
      </c>
      <c r="J12" s="516">
        <f t="shared" si="0"/>
        <v>105</v>
      </c>
      <c r="K12" s="516">
        <f t="shared" si="0"/>
        <v>117514</v>
      </c>
      <c r="L12" s="516">
        <f t="shared" si="0"/>
        <v>985</v>
      </c>
      <c r="M12" s="516">
        <f t="shared" si="0"/>
        <v>14468</v>
      </c>
      <c r="N12" s="516">
        <f t="shared" si="0"/>
        <v>105</v>
      </c>
      <c r="O12" s="516">
        <f t="shared" si="0"/>
        <v>165250</v>
      </c>
      <c r="P12" s="516">
        <f t="shared" si="0"/>
        <v>53938</v>
      </c>
      <c r="Q12" s="516">
        <f t="shared" si="0"/>
        <v>400</v>
      </c>
      <c r="R12" s="516">
        <f t="shared" si="0"/>
        <v>15812</v>
      </c>
      <c r="S12" s="516">
        <f t="shared" si="0"/>
        <v>314</v>
      </c>
      <c r="T12" s="516">
        <f t="shared" si="0"/>
        <v>320027</v>
      </c>
      <c r="U12" s="907">
        <f>U13+U522+U927+U1018+U1174+U1184</f>
        <v>-207</v>
      </c>
      <c r="V12" s="1157">
        <f>F12+G12+H12+I12+K12+L12+M12+N12+O12+P12+Q12+R12+S12+T12+U12</f>
        <v>502804</v>
      </c>
      <c r="W12" s="517"/>
      <c r="X12" s="518"/>
    </row>
    <row r="13" spans="1:24" s="504" customFormat="1" ht="18" customHeight="1" thickBot="1" thickTop="1">
      <c r="A13" s="520"/>
      <c r="B13" s="1180" t="s">
        <v>898</v>
      </c>
      <c r="C13" s="521" t="e">
        <f>C14+C70+C94+C135+C141+C159+C225+C255+C261+C292+C331+C335+C354+C359+#REF!+#REF!+#REF!+#REF!+#REF!+#REF!+C376+#REF!</f>
        <v>#REF!</v>
      </c>
      <c r="D13" s="521" t="e">
        <f>D14+D70+D94+D135+D141+D159+D225+D255+D261+D292+D331+D335+D354+D359+#REF!+#REF!+#REF!+#REF!+#REF!+#REF!+D376+#REF!</f>
        <v>#REF!</v>
      </c>
      <c r="E13" s="521" t="e">
        <f>E14+E70+E94+E135+E141+E159+E225+E255+E261+E292+E331+E335+E354+E359+#REF!+#REF!+#REF!+#REF!+#REF!+#REF!+E376+#REF!</f>
        <v>#REF!</v>
      </c>
      <c r="F13" s="521">
        <f>F14+F141+F225+F261+F292+F331+F335+F357+F359+F374+F376</f>
        <v>-238000</v>
      </c>
      <c r="G13" s="521">
        <f>G14+G141+G225+G261+G292+G331+G335+G357+G359+G374+G376</f>
        <v>-31140</v>
      </c>
      <c r="H13" s="521">
        <f aca="true" t="shared" si="1" ref="H13:U13">H14+H141+H225+H261+H292+H331+H335+H357+H359+H374+H376</f>
        <v>13320</v>
      </c>
      <c r="I13" s="521">
        <f t="shared" si="1"/>
        <v>2225</v>
      </c>
      <c r="J13" s="521">
        <f t="shared" si="1"/>
        <v>105</v>
      </c>
      <c r="K13" s="521"/>
      <c r="L13" s="521">
        <f t="shared" si="1"/>
        <v>985</v>
      </c>
      <c r="M13" s="521">
        <f t="shared" si="1"/>
        <v>18468</v>
      </c>
      <c r="N13" s="521">
        <f t="shared" si="1"/>
        <v>105</v>
      </c>
      <c r="O13" s="521">
        <f t="shared" si="1"/>
        <v>139250</v>
      </c>
      <c r="P13" s="521">
        <f t="shared" si="1"/>
        <v>22938</v>
      </c>
      <c r="Q13" s="521">
        <f t="shared" si="1"/>
        <v>400</v>
      </c>
      <c r="R13" s="521">
        <f t="shared" si="1"/>
        <v>10812</v>
      </c>
      <c r="S13" s="521">
        <f t="shared" si="1"/>
        <v>314</v>
      </c>
      <c r="T13" s="521">
        <f t="shared" si="1"/>
        <v>322057</v>
      </c>
      <c r="U13" s="521">
        <f t="shared" si="1"/>
        <v>-207</v>
      </c>
      <c r="V13" s="1157">
        <f>F13+G13+H13+I13+K13+L13+M13+N13+O13+P13+Q13+R13+S13+T13+U13</f>
        <v>261527</v>
      </c>
      <c r="W13" s="522"/>
      <c r="X13" s="508"/>
    </row>
    <row r="14" spans="1:25" s="504" customFormat="1" ht="18" customHeight="1" thickBot="1">
      <c r="A14" s="523">
        <v>80101</v>
      </c>
      <c r="B14" s="1197" t="s">
        <v>602</v>
      </c>
      <c r="C14" s="524">
        <f>SUM(C15:C69)</f>
        <v>0</v>
      </c>
      <c r="D14" s="524">
        <f>SUM(D15:D69)</f>
        <v>0</v>
      </c>
      <c r="E14" s="524">
        <f>SUM(E15:E69)</f>
        <v>0</v>
      </c>
      <c r="F14" s="524"/>
      <c r="G14" s="524">
        <f>G70</f>
        <v>560</v>
      </c>
      <c r="H14" s="524">
        <f>SUM(H15:H69)+H70</f>
        <v>17070</v>
      </c>
      <c r="I14" s="524">
        <f>I70</f>
        <v>500</v>
      </c>
      <c r="J14" s="524">
        <f>SUM(J15:J69)</f>
        <v>0</v>
      </c>
      <c r="K14" s="524"/>
      <c r="L14" s="524"/>
      <c r="M14" s="524"/>
      <c r="N14" s="524"/>
      <c r="O14" s="524">
        <f>SUM(O15:O69)</f>
        <v>130000</v>
      </c>
      <c r="P14" s="524">
        <f>SUM(P15:P69)</f>
        <v>4700</v>
      </c>
      <c r="Q14" s="524"/>
      <c r="R14" s="524">
        <f>SUM(R15:R69)</f>
        <v>2000</v>
      </c>
      <c r="S14" s="524"/>
      <c r="T14" s="524">
        <f>SUM(T15:T69)</f>
        <v>40500</v>
      </c>
      <c r="U14" s="525"/>
      <c r="V14" s="1158">
        <f aca="true" t="shared" si="2" ref="V14:V78">SUM(C14:U14)</f>
        <v>195330</v>
      </c>
      <c r="W14" s="522"/>
      <c r="X14" s="508"/>
      <c r="Y14" s="526"/>
    </row>
    <row r="15" spans="1:24" s="504" customFormat="1" ht="18" customHeight="1" hidden="1">
      <c r="A15" s="527">
        <v>2</v>
      </c>
      <c r="B15" s="1198" t="s">
        <v>603</v>
      </c>
      <c r="C15" s="529"/>
      <c r="D15" s="529"/>
      <c r="E15" s="529"/>
      <c r="F15" s="529"/>
      <c r="G15" s="529"/>
      <c r="H15" s="529"/>
      <c r="I15" s="529"/>
      <c r="J15" s="529"/>
      <c r="K15" s="529"/>
      <c r="L15" s="529"/>
      <c r="M15" s="529"/>
      <c r="N15" s="529"/>
      <c r="O15" s="529"/>
      <c r="P15" s="529"/>
      <c r="Q15" s="529"/>
      <c r="R15" s="529"/>
      <c r="S15" s="529"/>
      <c r="T15" s="529"/>
      <c r="U15" s="529"/>
      <c r="V15" s="1159">
        <f t="shared" si="2"/>
        <v>0</v>
      </c>
      <c r="W15" s="522"/>
      <c r="X15" s="508"/>
    </row>
    <row r="16" spans="1:24" s="504" customFormat="1" ht="18" customHeight="1" hidden="1">
      <c r="A16" s="530">
        <v>3</v>
      </c>
      <c r="B16" s="634" t="s">
        <v>604</v>
      </c>
      <c r="C16" s="532"/>
      <c r="D16" s="532"/>
      <c r="E16" s="532"/>
      <c r="F16" s="532"/>
      <c r="G16" s="532"/>
      <c r="H16" s="532"/>
      <c r="I16" s="532"/>
      <c r="J16" s="532"/>
      <c r="K16" s="532"/>
      <c r="L16" s="532"/>
      <c r="M16" s="532"/>
      <c r="N16" s="532"/>
      <c r="O16" s="532"/>
      <c r="P16" s="532"/>
      <c r="Q16" s="532"/>
      <c r="R16" s="532"/>
      <c r="S16" s="532"/>
      <c r="T16" s="532"/>
      <c r="U16" s="532"/>
      <c r="V16" s="1160">
        <f t="shared" si="2"/>
        <v>0</v>
      </c>
      <c r="W16" s="522"/>
      <c r="X16" s="508"/>
    </row>
    <row r="17" spans="1:24" s="504" customFormat="1" ht="18" customHeight="1">
      <c r="A17" s="527">
        <v>4</v>
      </c>
      <c r="B17" s="634" t="s">
        <v>605</v>
      </c>
      <c r="C17" s="534"/>
      <c r="D17" s="534"/>
      <c r="E17" s="534"/>
      <c r="F17" s="534"/>
      <c r="G17" s="534"/>
      <c r="H17" s="534"/>
      <c r="I17" s="534"/>
      <c r="J17" s="534"/>
      <c r="K17" s="534"/>
      <c r="L17" s="534"/>
      <c r="M17" s="534"/>
      <c r="N17" s="534"/>
      <c r="O17" s="534">
        <v>15000</v>
      </c>
      <c r="P17" s="534"/>
      <c r="Q17" s="534"/>
      <c r="R17" s="534"/>
      <c r="S17" s="534"/>
      <c r="T17" s="534"/>
      <c r="U17" s="534"/>
      <c r="V17" s="1161">
        <f t="shared" si="2"/>
        <v>15000</v>
      </c>
      <c r="W17" s="522"/>
      <c r="X17" s="508"/>
    </row>
    <row r="18" spans="1:24" s="504" customFormat="1" ht="18" customHeight="1" hidden="1">
      <c r="A18" s="530">
        <v>5</v>
      </c>
      <c r="B18" s="634" t="s">
        <v>606</v>
      </c>
      <c r="C18" s="534"/>
      <c r="D18" s="534"/>
      <c r="E18" s="534"/>
      <c r="F18" s="534"/>
      <c r="G18" s="534"/>
      <c r="H18" s="534"/>
      <c r="I18" s="534"/>
      <c r="J18" s="534"/>
      <c r="K18" s="534"/>
      <c r="L18" s="534"/>
      <c r="M18" s="534"/>
      <c r="N18" s="534"/>
      <c r="O18" s="534"/>
      <c r="P18" s="534"/>
      <c r="Q18" s="534"/>
      <c r="R18" s="534"/>
      <c r="S18" s="534"/>
      <c r="T18" s="534"/>
      <c r="U18" s="534"/>
      <c r="V18" s="1161">
        <f t="shared" si="2"/>
        <v>0</v>
      </c>
      <c r="W18" s="522"/>
      <c r="X18" s="508"/>
    </row>
    <row r="19" spans="1:24" s="504" customFormat="1" ht="18" customHeight="1">
      <c r="A19" s="527">
        <v>6</v>
      </c>
      <c r="B19" s="634" t="s">
        <v>607</v>
      </c>
      <c r="C19" s="534"/>
      <c r="D19" s="534"/>
      <c r="E19" s="534"/>
      <c r="F19" s="534"/>
      <c r="G19" s="534"/>
      <c r="H19" s="534"/>
      <c r="I19" s="534"/>
      <c r="J19" s="534"/>
      <c r="K19" s="534"/>
      <c r="L19" s="534"/>
      <c r="M19" s="534"/>
      <c r="N19" s="534"/>
      <c r="O19" s="534">
        <v>10000</v>
      </c>
      <c r="P19" s="534"/>
      <c r="Q19" s="534"/>
      <c r="R19" s="534"/>
      <c r="S19" s="534"/>
      <c r="T19" s="534">
        <v>22800</v>
      </c>
      <c r="U19" s="534"/>
      <c r="V19" s="1161">
        <f t="shared" si="2"/>
        <v>32800</v>
      </c>
      <c r="W19" s="522"/>
      <c r="X19" s="508"/>
    </row>
    <row r="20" spans="1:24" s="504" customFormat="1" ht="18" customHeight="1" hidden="1">
      <c r="A20" s="530">
        <v>7</v>
      </c>
      <c r="B20" s="634" t="s">
        <v>608</v>
      </c>
      <c r="C20" s="534"/>
      <c r="D20" s="534"/>
      <c r="E20" s="534"/>
      <c r="F20" s="534"/>
      <c r="G20" s="534"/>
      <c r="H20" s="534"/>
      <c r="I20" s="534"/>
      <c r="J20" s="534"/>
      <c r="K20" s="534"/>
      <c r="L20" s="534"/>
      <c r="M20" s="534"/>
      <c r="N20" s="534"/>
      <c r="O20" s="534"/>
      <c r="P20" s="534"/>
      <c r="Q20" s="534"/>
      <c r="R20" s="534"/>
      <c r="S20" s="534"/>
      <c r="T20" s="534"/>
      <c r="U20" s="534"/>
      <c r="V20" s="1161">
        <f t="shared" si="2"/>
        <v>0</v>
      </c>
      <c r="W20" s="522"/>
      <c r="X20" s="508"/>
    </row>
    <row r="21" spans="1:24" s="504" customFormat="1" ht="18" customHeight="1" hidden="1">
      <c r="A21" s="530">
        <v>9</v>
      </c>
      <c r="B21" s="634" t="s">
        <v>609</v>
      </c>
      <c r="C21" s="534"/>
      <c r="D21" s="534"/>
      <c r="E21" s="534"/>
      <c r="F21" s="534"/>
      <c r="G21" s="534"/>
      <c r="H21" s="534"/>
      <c r="I21" s="534"/>
      <c r="J21" s="534"/>
      <c r="K21" s="534"/>
      <c r="L21" s="534"/>
      <c r="M21" s="534"/>
      <c r="N21" s="534"/>
      <c r="O21" s="534"/>
      <c r="P21" s="534"/>
      <c r="Q21" s="534"/>
      <c r="R21" s="534"/>
      <c r="S21" s="534"/>
      <c r="T21" s="534"/>
      <c r="U21" s="534"/>
      <c r="V21" s="1161">
        <f t="shared" si="2"/>
        <v>0</v>
      </c>
      <c r="W21" s="522"/>
      <c r="X21" s="508"/>
    </row>
    <row r="22" spans="1:24" s="504" customFormat="1" ht="18" customHeight="1">
      <c r="A22" s="527">
        <v>10</v>
      </c>
      <c r="B22" s="634" t="s">
        <v>610</v>
      </c>
      <c r="C22" s="534"/>
      <c r="D22" s="534"/>
      <c r="E22" s="534"/>
      <c r="F22" s="534"/>
      <c r="G22" s="534"/>
      <c r="H22" s="534">
        <v>7000</v>
      </c>
      <c r="I22" s="534"/>
      <c r="J22" s="534"/>
      <c r="K22" s="534"/>
      <c r="L22" s="534"/>
      <c r="M22" s="534"/>
      <c r="N22" s="534"/>
      <c r="O22" s="534">
        <v>15000</v>
      </c>
      <c r="P22" s="534"/>
      <c r="Q22" s="534"/>
      <c r="R22" s="534"/>
      <c r="S22" s="534"/>
      <c r="T22" s="534"/>
      <c r="U22" s="534"/>
      <c r="V22" s="1161">
        <f t="shared" si="2"/>
        <v>22000</v>
      </c>
      <c r="W22" s="522"/>
      <c r="X22" s="508"/>
    </row>
    <row r="23" spans="1:24" s="504" customFormat="1" ht="18" customHeight="1" hidden="1">
      <c r="A23" s="530">
        <v>11</v>
      </c>
      <c r="B23" s="634" t="s">
        <v>611</v>
      </c>
      <c r="C23" s="534"/>
      <c r="D23" s="534"/>
      <c r="E23" s="534"/>
      <c r="F23" s="534"/>
      <c r="G23" s="534"/>
      <c r="H23" s="534"/>
      <c r="I23" s="534"/>
      <c r="J23" s="534"/>
      <c r="K23" s="534"/>
      <c r="L23" s="534"/>
      <c r="M23" s="534"/>
      <c r="N23" s="534"/>
      <c r="O23" s="534"/>
      <c r="P23" s="534"/>
      <c r="Q23" s="534"/>
      <c r="R23" s="534"/>
      <c r="S23" s="534"/>
      <c r="T23" s="534"/>
      <c r="U23" s="534"/>
      <c r="V23" s="1161">
        <f t="shared" si="2"/>
        <v>0</v>
      </c>
      <c r="W23" s="522"/>
      <c r="X23" s="508"/>
    </row>
    <row r="24" spans="1:24" s="535" customFormat="1" ht="18" customHeight="1" hidden="1">
      <c r="A24" s="527">
        <v>12</v>
      </c>
      <c r="B24" s="634" t="s">
        <v>612</v>
      </c>
      <c r="C24" s="534"/>
      <c r="D24" s="534"/>
      <c r="E24" s="534"/>
      <c r="F24" s="534"/>
      <c r="G24" s="534"/>
      <c r="H24" s="534"/>
      <c r="I24" s="534"/>
      <c r="J24" s="534"/>
      <c r="K24" s="534"/>
      <c r="L24" s="534"/>
      <c r="M24" s="534"/>
      <c r="N24" s="534"/>
      <c r="O24" s="534"/>
      <c r="P24" s="534"/>
      <c r="Q24" s="534"/>
      <c r="R24" s="534"/>
      <c r="S24" s="534"/>
      <c r="T24" s="534"/>
      <c r="U24" s="534"/>
      <c r="V24" s="1161">
        <f t="shared" si="2"/>
        <v>0</v>
      </c>
      <c r="W24" s="522"/>
      <c r="X24" s="508"/>
    </row>
    <row r="25" spans="1:24" ht="18" customHeight="1">
      <c r="A25" s="527">
        <v>14</v>
      </c>
      <c r="B25" s="633" t="s">
        <v>613</v>
      </c>
      <c r="C25" s="534"/>
      <c r="D25" s="534"/>
      <c r="E25" s="534"/>
      <c r="F25" s="534"/>
      <c r="G25" s="534"/>
      <c r="H25" s="534"/>
      <c r="I25" s="534"/>
      <c r="J25" s="534"/>
      <c r="K25" s="534"/>
      <c r="L25" s="534"/>
      <c r="M25" s="534"/>
      <c r="N25" s="534"/>
      <c r="O25" s="534"/>
      <c r="P25" s="534"/>
      <c r="Q25" s="534"/>
      <c r="R25" s="534">
        <v>2000</v>
      </c>
      <c r="S25" s="534"/>
      <c r="T25" s="534"/>
      <c r="U25" s="534"/>
      <c r="V25" s="1161">
        <f t="shared" si="2"/>
        <v>2000</v>
      </c>
      <c r="W25" s="522"/>
      <c r="X25" s="508"/>
    </row>
    <row r="26" spans="1:24" ht="18" customHeight="1" hidden="1">
      <c r="A26" s="530">
        <v>15</v>
      </c>
      <c r="B26" s="633" t="s">
        <v>614</v>
      </c>
      <c r="C26" s="534"/>
      <c r="D26" s="534"/>
      <c r="E26" s="534"/>
      <c r="F26" s="534"/>
      <c r="G26" s="534"/>
      <c r="H26" s="534"/>
      <c r="I26" s="534"/>
      <c r="J26" s="534"/>
      <c r="K26" s="534"/>
      <c r="L26" s="534"/>
      <c r="M26" s="534"/>
      <c r="N26" s="534"/>
      <c r="O26" s="534"/>
      <c r="P26" s="534"/>
      <c r="Q26" s="534"/>
      <c r="R26" s="534"/>
      <c r="S26" s="534"/>
      <c r="T26" s="534"/>
      <c r="U26" s="534"/>
      <c r="V26" s="1161">
        <f t="shared" si="2"/>
        <v>0</v>
      </c>
      <c r="W26" s="522"/>
      <c r="X26" s="508"/>
    </row>
    <row r="27" spans="1:24" ht="18" customHeight="1" hidden="1">
      <c r="A27" s="527">
        <v>16</v>
      </c>
      <c r="B27" s="633" t="s">
        <v>615</v>
      </c>
      <c r="C27" s="534"/>
      <c r="D27" s="534"/>
      <c r="E27" s="534"/>
      <c r="F27" s="534"/>
      <c r="G27" s="534"/>
      <c r="H27" s="534"/>
      <c r="I27" s="534"/>
      <c r="J27" s="534"/>
      <c r="K27" s="534"/>
      <c r="L27" s="534"/>
      <c r="M27" s="534"/>
      <c r="N27" s="534"/>
      <c r="O27" s="534"/>
      <c r="P27" s="534"/>
      <c r="Q27" s="534"/>
      <c r="R27" s="534"/>
      <c r="S27" s="534"/>
      <c r="T27" s="534"/>
      <c r="U27" s="534"/>
      <c r="V27" s="1161">
        <f t="shared" si="2"/>
        <v>0</v>
      </c>
      <c r="W27" s="522"/>
      <c r="X27" s="508"/>
    </row>
    <row r="28" spans="1:24" ht="18" customHeight="1" hidden="1">
      <c r="A28" s="530">
        <v>17</v>
      </c>
      <c r="B28" s="633" t="s">
        <v>616</v>
      </c>
      <c r="C28" s="534"/>
      <c r="D28" s="534"/>
      <c r="E28" s="534"/>
      <c r="F28" s="534"/>
      <c r="G28" s="534"/>
      <c r="H28" s="534"/>
      <c r="I28" s="534"/>
      <c r="J28" s="534"/>
      <c r="K28" s="534"/>
      <c r="L28" s="534"/>
      <c r="M28" s="534"/>
      <c r="N28" s="534"/>
      <c r="O28" s="534"/>
      <c r="P28" s="534"/>
      <c r="Q28" s="534"/>
      <c r="R28" s="534"/>
      <c r="S28" s="534"/>
      <c r="T28" s="534"/>
      <c r="U28" s="534"/>
      <c r="V28" s="1161">
        <f t="shared" si="2"/>
        <v>0</v>
      </c>
      <c r="W28" s="522"/>
      <c r="X28" s="508"/>
    </row>
    <row r="29" spans="1:24" ht="18" customHeight="1" hidden="1">
      <c r="A29" s="527">
        <v>18</v>
      </c>
      <c r="B29" s="633" t="s">
        <v>617</v>
      </c>
      <c r="C29" s="534"/>
      <c r="D29" s="534"/>
      <c r="E29" s="534"/>
      <c r="F29" s="534"/>
      <c r="G29" s="534"/>
      <c r="H29" s="534"/>
      <c r="I29" s="534"/>
      <c r="J29" s="534"/>
      <c r="K29" s="534"/>
      <c r="L29" s="534"/>
      <c r="M29" s="534"/>
      <c r="N29" s="534"/>
      <c r="O29" s="534"/>
      <c r="P29" s="534"/>
      <c r="Q29" s="534"/>
      <c r="R29" s="534"/>
      <c r="S29" s="534"/>
      <c r="T29" s="534"/>
      <c r="U29" s="534"/>
      <c r="V29" s="1161">
        <f t="shared" si="2"/>
        <v>0</v>
      </c>
      <c r="W29" s="522"/>
      <c r="X29" s="508"/>
    </row>
    <row r="30" spans="1:24" ht="18" customHeight="1">
      <c r="A30" s="527">
        <v>20</v>
      </c>
      <c r="B30" s="633" t="s">
        <v>618</v>
      </c>
      <c r="C30" s="534"/>
      <c r="D30" s="534"/>
      <c r="E30" s="534"/>
      <c r="F30" s="534"/>
      <c r="G30" s="534"/>
      <c r="H30" s="534"/>
      <c r="I30" s="534"/>
      <c r="J30" s="534"/>
      <c r="K30" s="534"/>
      <c r="L30" s="534"/>
      <c r="M30" s="534"/>
      <c r="N30" s="534"/>
      <c r="O30" s="534">
        <v>10000</v>
      </c>
      <c r="P30" s="534"/>
      <c r="Q30" s="534"/>
      <c r="R30" s="534"/>
      <c r="S30" s="534"/>
      <c r="T30" s="534"/>
      <c r="U30" s="534"/>
      <c r="V30" s="1161">
        <f t="shared" si="2"/>
        <v>10000</v>
      </c>
      <c r="W30" s="522"/>
      <c r="X30" s="508"/>
    </row>
    <row r="31" spans="1:24" ht="18" customHeight="1">
      <c r="A31" s="530">
        <v>21</v>
      </c>
      <c r="B31" s="633" t="s">
        <v>648</v>
      </c>
      <c r="C31" s="534"/>
      <c r="D31" s="534"/>
      <c r="E31" s="534"/>
      <c r="F31" s="534"/>
      <c r="G31" s="534"/>
      <c r="H31" s="534"/>
      <c r="I31" s="534"/>
      <c r="J31" s="534"/>
      <c r="K31" s="534"/>
      <c r="L31" s="534"/>
      <c r="M31" s="534"/>
      <c r="N31" s="534"/>
      <c r="O31" s="534">
        <v>15000</v>
      </c>
      <c r="P31" s="534"/>
      <c r="Q31" s="534"/>
      <c r="R31" s="534"/>
      <c r="S31" s="534"/>
      <c r="T31" s="534"/>
      <c r="U31" s="534"/>
      <c r="V31" s="1161">
        <f t="shared" si="2"/>
        <v>15000</v>
      </c>
      <c r="W31" s="522"/>
      <c r="X31" s="508"/>
    </row>
    <row r="32" spans="1:24" ht="18" customHeight="1" hidden="1">
      <c r="A32" s="527">
        <v>22</v>
      </c>
      <c r="B32" s="633" t="s">
        <v>649</v>
      </c>
      <c r="C32" s="534"/>
      <c r="D32" s="534"/>
      <c r="E32" s="534"/>
      <c r="F32" s="534"/>
      <c r="G32" s="534"/>
      <c r="H32" s="534"/>
      <c r="I32" s="534"/>
      <c r="J32" s="534"/>
      <c r="K32" s="534"/>
      <c r="L32" s="534"/>
      <c r="M32" s="534"/>
      <c r="N32" s="534"/>
      <c r="O32" s="534"/>
      <c r="P32" s="534"/>
      <c r="Q32" s="534"/>
      <c r="R32" s="534"/>
      <c r="S32" s="534"/>
      <c r="T32" s="534"/>
      <c r="U32" s="534"/>
      <c r="V32" s="1161">
        <f t="shared" si="2"/>
        <v>0</v>
      </c>
      <c r="W32" s="522"/>
      <c r="X32" s="508"/>
    </row>
    <row r="33" spans="1:24" ht="18" customHeight="1" hidden="1">
      <c r="A33" s="530">
        <v>23</v>
      </c>
      <c r="B33" s="633" t="s">
        <v>650</v>
      </c>
      <c r="C33" s="534"/>
      <c r="D33" s="534"/>
      <c r="E33" s="534"/>
      <c r="F33" s="534"/>
      <c r="G33" s="534"/>
      <c r="H33" s="534"/>
      <c r="I33" s="534"/>
      <c r="J33" s="534"/>
      <c r="K33" s="534"/>
      <c r="L33" s="534"/>
      <c r="M33" s="534"/>
      <c r="N33" s="534"/>
      <c r="O33" s="534"/>
      <c r="P33" s="534"/>
      <c r="Q33" s="534"/>
      <c r="R33" s="534"/>
      <c r="S33" s="534"/>
      <c r="T33" s="534"/>
      <c r="U33" s="534"/>
      <c r="V33" s="1161">
        <f t="shared" si="2"/>
        <v>0</v>
      </c>
      <c r="W33" s="522"/>
      <c r="X33" s="508"/>
    </row>
    <row r="34" spans="1:24" ht="18" customHeight="1">
      <c r="A34" s="527">
        <v>24</v>
      </c>
      <c r="B34" s="633" t="s">
        <v>651</v>
      </c>
      <c r="C34" s="534"/>
      <c r="D34" s="534"/>
      <c r="E34" s="534"/>
      <c r="F34" s="534"/>
      <c r="G34" s="534"/>
      <c r="H34" s="534"/>
      <c r="I34" s="534"/>
      <c r="J34" s="534"/>
      <c r="K34" s="534"/>
      <c r="L34" s="534"/>
      <c r="M34" s="534"/>
      <c r="N34" s="534"/>
      <c r="O34" s="534">
        <v>15000</v>
      </c>
      <c r="P34" s="534"/>
      <c r="Q34" s="534"/>
      <c r="R34" s="534"/>
      <c r="S34" s="534"/>
      <c r="T34" s="534"/>
      <c r="U34" s="534"/>
      <c r="V34" s="1161">
        <f t="shared" si="2"/>
        <v>15000</v>
      </c>
      <c r="W34" s="522"/>
      <c r="X34" s="508"/>
    </row>
    <row r="35" spans="1:24" ht="18" customHeight="1">
      <c r="A35" s="530">
        <v>25</v>
      </c>
      <c r="B35" s="633" t="s">
        <v>652</v>
      </c>
      <c r="C35" s="534"/>
      <c r="D35" s="534"/>
      <c r="E35" s="534"/>
      <c r="F35" s="534"/>
      <c r="G35" s="534"/>
      <c r="H35" s="534"/>
      <c r="I35" s="534"/>
      <c r="J35" s="534"/>
      <c r="K35" s="534"/>
      <c r="L35" s="534"/>
      <c r="M35" s="534"/>
      <c r="N35" s="534"/>
      <c r="O35" s="534">
        <v>10000</v>
      </c>
      <c r="P35" s="534"/>
      <c r="Q35" s="534"/>
      <c r="R35" s="534"/>
      <c r="S35" s="534"/>
      <c r="T35" s="534"/>
      <c r="U35" s="534"/>
      <c r="V35" s="1161">
        <f t="shared" si="2"/>
        <v>10000</v>
      </c>
      <c r="W35" s="522"/>
      <c r="X35" s="508"/>
    </row>
    <row r="36" spans="1:24" ht="18" customHeight="1">
      <c r="A36" s="527">
        <v>27</v>
      </c>
      <c r="B36" s="633" t="s">
        <v>653</v>
      </c>
      <c r="C36" s="534"/>
      <c r="D36" s="534"/>
      <c r="E36" s="534"/>
      <c r="F36" s="534"/>
      <c r="G36" s="534"/>
      <c r="H36" s="534"/>
      <c r="I36" s="534"/>
      <c r="J36" s="534"/>
      <c r="K36" s="534"/>
      <c r="L36" s="534"/>
      <c r="M36" s="534"/>
      <c r="N36" s="534"/>
      <c r="O36" s="534">
        <v>20000</v>
      </c>
      <c r="P36" s="534"/>
      <c r="Q36" s="534"/>
      <c r="R36" s="534"/>
      <c r="S36" s="534"/>
      <c r="T36" s="534"/>
      <c r="U36" s="534"/>
      <c r="V36" s="1161">
        <f t="shared" si="2"/>
        <v>20000</v>
      </c>
      <c r="W36" s="536"/>
      <c r="X36" s="508"/>
    </row>
    <row r="37" spans="1:24" ht="18" customHeight="1">
      <c r="A37" s="530">
        <v>28</v>
      </c>
      <c r="B37" s="633" t="s">
        <v>654</v>
      </c>
      <c r="C37" s="534"/>
      <c r="D37" s="534"/>
      <c r="E37" s="534"/>
      <c r="F37" s="534"/>
      <c r="G37" s="534"/>
      <c r="H37" s="534"/>
      <c r="I37" s="534"/>
      <c r="J37" s="534"/>
      <c r="K37" s="534"/>
      <c r="L37" s="534"/>
      <c r="M37" s="534"/>
      <c r="N37" s="534"/>
      <c r="O37" s="534">
        <v>20000</v>
      </c>
      <c r="P37" s="534"/>
      <c r="Q37" s="534"/>
      <c r="R37" s="534"/>
      <c r="S37" s="534"/>
      <c r="T37" s="534"/>
      <c r="U37" s="534"/>
      <c r="V37" s="1161">
        <f t="shared" si="2"/>
        <v>20000</v>
      </c>
      <c r="W37" s="536"/>
      <c r="X37" s="508"/>
    </row>
    <row r="38" spans="1:24" ht="18" customHeight="1" hidden="1">
      <c r="A38" s="527">
        <v>29</v>
      </c>
      <c r="B38" s="633" t="s">
        <v>655</v>
      </c>
      <c r="C38" s="534"/>
      <c r="D38" s="534"/>
      <c r="E38" s="534"/>
      <c r="F38" s="534"/>
      <c r="G38" s="534"/>
      <c r="H38" s="534"/>
      <c r="I38" s="534"/>
      <c r="J38" s="534"/>
      <c r="K38" s="534"/>
      <c r="L38" s="534"/>
      <c r="M38" s="534"/>
      <c r="N38" s="534"/>
      <c r="O38" s="534"/>
      <c r="P38" s="534"/>
      <c r="Q38" s="534"/>
      <c r="R38" s="534"/>
      <c r="S38" s="534"/>
      <c r="T38" s="534"/>
      <c r="U38" s="534"/>
      <c r="V38" s="1161">
        <f t="shared" si="2"/>
        <v>0</v>
      </c>
      <c r="W38" s="536"/>
      <c r="X38" s="508"/>
    </row>
    <row r="39" spans="1:24" ht="18" customHeight="1" hidden="1" thickBot="1">
      <c r="A39" s="530">
        <v>30</v>
      </c>
      <c r="B39" s="633" t="s">
        <v>656</v>
      </c>
      <c r="C39" s="534"/>
      <c r="D39" s="534"/>
      <c r="E39" s="534"/>
      <c r="F39" s="534"/>
      <c r="G39" s="534"/>
      <c r="H39" s="534"/>
      <c r="I39" s="534"/>
      <c r="J39" s="534"/>
      <c r="K39" s="534"/>
      <c r="L39" s="534"/>
      <c r="M39" s="534"/>
      <c r="N39" s="534"/>
      <c r="O39" s="534"/>
      <c r="P39" s="534"/>
      <c r="Q39" s="534"/>
      <c r="R39" s="534"/>
      <c r="S39" s="534"/>
      <c r="T39" s="534"/>
      <c r="U39" s="534"/>
      <c r="V39" s="1161">
        <f t="shared" si="2"/>
        <v>0</v>
      </c>
      <c r="W39" s="536"/>
      <c r="X39" s="508"/>
    </row>
    <row r="40" spans="1:24" ht="18" customHeight="1" hidden="1">
      <c r="A40" s="527">
        <v>31</v>
      </c>
      <c r="B40" s="633" t="s">
        <v>657</v>
      </c>
      <c r="C40" s="534"/>
      <c r="D40" s="534"/>
      <c r="E40" s="534"/>
      <c r="F40" s="534"/>
      <c r="G40" s="534"/>
      <c r="H40" s="534"/>
      <c r="I40" s="534"/>
      <c r="J40" s="534"/>
      <c r="K40" s="534"/>
      <c r="L40" s="534"/>
      <c r="M40" s="534"/>
      <c r="N40" s="534"/>
      <c r="O40" s="534"/>
      <c r="P40" s="534"/>
      <c r="Q40" s="534"/>
      <c r="R40" s="534"/>
      <c r="S40" s="534"/>
      <c r="T40" s="534"/>
      <c r="U40" s="534"/>
      <c r="V40" s="1161">
        <f t="shared" si="2"/>
        <v>0</v>
      </c>
      <c r="W40" s="536"/>
      <c r="X40" s="508"/>
    </row>
    <row r="41" spans="1:24" ht="18" customHeight="1" hidden="1">
      <c r="A41" s="530">
        <v>32</v>
      </c>
      <c r="B41" s="633" t="s">
        <v>658</v>
      </c>
      <c r="C41" s="534"/>
      <c r="D41" s="534"/>
      <c r="E41" s="534"/>
      <c r="F41" s="534"/>
      <c r="G41" s="534"/>
      <c r="H41" s="534"/>
      <c r="I41" s="534"/>
      <c r="J41" s="534"/>
      <c r="K41" s="534"/>
      <c r="L41" s="534"/>
      <c r="M41" s="534"/>
      <c r="N41" s="534"/>
      <c r="O41" s="534"/>
      <c r="P41" s="534"/>
      <c r="Q41" s="534"/>
      <c r="R41" s="534"/>
      <c r="S41" s="534"/>
      <c r="T41" s="534"/>
      <c r="U41" s="534"/>
      <c r="V41" s="1161">
        <f t="shared" si="2"/>
        <v>0</v>
      </c>
      <c r="W41" s="536"/>
      <c r="X41" s="508"/>
    </row>
    <row r="42" spans="1:24" ht="18" customHeight="1" hidden="1">
      <c r="A42" s="527">
        <v>33</v>
      </c>
      <c r="B42" s="633" t="s">
        <v>659</v>
      </c>
      <c r="C42" s="534"/>
      <c r="D42" s="534"/>
      <c r="E42" s="534"/>
      <c r="F42" s="534"/>
      <c r="G42" s="534"/>
      <c r="H42" s="534"/>
      <c r="I42" s="534"/>
      <c r="J42" s="534"/>
      <c r="K42" s="534"/>
      <c r="L42" s="534"/>
      <c r="M42" s="534"/>
      <c r="N42" s="534"/>
      <c r="O42" s="534"/>
      <c r="P42" s="534"/>
      <c r="Q42" s="534"/>
      <c r="R42" s="534"/>
      <c r="S42" s="534"/>
      <c r="T42" s="534"/>
      <c r="U42" s="534"/>
      <c r="V42" s="1161">
        <f t="shared" si="2"/>
        <v>0</v>
      </c>
      <c r="W42" s="536"/>
      <c r="X42" s="508"/>
    </row>
    <row r="43" spans="1:24" ht="18" customHeight="1">
      <c r="A43" s="527"/>
      <c r="B43" s="633" t="s">
        <v>656</v>
      </c>
      <c r="C43" s="534"/>
      <c r="D43" s="534"/>
      <c r="E43" s="534"/>
      <c r="F43" s="534"/>
      <c r="G43" s="534"/>
      <c r="H43" s="534"/>
      <c r="I43" s="534"/>
      <c r="J43" s="534"/>
      <c r="K43" s="534"/>
      <c r="L43" s="534"/>
      <c r="M43" s="534"/>
      <c r="N43" s="534"/>
      <c r="O43" s="534"/>
      <c r="P43" s="534">
        <v>3800</v>
      </c>
      <c r="Q43" s="534"/>
      <c r="R43" s="534"/>
      <c r="S43" s="534"/>
      <c r="T43" s="534"/>
      <c r="U43" s="534"/>
      <c r="V43" s="1161">
        <f t="shared" si="2"/>
        <v>3800</v>
      </c>
      <c r="W43" s="536"/>
      <c r="X43" s="508"/>
    </row>
    <row r="44" spans="1:24" ht="18" customHeight="1">
      <c r="A44" s="530">
        <v>34</v>
      </c>
      <c r="B44" s="633" t="s">
        <v>660</v>
      </c>
      <c r="C44" s="534"/>
      <c r="D44" s="534"/>
      <c r="E44" s="534"/>
      <c r="F44" s="534"/>
      <c r="G44" s="534"/>
      <c r="H44" s="534">
        <v>10000</v>
      </c>
      <c r="I44" s="534"/>
      <c r="J44" s="534"/>
      <c r="K44" s="534"/>
      <c r="L44" s="534"/>
      <c r="M44" s="534"/>
      <c r="N44" s="534"/>
      <c r="O44" s="534"/>
      <c r="P44" s="534"/>
      <c r="Q44" s="534"/>
      <c r="R44" s="534"/>
      <c r="S44" s="534"/>
      <c r="T44" s="534"/>
      <c r="U44" s="534"/>
      <c r="V44" s="1161">
        <f t="shared" si="2"/>
        <v>10000</v>
      </c>
      <c r="W44" s="536"/>
      <c r="X44" s="508"/>
    </row>
    <row r="45" spans="1:24" ht="18" customHeight="1" hidden="1">
      <c r="A45" s="527">
        <v>35</v>
      </c>
      <c r="B45" s="633" t="s">
        <v>661</v>
      </c>
      <c r="C45" s="534"/>
      <c r="D45" s="534"/>
      <c r="E45" s="534"/>
      <c r="F45" s="534"/>
      <c r="G45" s="534"/>
      <c r="H45" s="534"/>
      <c r="I45" s="534"/>
      <c r="J45" s="534"/>
      <c r="K45" s="534"/>
      <c r="L45" s="534"/>
      <c r="M45" s="534"/>
      <c r="N45" s="534"/>
      <c r="O45" s="534"/>
      <c r="P45" s="534"/>
      <c r="Q45" s="534"/>
      <c r="R45" s="534"/>
      <c r="S45" s="534"/>
      <c r="T45" s="534"/>
      <c r="U45" s="534"/>
      <c r="V45" s="1161">
        <f t="shared" si="2"/>
        <v>0</v>
      </c>
      <c r="W45" s="536"/>
      <c r="X45" s="508"/>
    </row>
    <row r="46" spans="1:24" ht="18" customHeight="1" hidden="1">
      <c r="A46" s="530">
        <v>36</v>
      </c>
      <c r="B46" s="633" t="s">
        <v>662</v>
      </c>
      <c r="C46" s="534"/>
      <c r="D46" s="534"/>
      <c r="E46" s="534"/>
      <c r="F46" s="534"/>
      <c r="G46" s="534"/>
      <c r="H46" s="534"/>
      <c r="I46" s="534"/>
      <c r="J46" s="534"/>
      <c r="K46" s="534"/>
      <c r="L46" s="534"/>
      <c r="M46" s="534"/>
      <c r="N46" s="534"/>
      <c r="O46" s="534"/>
      <c r="P46" s="534"/>
      <c r="Q46" s="534"/>
      <c r="R46" s="534"/>
      <c r="S46" s="534"/>
      <c r="T46" s="534"/>
      <c r="U46" s="534"/>
      <c r="V46" s="1161">
        <f t="shared" si="2"/>
        <v>0</v>
      </c>
      <c r="W46" s="536"/>
      <c r="X46" s="508"/>
    </row>
    <row r="47" spans="1:24" ht="18" customHeight="1" hidden="1">
      <c r="A47" s="527">
        <v>37</v>
      </c>
      <c r="B47" s="633" t="s">
        <v>663</v>
      </c>
      <c r="C47" s="534"/>
      <c r="D47" s="534"/>
      <c r="E47" s="534"/>
      <c r="F47" s="534"/>
      <c r="G47" s="534"/>
      <c r="H47" s="534"/>
      <c r="I47" s="534"/>
      <c r="J47" s="534"/>
      <c r="K47" s="534"/>
      <c r="L47" s="534"/>
      <c r="M47" s="534"/>
      <c r="N47" s="534"/>
      <c r="O47" s="534"/>
      <c r="P47" s="534"/>
      <c r="Q47" s="534"/>
      <c r="R47" s="534"/>
      <c r="S47" s="534"/>
      <c r="T47" s="534"/>
      <c r="U47" s="534"/>
      <c r="V47" s="1161">
        <f t="shared" si="2"/>
        <v>0</v>
      </c>
      <c r="W47" s="536"/>
      <c r="X47" s="508"/>
    </row>
    <row r="48" spans="1:24" ht="18" customHeight="1" hidden="1">
      <c r="A48" s="530">
        <v>38</v>
      </c>
      <c r="B48" s="633" t="s">
        <v>669</v>
      </c>
      <c r="C48" s="534"/>
      <c r="D48" s="534"/>
      <c r="E48" s="534"/>
      <c r="F48" s="534"/>
      <c r="G48" s="534"/>
      <c r="H48" s="534"/>
      <c r="I48" s="534"/>
      <c r="J48" s="534"/>
      <c r="K48" s="534"/>
      <c r="L48" s="534"/>
      <c r="M48" s="534"/>
      <c r="N48" s="534"/>
      <c r="O48" s="534"/>
      <c r="P48" s="534"/>
      <c r="Q48" s="534"/>
      <c r="R48" s="534"/>
      <c r="S48" s="534"/>
      <c r="T48" s="534"/>
      <c r="U48" s="534"/>
      <c r="V48" s="1161">
        <f t="shared" si="2"/>
        <v>0</v>
      </c>
      <c r="W48" s="536"/>
      <c r="X48" s="508"/>
    </row>
    <row r="49" spans="1:24" ht="18" customHeight="1" hidden="1">
      <c r="A49" s="527">
        <v>39</v>
      </c>
      <c r="B49" s="633" t="s">
        <v>670</v>
      </c>
      <c r="C49" s="534"/>
      <c r="D49" s="534"/>
      <c r="E49" s="534"/>
      <c r="F49" s="534"/>
      <c r="G49" s="534"/>
      <c r="H49" s="534"/>
      <c r="I49" s="534"/>
      <c r="J49" s="534"/>
      <c r="K49" s="534"/>
      <c r="L49" s="534"/>
      <c r="M49" s="534"/>
      <c r="N49" s="534"/>
      <c r="O49" s="534"/>
      <c r="P49" s="534"/>
      <c r="Q49" s="534"/>
      <c r="R49" s="534"/>
      <c r="S49" s="534"/>
      <c r="T49" s="534"/>
      <c r="U49" s="534"/>
      <c r="V49" s="1161">
        <f t="shared" si="2"/>
        <v>0</v>
      </c>
      <c r="W49" s="536"/>
      <c r="X49" s="508"/>
    </row>
    <row r="50" spans="1:24" ht="18" customHeight="1" hidden="1">
      <c r="A50" s="530">
        <v>40</v>
      </c>
      <c r="B50" s="633" t="s">
        <v>671</v>
      </c>
      <c r="C50" s="534"/>
      <c r="D50" s="534"/>
      <c r="E50" s="534"/>
      <c r="F50" s="534"/>
      <c r="G50" s="534"/>
      <c r="H50" s="534"/>
      <c r="I50" s="534"/>
      <c r="J50" s="534"/>
      <c r="K50" s="534"/>
      <c r="L50" s="534"/>
      <c r="M50" s="534"/>
      <c r="N50" s="534"/>
      <c r="O50" s="534"/>
      <c r="P50" s="534"/>
      <c r="Q50" s="534"/>
      <c r="R50" s="534"/>
      <c r="S50" s="534"/>
      <c r="T50" s="534"/>
      <c r="U50" s="534"/>
      <c r="V50" s="1161">
        <f t="shared" si="2"/>
        <v>0</v>
      </c>
      <c r="W50" s="536"/>
      <c r="X50" s="508"/>
    </row>
    <row r="51" spans="1:24" ht="18" customHeight="1" hidden="1">
      <c r="A51" s="527">
        <v>42</v>
      </c>
      <c r="B51" s="633" t="s">
        <v>672</v>
      </c>
      <c r="C51" s="534"/>
      <c r="D51" s="534"/>
      <c r="E51" s="534"/>
      <c r="F51" s="534"/>
      <c r="G51" s="534"/>
      <c r="H51" s="534"/>
      <c r="I51" s="534"/>
      <c r="J51" s="534"/>
      <c r="K51" s="534"/>
      <c r="L51" s="534"/>
      <c r="M51" s="534"/>
      <c r="N51" s="534"/>
      <c r="O51" s="534"/>
      <c r="P51" s="534"/>
      <c r="Q51" s="534"/>
      <c r="R51" s="534"/>
      <c r="S51" s="534"/>
      <c r="T51" s="534"/>
      <c r="U51" s="534"/>
      <c r="V51" s="1161">
        <f t="shared" si="2"/>
        <v>0</v>
      </c>
      <c r="W51" s="536"/>
      <c r="X51" s="508"/>
    </row>
    <row r="52" spans="1:24" ht="18" customHeight="1" hidden="1">
      <c r="A52" s="530">
        <v>43</v>
      </c>
      <c r="B52" s="633" t="s">
        <v>673</v>
      </c>
      <c r="C52" s="534"/>
      <c r="D52" s="534"/>
      <c r="E52" s="534"/>
      <c r="F52" s="534"/>
      <c r="G52" s="534"/>
      <c r="H52" s="534"/>
      <c r="I52" s="534"/>
      <c r="J52" s="534"/>
      <c r="K52" s="534"/>
      <c r="L52" s="534"/>
      <c r="M52" s="534"/>
      <c r="N52" s="534"/>
      <c r="O52" s="534"/>
      <c r="P52" s="534"/>
      <c r="Q52" s="534"/>
      <c r="R52" s="534"/>
      <c r="S52" s="534"/>
      <c r="T52" s="534"/>
      <c r="U52" s="534"/>
      <c r="V52" s="1161">
        <f t="shared" si="2"/>
        <v>0</v>
      </c>
      <c r="W52" s="536"/>
      <c r="X52" s="508"/>
    </row>
    <row r="53" spans="1:24" ht="18" customHeight="1" hidden="1">
      <c r="A53" s="527">
        <v>44</v>
      </c>
      <c r="B53" s="633" t="s">
        <v>674</v>
      </c>
      <c r="C53" s="534"/>
      <c r="D53" s="534"/>
      <c r="E53" s="534"/>
      <c r="F53" s="534"/>
      <c r="G53" s="534"/>
      <c r="H53" s="534"/>
      <c r="I53" s="534"/>
      <c r="J53" s="534"/>
      <c r="K53" s="534"/>
      <c r="L53" s="534"/>
      <c r="M53" s="534"/>
      <c r="N53" s="534"/>
      <c r="O53" s="534"/>
      <c r="P53" s="534"/>
      <c r="Q53" s="534"/>
      <c r="R53" s="534"/>
      <c r="S53" s="534"/>
      <c r="T53" s="534"/>
      <c r="U53" s="534"/>
      <c r="V53" s="1161">
        <f t="shared" si="2"/>
        <v>0</v>
      </c>
      <c r="W53" s="536"/>
      <c r="X53" s="508"/>
    </row>
    <row r="54" spans="1:24" ht="18" customHeight="1">
      <c r="A54" s="527"/>
      <c r="B54" s="633" t="s">
        <v>670</v>
      </c>
      <c r="C54" s="534"/>
      <c r="D54" s="534"/>
      <c r="E54" s="534"/>
      <c r="F54" s="534"/>
      <c r="G54" s="534"/>
      <c r="H54" s="534"/>
      <c r="I54" s="534"/>
      <c r="J54" s="534"/>
      <c r="K54" s="534"/>
      <c r="L54" s="534"/>
      <c r="M54" s="534"/>
      <c r="N54" s="534"/>
      <c r="O54" s="534"/>
      <c r="P54" s="534">
        <v>900</v>
      </c>
      <c r="Q54" s="534"/>
      <c r="R54" s="534"/>
      <c r="S54" s="534"/>
      <c r="T54" s="534"/>
      <c r="U54" s="534"/>
      <c r="V54" s="1161">
        <f t="shared" si="2"/>
        <v>900</v>
      </c>
      <c r="W54" s="536"/>
      <c r="X54" s="508"/>
    </row>
    <row r="55" spans="1:24" ht="18" customHeight="1" thickBot="1">
      <c r="A55" s="530">
        <v>45</v>
      </c>
      <c r="B55" s="633" t="s">
        <v>968</v>
      </c>
      <c r="C55" s="534"/>
      <c r="D55" s="534"/>
      <c r="E55" s="534"/>
      <c r="F55" s="534"/>
      <c r="G55" s="534"/>
      <c r="H55" s="534"/>
      <c r="I55" s="534"/>
      <c r="J55" s="534"/>
      <c r="K55" s="534"/>
      <c r="L55" s="534"/>
      <c r="M55" s="534"/>
      <c r="N55" s="534"/>
      <c r="O55" s="534"/>
      <c r="P55" s="534"/>
      <c r="Q55" s="534"/>
      <c r="R55" s="534"/>
      <c r="S55" s="534"/>
      <c r="T55" s="534">
        <v>17700</v>
      </c>
      <c r="U55" s="534"/>
      <c r="V55" s="1161">
        <f t="shared" si="2"/>
        <v>17700</v>
      </c>
      <c r="W55" s="536"/>
      <c r="X55" s="508"/>
    </row>
    <row r="56" spans="1:24" ht="18" customHeight="1" hidden="1">
      <c r="A56" s="527">
        <v>46</v>
      </c>
      <c r="B56" s="1199" t="s">
        <v>675</v>
      </c>
      <c r="C56" s="529"/>
      <c r="D56" s="529"/>
      <c r="E56" s="529"/>
      <c r="F56" s="529"/>
      <c r="G56" s="529"/>
      <c r="H56" s="529"/>
      <c r="I56" s="529"/>
      <c r="J56" s="529"/>
      <c r="K56" s="529"/>
      <c r="L56" s="529"/>
      <c r="M56" s="529"/>
      <c r="N56" s="529"/>
      <c r="O56" s="529"/>
      <c r="P56" s="529"/>
      <c r="Q56" s="529"/>
      <c r="R56" s="529"/>
      <c r="S56" s="529"/>
      <c r="T56" s="529"/>
      <c r="U56" s="529"/>
      <c r="V56" s="1160">
        <f t="shared" si="2"/>
        <v>0</v>
      </c>
      <c r="W56" s="536"/>
      <c r="X56" s="508"/>
    </row>
    <row r="57" spans="1:24" ht="18" customHeight="1" hidden="1">
      <c r="A57" s="530">
        <v>47</v>
      </c>
      <c r="B57" s="633" t="s">
        <v>676</v>
      </c>
      <c r="C57" s="532"/>
      <c r="D57" s="532"/>
      <c r="E57" s="532"/>
      <c r="F57" s="532"/>
      <c r="G57" s="532"/>
      <c r="H57" s="532"/>
      <c r="I57" s="532"/>
      <c r="J57" s="532"/>
      <c r="K57" s="532"/>
      <c r="L57" s="532"/>
      <c r="M57" s="532"/>
      <c r="N57" s="532"/>
      <c r="O57" s="532"/>
      <c r="P57" s="532"/>
      <c r="Q57" s="532"/>
      <c r="R57" s="532"/>
      <c r="S57" s="532"/>
      <c r="T57" s="532"/>
      <c r="U57" s="532"/>
      <c r="V57" s="1160">
        <f t="shared" si="2"/>
        <v>0</v>
      </c>
      <c r="W57" s="536"/>
      <c r="X57" s="508"/>
    </row>
    <row r="58" spans="1:24" ht="18" customHeight="1" hidden="1">
      <c r="A58" s="527">
        <v>48</v>
      </c>
      <c r="B58" s="1199" t="s">
        <v>677</v>
      </c>
      <c r="C58" s="529"/>
      <c r="D58" s="529"/>
      <c r="E58" s="529"/>
      <c r="F58" s="529"/>
      <c r="G58" s="529"/>
      <c r="H58" s="529"/>
      <c r="I58" s="529"/>
      <c r="J58" s="529"/>
      <c r="K58" s="529"/>
      <c r="L58" s="529"/>
      <c r="M58" s="529"/>
      <c r="N58" s="529"/>
      <c r="O58" s="529"/>
      <c r="P58" s="529"/>
      <c r="Q58" s="529"/>
      <c r="R58" s="529"/>
      <c r="S58" s="529"/>
      <c r="T58" s="529"/>
      <c r="U58" s="529"/>
      <c r="V58" s="1160">
        <f t="shared" si="2"/>
        <v>0</v>
      </c>
      <c r="W58" s="536"/>
      <c r="X58" s="508"/>
    </row>
    <row r="59" spans="1:24" ht="18" customHeight="1" hidden="1">
      <c r="A59" s="530">
        <v>49</v>
      </c>
      <c r="B59" s="633" t="s">
        <v>780</v>
      </c>
      <c r="C59" s="532"/>
      <c r="D59" s="532"/>
      <c r="E59" s="532"/>
      <c r="F59" s="532"/>
      <c r="G59" s="532"/>
      <c r="H59" s="532"/>
      <c r="I59" s="532"/>
      <c r="J59" s="532"/>
      <c r="K59" s="532"/>
      <c r="L59" s="532"/>
      <c r="M59" s="532"/>
      <c r="N59" s="532"/>
      <c r="O59" s="532"/>
      <c r="P59" s="532"/>
      <c r="Q59" s="532"/>
      <c r="R59" s="532"/>
      <c r="S59" s="532"/>
      <c r="T59" s="532"/>
      <c r="U59" s="532"/>
      <c r="V59" s="1160">
        <f t="shared" si="2"/>
        <v>0</v>
      </c>
      <c r="W59" s="536"/>
      <c r="X59" s="508"/>
    </row>
    <row r="60" spans="1:24" ht="18" customHeight="1" hidden="1">
      <c r="A60" s="527">
        <v>50</v>
      </c>
      <c r="B60" s="1199" t="s">
        <v>678</v>
      </c>
      <c r="C60" s="529"/>
      <c r="D60" s="529"/>
      <c r="E60" s="529"/>
      <c r="F60" s="529"/>
      <c r="G60" s="529"/>
      <c r="H60" s="529"/>
      <c r="I60" s="529"/>
      <c r="J60" s="529"/>
      <c r="K60" s="529"/>
      <c r="L60" s="529"/>
      <c r="M60" s="529"/>
      <c r="N60" s="529"/>
      <c r="O60" s="529"/>
      <c r="P60" s="529"/>
      <c r="Q60" s="529"/>
      <c r="R60" s="529"/>
      <c r="S60" s="529"/>
      <c r="T60" s="529"/>
      <c r="U60" s="529"/>
      <c r="V60" s="1160">
        <f t="shared" si="2"/>
        <v>0</v>
      </c>
      <c r="W60" s="536"/>
      <c r="X60" s="508"/>
    </row>
    <row r="61" spans="1:24" ht="18" customHeight="1" hidden="1" thickBot="1">
      <c r="A61" s="527">
        <v>51</v>
      </c>
      <c r="B61" s="1199" t="s">
        <v>679</v>
      </c>
      <c r="C61" s="529"/>
      <c r="D61" s="529"/>
      <c r="E61" s="529"/>
      <c r="F61" s="529"/>
      <c r="G61" s="529"/>
      <c r="H61" s="529"/>
      <c r="I61" s="529"/>
      <c r="J61" s="529"/>
      <c r="K61" s="529"/>
      <c r="L61" s="529"/>
      <c r="M61" s="529"/>
      <c r="N61" s="529"/>
      <c r="O61" s="529"/>
      <c r="P61" s="529"/>
      <c r="Q61" s="529"/>
      <c r="R61" s="529"/>
      <c r="S61" s="529"/>
      <c r="T61" s="529"/>
      <c r="U61" s="529"/>
      <c r="V61" s="1160">
        <f t="shared" si="2"/>
        <v>0</v>
      </c>
      <c r="W61" s="536"/>
      <c r="X61" s="508"/>
    </row>
    <row r="62" spans="1:23" ht="18" customHeight="1" hidden="1" thickBot="1">
      <c r="A62" s="530">
        <v>52</v>
      </c>
      <c r="B62" s="633" t="s">
        <v>680</v>
      </c>
      <c r="C62" s="532"/>
      <c r="D62" s="532"/>
      <c r="E62" s="532"/>
      <c r="F62" s="532"/>
      <c r="G62" s="532"/>
      <c r="H62" s="532"/>
      <c r="I62" s="532"/>
      <c r="J62" s="532"/>
      <c r="K62" s="532"/>
      <c r="L62" s="532"/>
      <c r="M62" s="532"/>
      <c r="N62" s="532"/>
      <c r="O62" s="532"/>
      <c r="P62" s="532"/>
      <c r="Q62" s="532"/>
      <c r="R62" s="532"/>
      <c r="S62" s="532"/>
      <c r="T62" s="532"/>
      <c r="U62" s="532"/>
      <c r="V62" s="1160">
        <f t="shared" si="2"/>
        <v>0</v>
      </c>
      <c r="W62" s="536"/>
    </row>
    <row r="63" spans="1:23" ht="18" customHeight="1" hidden="1">
      <c r="A63" s="527" t="s">
        <v>1199</v>
      </c>
      <c r="B63" s="1199" t="s">
        <v>681</v>
      </c>
      <c r="C63" s="529"/>
      <c r="D63" s="529"/>
      <c r="E63" s="529"/>
      <c r="F63" s="529"/>
      <c r="G63" s="529"/>
      <c r="H63" s="529"/>
      <c r="I63" s="529"/>
      <c r="J63" s="529"/>
      <c r="K63" s="529"/>
      <c r="L63" s="529"/>
      <c r="M63" s="529"/>
      <c r="N63" s="529"/>
      <c r="O63" s="529"/>
      <c r="P63" s="529"/>
      <c r="Q63" s="529"/>
      <c r="R63" s="529"/>
      <c r="S63" s="529"/>
      <c r="T63" s="529"/>
      <c r="U63" s="529"/>
      <c r="V63" s="1160">
        <f t="shared" si="2"/>
        <v>0</v>
      </c>
      <c r="W63" s="536"/>
    </row>
    <row r="64" spans="1:23" ht="18" customHeight="1" hidden="1">
      <c r="A64" s="537"/>
      <c r="B64" s="1200" t="s">
        <v>682</v>
      </c>
      <c r="C64" s="538"/>
      <c r="D64" s="538"/>
      <c r="E64" s="538"/>
      <c r="F64" s="538"/>
      <c r="G64" s="538"/>
      <c r="H64" s="538"/>
      <c r="I64" s="538"/>
      <c r="J64" s="538"/>
      <c r="K64" s="538"/>
      <c r="L64" s="538"/>
      <c r="M64" s="538"/>
      <c r="N64" s="538"/>
      <c r="O64" s="538"/>
      <c r="P64" s="538"/>
      <c r="Q64" s="538"/>
      <c r="R64" s="538"/>
      <c r="S64" s="538"/>
      <c r="T64" s="538"/>
      <c r="U64" s="538"/>
      <c r="V64" s="1160">
        <f t="shared" si="2"/>
        <v>0</v>
      </c>
      <c r="W64" s="536"/>
    </row>
    <row r="65" spans="1:23" ht="18" customHeight="1" hidden="1">
      <c r="A65" s="539"/>
      <c r="B65" s="1201" t="s">
        <v>683</v>
      </c>
      <c r="C65" s="540"/>
      <c r="D65" s="540"/>
      <c r="E65" s="540"/>
      <c r="F65" s="540"/>
      <c r="G65" s="540"/>
      <c r="H65" s="540"/>
      <c r="I65" s="540"/>
      <c r="J65" s="540"/>
      <c r="K65" s="540"/>
      <c r="L65" s="540"/>
      <c r="M65" s="540"/>
      <c r="N65" s="540"/>
      <c r="O65" s="540"/>
      <c r="P65" s="540"/>
      <c r="Q65" s="540"/>
      <c r="R65" s="540"/>
      <c r="S65" s="540"/>
      <c r="T65" s="540"/>
      <c r="U65" s="540"/>
      <c r="V65" s="1160">
        <f t="shared" si="2"/>
        <v>0</v>
      </c>
      <c r="W65" s="536"/>
    </row>
    <row r="66" spans="1:23" ht="18" customHeight="1" hidden="1">
      <c r="A66" s="537"/>
      <c r="B66" s="1200" t="s">
        <v>692</v>
      </c>
      <c r="C66" s="538"/>
      <c r="D66" s="538"/>
      <c r="E66" s="538"/>
      <c r="F66" s="538"/>
      <c r="G66" s="538"/>
      <c r="H66" s="538"/>
      <c r="I66" s="538"/>
      <c r="J66" s="538"/>
      <c r="K66" s="538"/>
      <c r="L66" s="538"/>
      <c r="M66" s="538"/>
      <c r="N66" s="538"/>
      <c r="O66" s="538"/>
      <c r="P66" s="538"/>
      <c r="Q66" s="538"/>
      <c r="R66" s="538"/>
      <c r="S66" s="538"/>
      <c r="T66" s="538"/>
      <c r="U66" s="538"/>
      <c r="V66" s="1160">
        <f t="shared" si="2"/>
        <v>0</v>
      </c>
      <c r="W66" s="536"/>
    </row>
    <row r="67" spans="1:23" ht="18" customHeight="1" hidden="1">
      <c r="A67" s="539"/>
      <c r="B67" s="1201" t="s">
        <v>693</v>
      </c>
      <c r="C67" s="540"/>
      <c r="D67" s="540"/>
      <c r="E67" s="540"/>
      <c r="F67" s="540"/>
      <c r="G67" s="540"/>
      <c r="H67" s="540"/>
      <c r="I67" s="540"/>
      <c r="J67" s="540"/>
      <c r="K67" s="540"/>
      <c r="L67" s="540"/>
      <c r="M67" s="540"/>
      <c r="N67" s="540"/>
      <c r="O67" s="540"/>
      <c r="P67" s="540"/>
      <c r="Q67" s="540"/>
      <c r="R67" s="540"/>
      <c r="S67" s="540"/>
      <c r="T67" s="540"/>
      <c r="U67" s="540"/>
      <c r="V67" s="1160">
        <f t="shared" si="2"/>
        <v>0</v>
      </c>
      <c r="W67" s="536"/>
    </row>
    <row r="68" spans="1:23" ht="18" customHeight="1" hidden="1" thickBot="1">
      <c r="A68" s="541"/>
      <c r="B68" s="1202" t="s">
        <v>694</v>
      </c>
      <c r="C68" s="542"/>
      <c r="D68" s="542"/>
      <c r="E68" s="542"/>
      <c r="F68" s="542"/>
      <c r="G68" s="542"/>
      <c r="H68" s="542"/>
      <c r="I68" s="542"/>
      <c r="J68" s="542"/>
      <c r="K68" s="542"/>
      <c r="L68" s="542"/>
      <c r="M68" s="542"/>
      <c r="N68" s="542"/>
      <c r="O68" s="542"/>
      <c r="P68" s="542"/>
      <c r="Q68" s="542"/>
      <c r="R68" s="542"/>
      <c r="S68" s="542"/>
      <c r="T68" s="542"/>
      <c r="U68" s="542"/>
      <c r="V68" s="1160">
        <f t="shared" si="2"/>
        <v>0</v>
      </c>
      <c r="W68" s="536"/>
    </row>
    <row r="69" spans="1:23" s="547" customFormat="1" ht="18" customHeight="1" hidden="1" thickBot="1">
      <c r="A69" s="543"/>
      <c r="B69" s="1203" t="s">
        <v>695</v>
      </c>
      <c r="C69" s="545"/>
      <c r="D69" s="545"/>
      <c r="E69" s="545"/>
      <c r="F69" s="545"/>
      <c r="G69" s="545"/>
      <c r="H69" s="545"/>
      <c r="I69" s="545"/>
      <c r="J69" s="545"/>
      <c r="K69" s="545"/>
      <c r="L69" s="545"/>
      <c r="M69" s="545"/>
      <c r="N69" s="545"/>
      <c r="O69" s="545"/>
      <c r="P69" s="545"/>
      <c r="Q69" s="545"/>
      <c r="R69" s="545"/>
      <c r="S69" s="545"/>
      <c r="T69" s="545"/>
      <c r="U69" s="545"/>
      <c r="V69" s="1162">
        <f t="shared" si="2"/>
        <v>0</v>
      </c>
      <c r="W69" s="546"/>
    </row>
    <row r="70" spans="1:49" s="547" customFormat="1" ht="19.5" customHeight="1" thickBot="1">
      <c r="A70" s="1182" t="s">
        <v>1200</v>
      </c>
      <c r="B70" s="1308" t="s">
        <v>837</v>
      </c>
      <c r="C70" s="1309">
        <f aca="true" t="shared" si="3" ref="C70:J70">SUM(C71:C93)</f>
        <v>0</v>
      </c>
      <c r="D70" s="1309">
        <f t="shared" si="3"/>
        <v>0</v>
      </c>
      <c r="E70" s="1309">
        <f t="shared" si="3"/>
        <v>0</v>
      </c>
      <c r="F70" s="1309"/>
      <c r="G70" s="1309">
        <f t="shared" si="3"/>
        <v>560</v>
      </c>
      <c r="H70" s="1309">
        <f t="shared" si="3"/>
        <v>70</v>
      </c>
      <c r="I70" s="1309">
        <f t="shared" si="3"/>
        <v>500</v>
      </c>
      <c r="J70" s="1309">
        <f t="shared" si="3"/>
        <v>0</v>
      </c>
      <c r="K70" s="1309"/>
      <c r="L70" s="1309"/>
      <c r="M70" s="1309"/>
      <c r="N70" s="1309"/>
      <c r="O70" s="1309"/>
      <c r="P70" s="1309"/>
      <c r="Q70" s="1309"/>
      <c r="R70" s="1309"/>
      <c r="S70" s="1309"/>
      <c r="T70" s="1309"/>
      <c r="U70" s="1309"/>
      <c r="V70" s="1310">
        <f t="shared" si="2"/>
        <v>1130</v>
      </c>
      <c r="W70" s="548"/>
      <c r="X70" s="549"/>
      <c r="Y70" s="549"/>
      <c r="Z70" s="549"/>
      <c r="AA70" s="549"/>
      <c r="AB70" s="549"/>
      <c r="AC70" s="549"/>
      <c r="AD70" s="549"/>
      <c r="AE70" s="549"/>
      <c r="AF70" s="549"/>
      <c r="AG70" s="549"/>
      <c r="AH70" s="549"/>
      <c r="AI70" s="549"/>
      <c r="AJ70" s="549"/>
      <c r="AK70" s="549"/>
      <c r="AL70" s="549"/>
      <c r="AM70" s="549"/>
      <c r="AN70" s="549"/>
      <c r="AO70" s="549"/>
      <c r="AP70" s="549"/>
      <c r="AQ70" s="549"/>
      <c r="AR70" s="549"/>
      <c r="AS70" s="549"/>
      <c r="AT70" s="549"/>
      <c r="AU70" s="549"/>
      <c r="AV70" s="549"/>
      <c r="AW70" s="549"/>
    </row>
    <row r="71" spans="1:23" s="547" customFormat="1" ht="18" customHeight="1" hidden="1">
      <c r="A71" s="651" t="s">
        <v>1201</v>
      </c>
      <c r="B71" s="551" t="s">
        <v>603</v>
      </c>
      <c r="C71" s="552"/>
      <c r="D71" s="552"/>
      <c r="E71" s="552"/>
      <c r="F71" s="552"/>
      <c r="G71" s="552"/>
      <c r="H71" s="552"/>
      <c r="I71" s="552"/>
      <c r="J71" s="552"/>
      <c r="K71" s="552"/>
      <c r="L71" s="552"/>
      <c r="M71" s="552"/>
      <c r="N71" s="552"/>
      <c r="O71" s="552"/>
      <c r="P71" s="552"/>
      <c r="Q71" s="552"/>
      <c r="R71" s="552"/>
      <c r="S71" s="552"/>
      <c r="T71" s="552"/>
      <c r="U71" s="552"/>
      <c r="V71" s="1159">
        <f t="shared" si="2"/>
        <v>0</v>
      </c>
      <c r="W71" s="546"/>
    </row>
    <row r="72" spans="1:23" s="547" customFormat="1" ht="18" customHeight="1" hidden="1">
      <c r="A72" s="1182" t="s">
        <v>1202</v>
      </c>
      <c r="B72" s="553" t="s">
        <v>604</v>
      </c>
      <c r="C72" s="554"/>
      <c r="D72" s="554"/>
      <c r="E72" s="554"/>
      <c r="F72" s="554"/>
      <c r="G72" s="554"/>
      <c r="H72" s="554"/>
      <c r="I72" s="554"/>
      <c r="J72" s="554"/>
      <c r="K72" s="554"/>
      <c r="L72" s="554"/>
      <c r="M72" s="554"/>
      <c r="N72" s="554"/>
      <c r="O72" s="554"/>
      <c r="P72" s="554"/>
      <c r="Q72" s="554"/>
      <c r="R72" s="554"/>
      <c r="S72" s="554"/>
      <c r="T72" s="554"/>
      <c r="U72" s="554"/>
      <c r="V72" s="1160">
        <f t="shared" si="2"/>
        <v>0</v>
      </c>
      <c r="W72" s="546"/>
    </row>
    <row r="73" spans="1:23" s="547" customFormat="1" ht="18" customHeight="1" hidden="1">
      <c r="A73" s="651" t="s">
        <v>1203</v>
      </c>
      <c r="B73" s="555" t="s">
        <v>605</v>
      </c>
      <c r="C73" s="556"/>
      <c r="D73" s="556"/>
      <c r="E73" s="556"/>
      <c r="F73" s="556"/>
      <c r="G73" s="556"/>
      <c r="H73" s="556"/>
      <c r="I73" s="556"/>
      <c r="J73" s="556"/>
      <c r="K73" s="556"/>
      <c r="L73" s="556"/>
      <c r="M73" s="556"/>
      <c r="N73" s="556"/>
      <c r="O73" s="556"/>
      <c r="P73" s="556"/>
      <c r="Q73" s="556"/>
      <c r="R73" s="556"/>
      <c r="S73" s="556"/>
      <c r="T73" s="556"/>
      <c r="U73" s="556"/>
      <c r="V73" s="1160">
        <f t="shared" si="2"/>
        <v>0</v>
      </c>
      <c r="W73" s="546"/>
    </row>
    <row r="74" spans="1:23" s="547" customFormat="1" ht="18" customHeight="1" hidden="1">
      <c r="A74" s="1182" t="s">
        <v>1204</v>
      </c>
      <c r="B74" s="553" t="s">
        <v>607</v>
      </c>
      <c r="C74" s="554"/>
      <c r="D74" s="554"/>
      <c r="E74" s="554"/>
      <c r="F74" s="554"/>
      <c r="G74" s="554"/>
      <c r="H74" s="554"/>
      <c r="I74" s="554"/>
      <c r="J74" s="554"/>
      <c r="K74" s="554"/>
      <c r="L74" s="554"/>
      <c r="M74" s="554"/>
      <c r="N74" s="554"/>
      <c r="O74" s="554"/>
      <c r="P74" s="554"/>
      <c r="Q74" s="554"/>
      <c r="R74" s="554"/>
      <c r="S74" s="554"/>
      <c r="T74" s="554"/>
      <c r="U74" s="554"/>
      <c r="V74" s="1160">
        <f t="shared" si="2"/>
        <v>0</v>
      </c>
      <c r="W74" s="546"/>
    </row>
    <row r="75" spans="1:23" s="547" customFormat="1" ht="18" customHeight="1" hidden="1">
      <c r="A75" s="651" t="s">
        <v>1205</v>
      </c>
      <c r="B75" s="555" t="s">
        <v>608</v>
      </c>
      <c r="C75" s="556"/>
      <c r="D75" s="556"/>
      <c r="E75" s="556"/>
      <c r="F75" s="556"/>
      <c r="G75" s="556"/>
      <c r="H75" s="556"/>
      <c r="I75" s="556"/>
      <c r="J75" s="556"/>
      <c r="K75" s="556"/>
      <c r="L75" s="556"/>
      <c r="M75" s="556"/>
      <c r="N75" s="556"/>
      <c r="O75" s="556"/>
      <c r="P75" s="556"/>
      <c r="Q75" s="556"/>
      <c r="R75" s="556"/>
      <c r="S75" s="556"/>
      <c r="T75" s="556"/>
      <c r="U75" s="556"/>
      <c r="V75" s="1160">
        <f t="shared" si="2"/>
        <v>0</v>
      </c>
      <c r="W75" s="546"/>
    </row>
    <row r="76" spans="1:23" s="547" customFormat="1" ht="18" customHeight="1" hidden="1">
      <c r="A76" s="1182" t="s">
        <v>1206</v>
      </c>
      <c r="B76" s="553" t="s">
        <v>609</v>
      </c>
      <c r="C76" s="554"/>
      <c r="D76" s="554"/>
      <c r="E76" s="554"/>
      <c r="F76" s="554"/>
      <c r="G76" s="554"/>
      <c r="H76" s="554"/>
      <c r="I76" s="554"/>
      <c r="J76" s="554"/>
      <c r="K76" s="554"/>
      <c r="L76" s="554"/>
      <c r="M76" s="554"/>
      <c r="N76" s="554"/>
      <c r="O76" s="554"/>
      <c r="P76" s="554"/>
      <c r="Q76" s="554"/>
      <c r="R76" s="554"/>
      <c r="S76" s="554"/>
      <c r="T76" s="554"/>
      <c r="U76" s="554"/>
      <c r="V76" s="1160">
        <f t="shared" si="2"/>
        <v>0</v>
      </c>
      <c r="W76" s="546"/>
    </row>
    <row r="77" spans="1:23" s="547" customFormat="1" ht="18" customHeight="1" hidden="1">
      <c r="A77" s="1182" t="s">
        <v>1207</v>
      </c>
      <c r="B77" s="553" t="s">
        <v>611</v>
      </c>
      <c r="C77" s="554"/>
      <c r="D77" s="554"/>
      <c r="E77" s="554"/>
      <c r="F77" s="554"/>
      <c r="G77" s="554"/>
      <c r="H77" s="554"/>
      <c r="I77" s="554"/>
      <c r="J77" s="554"/>
      <c r="K77" s="554"/>
      <c r="L77" s="554"/>
      <c r="M77" s="554"/>
      <c r="N77" s="554"/>
      <c r="O77" s="554"/>
      <c r="P77" s="554"/>
      <c r="Q77" s="554"/>
      <c r="R77" s="554"/>
      <c r="S77" s="554"/>
      <c r="T77" s="554"/>
      <c r="U77" s="554"/>
      <c r="V77" s="1160">
        <f t="shared" si="2"/>
        <v>0</v>
      </c>
      <c r="W77" s="546"/>
    </row>
    <row r="78" spans="1:23" s="547" customFormat="1" ht="18" customHeight="1" hidden="1">
      <c r="A78" s="651" t="s">
        <v>1208</v>
      </c>
      <c r="B78" s="555" t="s">
        <v>613</v>
      </c>
      <c r="C78" s="556"/>
      <c r="D78" s="556"/>
      <c r="E78" s="556"/>
      <c r="F78" s="556"/>
      <c r="G78" s="556"/>
      <c r="H78" s="556"/>
      <c r="I78" s="556"/>
      <c r="J78" s="556"/>
      <c r="K78" s="556"/>
      <c r="L78" s="556"/>
      <c r="M78" s="556"/>
      <c r="N78" s="556"/>
      <c r="O78" s="556"/>
      <c r="P78" s="556"/>
      <c r="Q78" s="556"/>
      <c r="R78" s="556"/>
      <c r="S78" s="556"/>
      <c r="T78" s="556"/>
      <c r="U78" s="556"/>
      <c r="V78" s="1160">
        <f t="shared" si="2"/>
        <v>0</v>
      </c>
      <c r="W78" s="546"/>
    </row>
    <row r="79" spans="1:23" s="547" customFormat="1" ht="18" customHeight="1" hidden="1">
      <c r="A79" s="1182" t="s">
        <v>1209</v>
      </c>
      <c r="B79" s="553" t="s">
        <v>649</v>
      </c>
      <c r="C79" s="554"/>
      <c r="D79" s="554"/>
      <c r="E79" s="554"/>
      <c r="F79" s="554"/>
      <c r="G79" s="554"/>
      <c r="H79" s="554"/>
      <c r="I79" s="554"/>
      <c r="J79" s="554"/>
      <c r="K79" s="554"/>
      <c r="L79" s="554"/>
      <c r="M79" s="554"/>
      <c r="N79" s="554"/>
      <c r="O79" s="554"/>
      <c r="P79" s="554"/>
      <c r="Q79" s="554"/>
      <c r="R79" s="554"/>
      <c r="S79" s="554"/>
      <c r="T79" s="554"/>
      <c r="U79" s="554"/>
      <c r="V79" s="1160">
        <f aca="true" t="shared" si="4" ref="V79:V143">SUM(C79:U79)</f>
        <v>0</v>
      </c>
      <c r="W79" s="546"/>
    </row>
    <row r="80" spans="1:23" s="547" customFormat="1" ht="18" customHeight="1" hidden="1">
      <c r="A80" s="651" t="s">
        <v>1210</v>
      </c>
      <c r="B80" s="555" t="s">
        <v>650</v>
      </c>
      <c r="C80" s="556"/>
      <c r="D80" s="556"/>
      <c r="E80" s="556"/>
      <c r="F80" s="556"/>
      <c r="G80" s="556"/>
      <c r="H80" s="556"/>
      <c r="I80" s="556"/>
      <c r="J80" s="556"/>
      <c r="K80" s="556"/>
      <c r="L80" s="556"/>
      <c r="M80" s="556"/>
      <c r="N80" s="556"/>
      <c r="O80" s="556"/>
      <c r="P80" s="556"/>
      <c r="Q80" s="556"/>
      <c r="R80" s="556"/>
      <c r="S80" s="556"/>
      <c r="T80" s="556"/>
      <c r="U80" s="556"/>
      <c r="V80" s="1160">
        <f t="shared" si="4"/>
        <v>0</v>
      </c>
      <c r="W80" s="546"/>
    </row>
    <row r="81" spans="1:23" s="547" customFormat="1" ht="18" customHeight="1">
      <c r="A81" s="1182" t="s">
        <v>1211</v>
      </c>
      <c r="B81" s="555" t="s">
        <v>651</v>
      </c>
      <c r="C81" s="556"/>
      <c r="D81" s="556"/>
      <c r="E81" s="556"/>
      <c r="F81" s="556"/>
      <c r="G81" s="556"/>
      <c r="H81" s="556"/>
      <c r="I81" s="556">
        <v>500</v>
      </c>
      <c r="J81" s="556"/>
      <c r="K81" s="556"/>
      <c r="L81" s="556"/>
      <c r="M81" s="556"/>
      <c r="N81" s="556"/>
      <c r="O81" s="556"/>
      <c r="P81" s="556"/>
      <c r="Q81" s="556"/>
      <c r="R81" s="556"/>
      <c r="S81" s="556"/>
      <c r="T81" s="556"/>
      <c r="U81" s="556"/>
      <c r="V81" s="1161">
        <f t="shared" si="4"/>
        <v>500</v>
      </c>
      <c r="W81" s="546"/>
    </row>
    <row r="82" spans="1:23" s="547" customFormat="1" ht="18" customHeight="1" hidden="1">
      <c r="A82" s="651" t="s">
        <v>1212</v>
      </c>
      <c r="B82" s="555" t="s">
        <v>654</v>
      </c>
      <c r="C82" s="556"/>
      <c r="D82" s="556"/>
      <c r="E82" s="556"/>
      <c r="F82" s="556"/>
      <c r="G82" s="556"/>
      <c r="H82" s="556"/>
      <c r="I82" s="556"/>
      <c r="J82" s="556"/>
      <c r="K82" s="556"/>
      <c r="L82" s="556"/>
      <c r="M82" s="556"/>
      <c r="N82" s="556"/>
      <c r="O82" s="556"/>
      <c r="P82" s="556"/>
      <c r="Q82" s="556"/>
      <c r="R82" s="556"/>
      <c r="S82" s="556"/>
      <c r="T82" s="556"/>
      <c r="U82" s="556"/>
      <c r="V82" s="1161">
        <f t="shared" si="4"/>
        <v>0</v>
      </c>
      <c r="W82" s="546"/>
    </row>
    <row r="83" spans="1:23" s="547" customFormat="1" ht="18" customHeight="1" hidden="1" thickBot="1">
      <c r="A83" s="651" t="s">
        <v>1213</v>
      </c>
      <c r="B83" s="555" t="s">
        <v>696</v>
      </c>
      <c r="C83" s="556"/>
      <c r="D83" s="556"/>
      <c r="E83" s="556"/>
      <c r="F83" s="556"/>
      <c r="G83" s="556"/>
      <c r="H83" s="556"/>
      <c r="I83" s="556"/>
      <c r="J83" s="556"/>
      <c r="K83" s="556"/>
      <c r="L83" s="556"/>
      <c r="M83" s="556"/>
      <c r="N83" s="556"/>
      <c r="O83" s="556"/>
      <c r="P83" s="556"/>
      <c r="Q83" s="556"/>
      <c r="R83" s="556"/>
      <c r="S83" s="556"/>
      <c r="T83" s="556"/>
      <c r="U83" s="556"/>
      <c r="V83" s="1161">
        <f t="shared" si="4"/>
        <v>0</v>
      </c>
      <c r="W83" s="546"/>
    </row>
    <row r="84" spans="1:23" s="547" customFormat="1" ht="18" customHeight="1" hidden="1">
      <c r="A84" s="1182" t="s">
        <v>1214</v>
      </c>
      <c r="B84" s="555" t="s">
        <v>658</v>
      </c>
      <c r="C84" s="556"/>
      <c r="D84" s="556"/>
      <c r="E84" s="556"/>
      <c r="F84" s="556"/>
      <c r="G84" s="556"/>
      <c r="H84" s="556"/>
      <c r="I84" s="556"/>
      <c r="J84" s="556"/>
      <c r="K84" s="556"/>
      <c r="L84" s="556"/>
      <c r="M84" s="556"/>
      <c r="N84" s="556"/>
      <c r="O84" s="556"/>
      <c r="P84" s="556"/>
      <c r="Q84" s="556"/>
      <c r="R84" s="556"/>
      <c r="S84" s="556"/>
      <c r="T84" s="556"/>
      <c r="U84" s="556"/>
      <c r="V84" s="1161">
        <f t="shared" si="4"/>
        <v>0</v>
      </c>
      <c r="W84" s="546"/>
    </row>
    <row r="85" spans="1:23" s="547" customFormat="1" ht="18" customHeight="1" hidden="1">
      <c r="A85" s="651" t="s">
        <v>1215</v>
      </c>
      <c r="B85" s="555" t="s">
        <v>659</v>
      </c>
      <c r="C85" s="556"/>
      <c r="D85" s="556"/>
      <c r="E85" s="556"/>
      <c r="F85" s="556"/>
      <c r="G85" s="556"/>
      <c r="H85" s="556"/>
      <c r="I85" s="556"/>
      <c r="J85" s="556"/>
      <c r="K85" s="556"/>
      <c r="L85" s="556"/>
      <c r="M85" s="556"/>
      <c r="N85" s="556"/>
      <c r="O85" s="556"/>
      <c r="P85" s="556"/>
      <c r="Q85" s="556"/>
      <c r="R85" s="556"/>
      <c r="S85" s="556"/>
      <c r="T85" s="556"/>
      <c r="U85" s="556"/>
      <c r="V85" s="1161">
        <f t="shared" si="4"/>
        <v>0</v>
      </c>
      <c r="W85" s="546"/>
    </row>
    <row r="86" spans="1:23" s="547" customFormat="1" ht="18" customHeight="1" hidden="1">
      <c r="A86" s="1182" t="s">
        <v>1216</v>
      </c>
      <c r="B86" s="555" t="s">
        <v>660</v>
      </c>
      <c r="C86" s="556"/>
      <c r="D86" s="556"/>
      <c r="E86" s="556"/>
      <c r="F86" s="556"/>
      <c r="G86" s="556"/>
      <c r="H86" s="556"/>
      <c r="I86" s="556"/>
      <c r="J86" s="556"/>
      <c r="K86" s="556"/>
      <c r="L86" s="556"/>
      <c r="M86" s="556"/>
      <c r="N86" s="556"/>
      <c r="O86" s="556"/>
      <c r="P86" s="556"/>
      <c r="Q86" s="556"/>
      <c r="R86" s="556"/>
      <c r="S86" s="556"/>
      <c r="T86" s="556"/>
      <c r="U86" s="556"/>
      <c r="V86" s="1161">
        <f t="shared" si="4"/>
        <v>0</v>
      </c>
      <c r="W86" s="546"/>
    </row>
    <row r="87" spans="1:23" s="547" customFormat="1" ht="18" customHeight="1" hidden="1">
      <c r="A87" s="651" t="s">
        <v>1217</v>
      </c>
      <c r="B87" s="555" t="s">
        <v>671</v>
      </c>
      <c r="C87" s="556"/>
      <c r="D87" s="556"/>
      <c r="E87" s="556"/>
      <c r="F87" s="556"/>
      <c r="G87" s="556"/>
      <c r="H87" s="556"/>
      <c r="I87" s="556"/>
      <c r="J87" s="556"/>
      <c r="K87" s="556"/>
      <c r="L87" s="556"/>
      <c r="M87" s="556"/>
      <c r="N87" s="556"/>
      <c r="O87" s="556"/>
      <c r="P87" s="556"/>
      <c r="Q87" s="556"/>
      <c r="R87" s="556"/>
      <c r="S87" s="556"/>
      <c r="T87" s="556"/>
      <c r="U87" s="556"/>
      <c r="V87" s="1161">
        <f t="shared" si="4"/>
        <v>0</v>
      </c>
      <c r="W87" s="546"/>
    </row>
    <row r="88" spans="1:23" s="547" customFormat="1" ht="18" customHeight="1" hidden="1">
      <c r="A88" s="1182" t="s">
        <v>1218</v>
      </c>
      <c r="B88" s="555" t="s">
        <v>673</v>
      </c>
      <c r="C88" s="556"/>
      <c r="D88" s="556"/>
      <c r="E88" s="556"/>
      <c r="F88" s="556"/>
      <c r="G88" s="556"/>
      <c r="H88" s="556"/>
      <c r="I88" s="556"/>
      <c r="J88" s="556"/>
      <c r="K88" s="556"/>
      <c r="L88" s="556"/>
      <c r="M88" s="556"/>
      <c r="N88" s="556"/>
      <c r="O88" s="556"/>
      <c r="P88" s="556"/>
      <c r="Q88" s="556"/>
      <c r="R88" s="556"/>
      <c r="S88" s="556"/>
      <c r="T88" s="556"/>
      <c r="U88" s="556"/>
      <c r="V88" s="1161">
        <f t="shared" si="4"/>
        <v>0</v>
      </c>
      <c r="W88" s="546"/>
    </row>
    <row r="89" spans="1:23" s="547" customFormat="1" ht="18" customHeight="1" hidden="1">
      <c r="A89" s="651" t="s">
        <v>1219</v>
      </c>
      <c r="B89" s="555" t="s">
        <v>674</v>
      </c>
      <c r="C89" s="556"/>
      <c r="D89" s="556"/>
      <c r="E89" s="556"/>
      <c r="F89" s="556"/>
      <c r="G89" s="556"/>
      <c r="H89" s="556"/>
      <c r="I89" s="556"/>
      <c r="J89" s="556"/>
      <c r="K89" s="556"/>
      <c r="L89" s="556"/>
      <c r="M89" s="556"/>
      <c r="N89" s="556"/>
      <c r="O89" s="556"/>
      <c r="P89" s="556"/>
      <c r="Q89" s="556"/>
      <c r="R89" s="556"/>
      <c r="S89" s="556"/>
      <c r="T89" s="556"/>
      <c r="U89" s="556"/>
      <c r="V89" s="1161">
        <f t="shared" si="4"/>
        <v>0</v>
      </c>
      <c r="W89" s="546"/>
    </row>
    <row r="90" spans="1:23" s="547" customFormat="1" ht="18" customHeight="1" thickBot="1">
      <c r="A90" s="1182" t="s">
        <v>1220</v>
      </c>
      <c r="B90" s="555" t="s">
        <v>968</v>
      </c>
      <c r="C90" s="556"/>
      <c r="D90" s="556"/>
      <c r="E90" s="556"/>
      <c r="F90" s="556"/>
      <c r="G90" s="556">
        <v>560</v>
      </c>
      <c r="H90" s="556">
        <v>70</v>
      </c>
      <c r="I90" s="556"/>
      <c r="J90" s="556"/>
      <c r="K90" s="556"/>
      <c r="L90" s="556"/>
      <c r="M90" s="556"/>
      <c r="N90" s="556"/>
      <c r="O90" s="556"/>
      <c r="P90" s="556"/>
      <c r="Q90" s="556"/>
      <c r="R90" s="556"/>
      <c r="S90" s="556"/>
      <c r="T90" s="556"/>
      <c r="U90" s="556"/>
      <c r="V90" s="1161">
        <f t="shared" si="4"/>
        <v>630</v>
      </c>
      <c r="W90" s="546"/>
    </row>
    <row r="91" spans="1:23" s="547" customFormat="1" ht="18" customHeight="1" hidden="1">
      <c r="A91" s="651" t="s">
        <v>1221</v>
      </c>
      <c r="B91" s="555" t="s">
        <v>678</v>
      </c>
      <c r="C91" s="556"/>
      <c r="D91" s="556"/>
      <c r="E91" s="556"/>
      <c r="F91" s="556"/>
      <c r="G91" s="556"/>
      <c r="H91" s="556"/>
      <c r="I91" s="556"/>
      <c r="J91" s="556"/>
      <c r="K91" s="556"/>
      <c r="L91" s="556"/>
      <c r="M91" s="556"/>
      <c r="N91" s="556"/>
      <c r="O91" s="556"/>
      <c r="P91" s="556"/>
      <c r="Q91" s="556"/>
      <c r="R91" s="556"/>
      <c r="S91" s="556"/>
      <c r="T91" s="556"/>
      <c r="U91" s="556"/>
      <c r="V91" s="1160">
        <f t="shared" si="4"/>
        <v>0</v>
      </c>
      <c r="W91" s="546"/>
    </row>
    <row r="92" spans="1:23" s="547" customFormat="1" ht="18" customHeight="1" hidden="1">
      <c r="A92" s="1182" t="s">
        <v>1222</v>
      </c>
      <c r="B92" s="553" t="s">
        <v>697</v>
      </c>
      <c r="C92" s="554"/>
      <c r="D92" s="554"/>
      <c r="E92" s="554"/>
      <c r="F92" s="554"/>
      <c r="G92" s="554"/>
      <c r="H92" s="554"/>
      <c r="I92" s="554"/>
      <c r="J92" s="554"/>
      <c r="K92" s="554"/>
      <c r="L92" s="554"/>
      <c r="M92" s="554"/>
      <c r="N92" s="554"/>
      <c r="O92" s="554"/>
      <c r="P92" s="554"/>
      <c r="Q92" s="554"/>
      <c r="R92" s="554"/>
      <c r="S92" s="554"/>
      <c r="T92" s="554"/>
      <c r="U92" s="554"/>
      <c r="V92" s="1160">
        <f t="shared" si="4"/>
        <v>0</v>
      </c>
      <c r="W92" s="546"/>
    </row>
    <row r="93" spans="1:23" s="547" customFormat="1" ht="18" customHeight="1" hidden="1" thickBot="1">
      <c r="A93" s="1183"/>
      <c r="B93" s="557" t="s">
        <v>695</v>
      </c>
      <c r="C93" s="558"/>
      <c r="D93" s="558"/>
      <c r="E93" s="558"/>
      <c r="F93" s="558"/>
      <c r="G93" s="558"/>
      <c r="H93" s="558"/>
      <c r="I93" s="558"/>
      <c r="J93" s="558"/>
      <c r="K93" s="558"/>
      <c r="L93" s="558"/>
      <c r="M93" s="558"/>
      <c r="N93" s="558"/>
      <c r="O93" s="558"/>
      <c r="P93" s="558"/>
      <c r="Q93" s="558"/>
      <c r="R93" s="558"/>
      <c r="S93" s="558"/>
      <c r="T93" s="558"/>
      <c r="U93" s="558"/>
      <c r="V93" s="1160">
        <f t="shared" si="4"/>
        <v>0</v>
      </c>
      <c r="W93" s="546"/>
    </row>
    <row r="94" spans="1:23" s="547" customFormat="1" ht="18" customHeight="1" hidden="1">
      <c r="A94" s="1184" t="s">
        <v>1223</v>
      </c>
      <c r="B94" s="559" t="s">
        <v>899</v>
      </c>
      <c r="C94" s="560">
        <f>SUM(C95:C134)</f>
        <v>0</v>
      </c>
      <c r="D94" s="560">
        <f aca="true" t="shared" si="5" ref="D94:T94">SUM(D95:D134)</f>
        <v>0</v>
      </c>
      <c r="E94" s="560">
        <f t="shared" si="5"/>
        <v>0</v>
      </c>
      <c r="F94" s="560">
        <f t="shared" si="5"/>
        <v>0</v>
      </c>
      <c r="G94" s="560">
        <f t="shared" si="5"/>
        <v>0</v>
      </c>
      <c r="H94" s="560">
        <f t="shared" si="5"/>
        <v>0</v>
      </c>
      <c r="I94" s="560">
        <f>SUM(I95:I134)</f>
        <v>0</v>
      </c>
      <c r="J94" s="560">
        <f>SUM(J95:J134)</f>
        <v>0</v>
      </c>
      <c r="K94" s="560">
        <f>SUM(K95:K134)</f>
        <v>0</v>
      </c>
      <c r="L94" s="560">
        <f t="shared" si="5"/>
        <v>0</v>
      </c>
      <c r="M94" s="560">
        <f t="shared" si="5"/>
        <v>0</v>
      </c>
      <c r="N94" s="560">
        <f t="shared" si="5"/>
        <v>0</v>
      </c>
      <c r="O94" s="560">
        <f t="shared" si="5"/>
        <v>0</v>
      </c>
      <c r="P94" s="560">
        <f t="shared" si="5"/>
        <v>0</v>
      </c>
      <c r="Q94" s="560">
        <f t="shared" si="5"/>
        <v>0</v>
      </c>
      <c r="R94" s="560">
        <f t="shared" si="5"/>
        <v>0</v>
      </c>
      <c r="S94" s="560">
        <f t="shared" si="5"/>
        <v>0</v>
      </c>
      <c r="T94" s="560">
        <f t="shared" si="5"/>
        <v>0</v>
      </c>
      <c r="U94" s="560">
        <f>U134</f>
        <v>0</v>
      </c>
      <c r="V94" s="1160">
        <f t="shared" si="4"/>
        <v>0</v>
      </c>
      <c r="W94" s="546"/>
    </row>
    <row r="95" spans="1:23" s="547" customFormat="1" ht="18" customHeight="1" hidden="1">
      <c r="A95" s="1185"/>
      <c r="B95" s="561" t="s">
        <v>698</v>
      </c>
      <c r="C95" s="562"/>
      <c r="D95" s="562"/>
      <c r="E95" s="562"/>
      <c r="F95" s="563"/>
      <c r="G95" s="563"/>
      <c r="H95" s="563"/>
      <c r="I95" s="563"/>
      <c r="J95" s="563"/>
      <c r="K95" s="563"/>
      <c r="L95" s="563"/>
      <c r="M95" s="563"/>
      <c r="N95" s="563"/>
      <c r="O95" s="563"/>
      <c r="P95" s="563"/>
      <c r="Q95" s="563"/>
      <c r="R95" s="563"/>
      <c r="S95" s="563"/>
      <c r="T95" s="563"/>
      <c r="U95" s="563"/>
      <c r="V95" s="1160">
        <f t="shared" si="4"/>
        <v>0</v>
      </c>
      <c r="W95" s="546"/>
    </row>
    <row r="96" spans="1:23" s="547" customFormat="1" ht="18" customHeight="1" hidden="1">
      <c r="A96" s="1186" t="s">
        <v>1224</v>
      </c>
      <c r="B96" s="555" t="s">
        <v>603</v>
      </c>
      <c r="C96" s="556"/>
      <c r="D96" s="556"/>
      <c r="E96" s="556"/>
      <c r="F96" s="556"/>
      <c r="G96" s="556"/>
      <c r="H96" s="556"/>
      <c r="I96" s="556"/>
      <c r="J96" s="556"/>
      <c r="K96" s="556"/>
      <c r="L96" s="556"/>
      <c r="M96" s="556"/>
      <c r="N96" s="556"/>
      <c r="O96" s="556"/>
      <c r="P96" s="556"/>
      <c r="Q96" s="556"/>
      <c r="R96" s="556"/>
      <c r="S96" s="556"/>
      <c r="T96" s="556"/>
      <c r="U96" s="556"/>
      <c r="V96" s="1160">
        <f t="shared" si="4"/>
        <v>0</v>
      </c>
      <c r="W96" s="546"/>
    </row>
    <row r="97" spans="1:23" s="547" customFormat="1" ht="18" customHeight="1" hidden="1">
      <c r="A97" s="1186" t="s">
        <v>1225</v>
      </c>
      <c r="B97" s="555" t="s">
        <v>604</v>
      </c>
      <c r="C97" s="556"/>
      <c r="D97" s="556"/>
      <c r="E97" s="556"/>
      <c r="F97" s="556"/>
      <c r="G97" s="556"/>
      <c r="H97" s="556"/>
      <c r="I97" s="556"/>
      <c r="J97" s="556"/>
      <c r="K97" s="556"/>
      <c r="L97" s="556"/>
      <c r="M97" s="556"/>
      <c r="N97" s="556"/>
      <c r="O97" s="556"/>
      <c r="P97" s="556"/>
      <c r="Q97" s="556"/>
      <c r="R97" s="556"/>
      <c r="S97" s="556"/>
      <c r="T97" s="556"/>
      <c r="U97" s="556"/>
      <c r="V97" s="1160">
        <f t="shared" si="4"/>
        <v>0</v>
      </c>
      <c r="W97" s="546"/>
    </row>
    <row r="98" spans="1:23" s="547" customFormat="1" ht="18" customHeight="1" hidden="1">
      <c r="A98" s="1186" t="s">
        <v>1226</v>
      </c>
      <c r="B98" s="555" t="s">
        <v>605</v>
      </c>
      <c r="C98" s="556"/>
      <c r="D98" s="556"/>
      <c r="E98" s="556"/>
      <c r="F98" s="556"/>
      <c r="G98" s="556"/>
      <c r="H98" s="556"/>
      <c r="I98" s="556"/>
      <c r="J98" s="556"/>
      <c r="K98" s="556"/>
      <c r="L98" s="556"/>
      <c r="M98" s="556"/>
      <c r="N98" s="556"/>
      <c r="O98" s="556"/>
      <c r="P98" s="556"/>
      <c r="Q98" s="556"/>
      <c r="R98" s="556"/>
      <c r="S98" s="556"/>
      <c r="T98" s="556"/>
      <c r="U98" s="556"/>
      <c r="V98" s="1160">
        <f t="shared" si="4"/>
        <v>0</v>
      </c>
      <c r="W98" s="546"/>
    </row>
    <row r="99" spans="1:23" s="547" customFormat="1" ht="18" customHeight="1" hidden="1">
      <c r="A99" s="1186" t="s">
        <v>1227</v>
      </c>
      <c r="B99" s="555" t="s">
        <v>607</v>
      </c>
      <c r="C99" s="556"/>
      <c r="D99" s="556"/>
      <c r="E99" s="556"/>
      <c r="F99" s="556"/>
      <c r="G99" s="556"/>
      <c r="H99" s="556"/>
      <c r="I99" s="556"/>
      <c r="J99" s="556"/>
      <c r="K99" s="556"/>
      <c r="L99" s="556"/>
      <c r="M99" s="556"/>
      <c r="N99" s="556"/>
      <c r="O99" s="556"/>
      <c r="P99" s="556"/>
      <c r="Q99" s="556"/>
      <c r="R99" s="556"/>
      <c r="S99" s="556"/>
      <c r="T99" s="556"/>
      <c r="U99" s="556"/>
      <c r="V99" s="1160">
        <f t="shared" si="4"/>
        <v>0</v>
      </c>
      <c r="W99" s="546"/>
    </row>
    <row r="100" spans="1:23" s="547" customFormat="1" ht="18" customHeight="1" hidden="1">
      <c r="A100" s="1186" t="s">
        <v>1228</v>
      </c>
      <c r="B100" s="555" t="s">
        <v>608</v>
      </c>
      <c r="C100" s="556"/>
      <c r="D100" s="556"/>
      <c r="E100" s="556"/>
      <c r="F100" s="556"/>
      <c r="G100" s="556"/>
      <c r="H100" s="556"/>
      <c r="I100" s="556"/>
      <c r="J100" s="556"/>
      <c r="K100" s="556"/>
      <c r="L100" s="556"/>
      <c r="M100" s="556"/>
      <c r="N100" s="556"/>
      <c r="O100" s="556"/>
      <c r="P100" s="556"/>
      <c r="Q100" s="556"/>
      <c r="R100" s="556"/>
      <c r="S100" s="556"/>
      <c r="T100" s="556"/>
      <c r="U100" s="556"/>
      <c r="V100" s="1160">
        <f t="shared" si="4"/>
        <v>0</v>
      </c>
      <c r="W100" s="546"/>
    </row>
    <row r="101" spans="1:23" s="547" customFormat="1" ht="18" customHeight="1" hidden="1">
      <c r="A101" s="1186" t="s">
        <v>1229</v>
      </c>
      <c r="B101" s="555" t="s">
        <v>610</v>
      </c>
      <c r="C101" s="556"/>
      <c r="D101" s="556"/>
      <c r="E101" s="556"/>
      <c r="F101" s="556"/>
      <c r="G101" s="556"/>
      <c r="H101" s="556"/>
      <c r="I101" s="556"/>
      <c r="J101" s="556"/>
      <c r="K101" s="556"/>
      <c r="L101" s="556"/>
      <c r="M101" s="556"/>
      <c r="N101" s="556"/>
      <c r="O101" s="556"/>
      <c r="P101" s="556"/>
      <c r="Q101" s="556"/>
      <c r="R101" s="556"/>
      <c r="S101" s="556"/>
      <c r="T101" s="556"/>
      <c r="U101" s="556"/>
      <c r="V101" s="1160">
        <f t="shared" si="4"/>
        <v>0</v>
      </c>
      <c r="W101" s="546"/>
    </row>
    <row r="102" spans="1:23" s="547" customFormat="1" ht="18" customHeight="1" hidden="1">
      <c r="A102" s="1186" t="s">
        <v>1230</v>
      </c>
      <c r="B102" s="555" t="s">
        <v>613</v>
      </c>
      <c r="C102" s="556"/>
      <c r="D102" s="556"/>
      <c r="E102" s="556"/>
      <c r="F102" s="556"/>
      <c r="G102" s="556"/>
      <c r="H102" s="556"/>
      <c r="I102" s="556"/>
      <c r="J102" s="556"/>
      <c r="K102" s="556"/>
      <c r="L102" s="556"/>
      <c r="M102" s="556"/>
      <c r="N102" s="556"/>
      <c r="O102" s="556"/>
      <c r="P102" s="556"/>
      <c r="Q102" s="556"/>
      <c r="R102" s="556"/>
      <c r="S102" s="556"/>
      <c r="T102" s="556"/>
      <c r="U102" s="556"/>
      <c r="V102" s="1160">
        <f t="shared" si="4"/>
        <v>0</v>
      </c>
      <c r="W102" s="546"/>
    </row>
    <row r="103" spans="1:23" s="547" customFormat="1" ht="18" customHeight="1" hidden="1">
      <c r="A103" s="1186" t="s">
        <v>1231</v>
      </c>
      <c r="B103" s="555" t="s">
        <v>618</v>
      </c>
      <c r="C103" s="556"/>
      <c r="D103" s="556"/>
      <c r="E103" s="556"/>
      <c r="F103" s="556"/>
      <c r="G103" s="556"/>
      <c r="H103" s="556"/>
      <c r="I103" s="556"/>
      <c r="J103" s="556"/>
      <c r="K103" s="556"/>
      <c r="L103" s="556"/>
      <c r="M103" s="556"/>
      <c r="N103" s="556"/>
      <c r="O103" s="556"/>
      <c r="P103" s="556"/>
      <c r="Q103" s="556"/>
      <c r="R103" s="556"/>
      <c r="S103" s="556"/>
      <c r="T103" s="556"/>
      <c r="U103" s="556"/>
      <c r="V103" s="1160">
        <f t="shared" si="4"/>
        <v>0</v>
      </c>
      <c r="W103" s="546"/>
    </row>
    <row r="104" spans="1:23" s="547" customFormat="1" ht="18" customHeight="1" hidden="1">
      <c r="A104" s="1186" t="s">
        <v>1232</v>
      </c>
      <c r="B104" s="555" t="s">
        <v>648</v>
      </c>
      <c r="C104" s="556"/>
      <c r="D104" s="556"/>
      <c r="E104" s="556"/>
      <c r="F104" s="556"/>
      <c r="G104" s="556"/>
      <c r="H104" s="556"/>
      <c r="I104" s="556"/>
      <c r="J104" s="556"/>
      <c r="K104" s="556"/>
      <c r="L104" s="556"/>
      <c r="M104" s="556"/>
      <c r="N104" s="556"/>
      <c r="O104" s="556"/>
      <c r="P104" s="556"/>
      <c r="Q104" s="556"/>
      <c r="R104" s="556"/>
      <c r="S104" s="556"/>
      <c r="T104" s="556"/>
      <c r="U104" s="556"/>
      <c r="V104" s="1160">
        <f t="shared" si="4"/>
        <v>0</v>
      </c>
      <c r="W104" s="546"/>
    </row>
    <row r="105" spans="1:23" s="547" customFormat="1" ht="18" customHeight="1" hidden="1">
      <c r="A105" s="1186" t="s">
        <v>1233</v>
      </c>
      <c r="B105" s="555" t="s">
        <v>650</v>
      </c>
      <c r="C105" s="556"/>
      <c r="D105" s="556"/>
      <c r="E105" s="556"/>
      <c r="F105" s="556"/>
      <c r="G105" s="556"/>
      <c r="H105" s="556"/>
      <c r="I105" s="556"/>
      <c r="J105" s="556"/>
      <c r="K105" s="556"/>
      <c r="L105" s="556"/>
      <c r="M105" s="556"/>
      <c r="N105" s="556"/>
      <c r="O105" s="556"/>
      <c r="P105" s="556"/>
      <c r="Q105" s="556"/>
      <c r="R105" s="556"/>
      <c r="S105" s="556"/>
      <c r="T105" s="556"/>
      <c r="U105" s="556"/>
      <c r="V105" s="1160">
        <f t="shared" si="4"/>
        <v>0</v>
      </c>
      <c r="W105" s="546"/>
    </row>
    <row r="106" spans="1:23" s="547" customFormat="1" ht="18" customHeight="1" hidden="1">
      <c r="A106" s="1186" t="s">
        <v>1234</v>
      </c>
      <c r="B106" s="555" t="s">
        <v>651</v>
      </c>
      <c r="C106" s="556"/>
      <c r="D106" s="556"/>
      <c r="E106" s="556"/>
      <c r="F106" s="556"/>
      <c r="G106" s="556"/>
      <c r="H106" s="556"/>
      <c r="I106" s="556"/>
      <c r="J106" s="556"/>
      <c r="K106" s="556"/>
      <c r="L106" s="556"/>
      <c r="M106" s="556"/>
      <c r="N106" s="556"/>
      <c r="O106" s="556"/>
      <c r="P106" s="556"/>
      <c r="Q106" s="556"/>
      <c r="R106" s="556"/>
      <c r="S106" s="556"/>
      <c r="T106" s="556"/>
      <c r="U106" s="556"/>
      <c r="V106" s="1160">
        <f t="shared" si="4"/>
        <v>0</v>
      </c>
      <c r="W106" s="546"/>
    </row>
    <row r="107" spans="1:23" s="547" customFormat="1" ht="18" customHeight="1" hidden="1">
      <c r="A107" s="1186" t="s">
        <v>1235</v>
      </c>
      <c r="B107" s="555" t="s">
        <v>652</v>
      </c>
      <c r="C107" s="556"/>
      <c r="D107" s="556"/>
      <c r="E107" s="556"/>
      <c r="F107" s="556"/>
      <c r="G107" s="556"/>
      <c r="H107" s="556"/>
      <c r="I107" s="556"/>
      <c r="J107" s="556"/>
      <c r="K107" s="556"/>
      <c r="L107" s="556"/>
      <c r="M107" s="556"/>
      <c r="N107" s="556"/>
      <c r="O107" s="556"/>
      <c r="P107" s="556"/>
      <c r="Q107" s="556"/>
      <c r="R107" s="556"/>
      <c r="S107" s="556"/>
      <c r="T107" s="556"/>
      <c r="U107" s="556"/>
      <c r="V107" s="1160">
        <f t="shared" si="4"/>
        <v>0</v>
      </c>
      <c r="W107" s="546"/>
    </row>
    <row r="108" spans="1:23" s="547" customFormat="1" ht="18" customHeight="1" hidden="1">
      <c r="A108" s="1186" t="s">
        <v>1236</v>
      </c>
      <c r="B108" s="555" t="s">
        <v>653</v>
      </c>
      <c r="C108" s="556"/>
      <c r="D108" s="556"/>
      <c r="E108" s="556"/>
      <c r="F108" s="556"/>
      <c r="G108" s="556"/>
      <c r="H108" s="556"/>
      <c r="I108" s="556"/>
      <c r="J108" s="556"/>
      <c r="K108" s="556"/>
      <c r="L108" s="556"/>
      <c r="M108" s="556"/>
      <c r="N108" s="556"/>
      <c r="O108" s="556"/>
      <c r="P108" s="556"/>
      <c r="Q108" s="556"/>
      <c r="R108" s="556"/>
      <c r="S108" s="556"/>
      <c r="T108" s="556"/>
      <c r="U108" s="556"/>
      <c r="V108" s="1160">
        <f t="shared" si="4"/>
        <v>0</v>
      </c>
      <c r="W108" s="546"/>
    </row>
    <row r="109" spans="1:23" s="547" customFormat="1" ht="18" customHeight="1" hidden="1">
      <c r="A109" s="1186" t="s">
        <v>1237</v>
      </c>
      <c r="B109" s="555" t="s">
        <v>654</v>
      </c>
      <c r="C109" s="556"/>
      <c r="D109" s="556"/>
      <c r="E109" s="556"/>
      <c r="F109" s="556"/>
      <c r="G109" s="556"/>
      <c r="H109" s="556"/>
      <c r="I109" s="556"/>
      <c r="J109" s="556"/>
      <c r="K109" s="556"/>
      <c r="L109" s="556"/>
      <c r="M109" s="556"/>
      <c r="N109" s="556"/>
      <c r="O109" s="556"/>
      <c r="P109" s="556"/>
      <c r="Q109" s="556"/>
      <c r="R109" s="556"/>
      <c r="S109" s="556"/>
      <c r="T109" s="556"/>
      <c r="U109" s="556"/>
      <c r="V109" s="1160">
        <f t="shared" si="4"/>
        <v>0</v>
      </c>
      <c r="W109" s="546"/>
    </row>
    <row r="110" spans="1:23" s="547" customFormat="1" ht="18" customHeight="1" hidden="1">
      <c r="A110" s="1186" t="s">
        <v>1238</v>
      </c>
      <c r="B110" s="555" t="s">
        <v>655</v>
      </c>
      <c r="C110" s="556"/>
      <c r="D110" s="556"/>
      <c r="E110" s="556"/>
      <c r="F110" s="556"/>
      <c r="G110" s="556"/>
      <c r="H110" s="556"/>
      <c r="I110" s="556"/>
      <c r="J110" s="556"/>
      <c r="K110" s="556"/>
      <c r="L110" s="556"/>
      <c r="M110" s="556"/>
      <c r="N110" s="556"/>
      <c r="O110" s="556"/>
      <c r="P110" s="556"/>
      <c r="Q110" s="556"/>
      <c r="R110" s="556"/>
      <c r="S110" s="556"/>
      <c r="T110" s="556"/>
      <c r="U110" s="556"/>
      <c r="V110" s="1160">
        <f t="shared" si="4"/>
        <v>0</v>
      </c>
      <c r="W110" s="546"/>
    </row>
    <row r="111" spans="1:23" s="547" customFormat="1" ht="18" customHeight="1" hidden="1">
      <c r="A111" s="1186" t="s">
        <v>1239</v>
      </c>
      <c r="B111" s="555" t="s">
        <v>656</v>
      </c>
      <c r="C111" s="556"/>
      <c r="D111" s="556"/>
      <c r="E111" s="556"/>
      <c r="F111" s="556"/>
      <c r="G111" s="556"/>
      <c r="H111" s="556"/>
      <c r="I111" s="556"/>
      <c r="J111" s="556"/>
      <c r="K111" s="556"/>
      <c r="L111" s="556"/>
      <c r="M111" s="556"/>
      <c r="N111" s="556"/>
      <c r="O111" s="556"/>
      <c r="P111" s="556"/>
      <c r="Q111" s="556"/>
      <c r="R111" s="556"/>
      <c r="S111" s="556"/>
      <c r="T111" s="556"/>
      <c r="U111" s="556"/>
      <c r="V111" s="1160">
        <f t="shared" si="4"/>
        <v>0</v>
      </c>
      <c r="W111" s="546"/>
    </row>
    <row r="112" spans="1:23" s="547" customFormat="1" ht="18" customHeight="1" hidden="1">
      <c r="A112" s="1186" t="s">
        <v>1240</v>
      </c>
      <c r="B112" s="555" t="s">
        <v>657</v>
      </c>
      <c r="C112" s="556"/>
      <c r="D112" s="556"/>
      <c r="E112" s="556"/>
      <c r="F112" s="556"/>
      <c r="G112" s="556"/>
      <c r="H112" s="556"/>
      <c r="I112" s="556"/>
      <c r="J112" s="556"/>
      <c r="K112" s="556"/>
      <c r="L112" s="556"/>
      <c r="M112" s="556"/>
      <c r="N112" s="556"/>
      <c r="O112" s="556"/>
      <c r="P112" s="556"/>
      <c r="Q112" s="556"/>
      <c r="R112" s="556"/>
      <c r="S112" s="556"/>
      <c r="T112" s="556"/>
      <c r="U112" s="556"/>
      <c r="V112" s="1160">
        <f t="shared" si="4"/>
        <v>0</v>
      </c>
      <c r="W112" s="546"/>
    </row>
    <row r="113" spans="1:23" s="547" customFormat="1" ht="18" customHeight="1" hidden="1">
      <c r="A113" s="1186" t="s">
        <v>1241</v>
      </c>
      <c r="B113" s="555" t="s">
        <v>658</v>
      </c>
      <c r="C113" s="556"/>
      <c r="D113" s="556"/>
      <c r="E113" s="556"/>
      <c r="F113" s="556"/>
      <c r="G113" s="556"/>
      <c r="H113" s="556"/>
      <c r="I113" s="556"/>
      <c r="J113" s="556"/>
      <c r="K113" s="556"/>
      <c r="L113" s="556"/>
      <c r="M113" s="556"/>
      <c r="N113" s="556"/>
      <c r="O113" s="556"/>
      <c r="P113" s="556"/>
      <c r="Q113" s="556"/>
      <c r="R113" s="556"/>
      <c r="S113" s="556"/>
      <c r="T113" s="556"/>
      <c r="U113" s="556"/>
      <c r="V113" s="1160">
        <f t="shared" si="4"/>
        <v>0</v>
      </c>
      <c r="W113" s="546"/>
    </row>
    <row r="114" spans="1:23" s="547" customFormat="1" ht="18" customHeight="1" hidden="1">
      <c r="A114" s="1186" t="s">
        <v>1242</v>
      </c>
      <c r="B114" s="555" t="s">
        <v>660</v>
      </c>
      <c r="C114" s="556"/>
      <c r="D114" s="556"/>
      <c r="E114" s="556"/>
      <c r="F114" s="556"/>
      <c r="G114" s="556"/>
      <c r="H114" s="556"/>
      <c r="I114" s="556"/>
      <c r="J114" s="556"/>
      <c r="K114" s="556"/>
      <c r="L114" s="556"/>
      <c r="M114" s="556"/>
      <c r="N114" s="556"/>
      <c r="O114" s="556"/>
      <c r="P114" s="556"/>
      <c r="Q114" s="556"/>
      <c r="R114" s="556"/>
      <c r="S114" s="556"/>
      <c r="T114" s="556"/>
      <c r="U114" s="556"/>
      <c r="V114" s="1160">
        <f t="shared" si="4"/>
        <v>0</v>
      </c>
      <c r="W114" s="546"/>
    </row>
    <row r="115" spans="1:23" s="547" customFormat="1" ht="18" customHeight="1" hidden="1">
      <c r="A115" s="1186" t="s">
        <v>1243</v>
      </c>
      <c r="B115" s="555" t="s">
        <v>669</v>
      </c>
      <c r="C115" s="556"/>
      <c r="D115" s="556"/>
      <c r="E115" s="556"/>
      <c r="F115" s="556"/>
      <c r="G115" s="556"/>
      <c r="H115" s="556"/>
      <c r="I115" s="556"/>
      <c r="J115" s="556"/>
      <c r="K115" s="556"/>
      <c r="L115" s="556"/>
      <c r="M115" s="556"/>
      <c r="N115" s="556"/>
      <c r="O115" s="556"/>
      <c r="P115" s="556"/>
      <c r="Q115" s="556"/>
      <c r="R115" s="556"/>
      <c r="S115" s="556"/>
      <c r="T115" s="556"/>
      <c r="U115" s="556"/>
      <c r="V115" s="1160">
        <f t="shared" si="4"/>
        <v>0</v>
      </c>
      <c r="W115" s="546"/>
    </row>
    <row r="116" spans="1:23" s="547" customFormat="1" ht="18" customHeight="1" hidden="1">
      <c r="A116" s="1186" t="s">
        <v>1244</v>
      </c>
      <c r="B116" s="555" t="s">
        <v>670</v>
      </c>
      <c r="C116" s="556"/>
      <c r="D116" s="556"/>
      <c r="E116" s="556"/>
      <c r="F116" s="556"/>
      <c r="G116" s="556"/>
      <c r="H116" s="556"/>
      <c r="I116" s="556"/>
      <c r="J116" s="556"/>
      <c r="K116" s="556"/>
      <c r="L116" s="556"/>
      <c r="M116" s="556"/>
      <c r="N116" s="556"/>
      <c r="O116" s="556"/>
      <c r="P116" s="556"/>
      <c r="Q116" s="556"/>
      <c r="R116" s="556"/>
      <c r="S116" s="556"/>
      <c r="T116" s="556"/>
      <c r="U116" s="556"/>
      <c r="V116" s="1160">
        <f t="shared" si="4"/>
        <v>0</v>
      </c>
      <c r="W116" s="546"/>
    </row>
    <row r="117" spans="1:23" s="547" customFormat="1" ht="18" customHeight="1" hidden="1">
      <c r="A117" s="1186" t="s">
        <v>1245</v>
      </c>
      <c r="B117" s="555" t="s">
        <v>671</v>
      </c>
      <c r="C117" s="556"/>
      <c r="D117" s="556"/>
      <c r="E117" s="556"/>
      <c r="F117" s="556"/>
      <c r="G117" s="556"/>
      <c r="H117" s="556"/>
      <c r="I117" s="556"/>
      <c r="J117" s="556"/>
      <c r="K117" s="556"/>
      <c r="L117" s="556"/>
      <c r="M117" s="556"/>
      <c r="N117" s="556"/>
      <c r="O117" s="556"/>
      <c r="P117" s="556"/>
      <c r="Q117" s="556"/>
      <c r="R117" s="556"/>
      <c r="S117" s="556"/>
      <c r="T117" s="556"/>
      <c r="U117" s="556"/>
      <c r="V117" s="1160">
        <f t="shared" si="4"/>
        <v>0</v>
      </c>
      <c r="W117" s="546"/>
    </row>
    <row r="118" spans="1:23" s="547" customFormat="1" ht="18" customHeight="1" hidden="1">
      <c r="A118" s="1186" t="s">
        <v>1246</v>
      </c>
      <c r="B118" s="555" t="s">
        <v>672</v>
      </c>
      <c r="C118" s="556"/>
      <c r="D118" s="556"/>
      <c r="E118" s="556"/>
      <c r="F118" s="556"/>
      <c r="G118" s="556"/>
      <c r="H118" s="556"/>
      <c r="I118" s="556"/>
      <c r="J118" s="556"/>
      <c r="K118" s="556"/>
      <c r="L118" s="556"/>
      <c r="M118" s="556"/>
      <c r="N118" s="556"/>
      <c r="O118" s="556"/>
      <c r="P118" s="556"/>
      <c r="Q118" s="556"/>
      <c r="R118" s="556"/>
      <c r="S118" s="556"/>
      <c r="T118" s="556"/>
      <c r="U118" s="556"/>
      <c r="V118" s="1160">
        <f t="shared" si="4"/>
        <v>0</v>
      </c>
      <c r="W118" s="546"/>
    </row>
    <row r="119" spans="1:23" s="547" customFormat="1" ht="18" customHeight="1" hidden="1">
      <c r="A119" s="1186" t="s">
        <v>1247</v>
      </c>
      <c r="B119" s="555" t="s">
        <v>673</v>
      </c>
      <c r="C119" s="556"/>
      <c r="D119" s="556"/>
      <c r="E119" s="556"/>
      <c r="F119" s="556"/>
      <c r="G119" s="556"/>
      <c r="H119" s="556"/>
      <c r="I119" s="556"/>
      <c r="J119" s="556"/>
      <c r="K119" s="556"/>
      <c r="L119" s="556"/>
      <c r="M119" s="556"/>
      <c r="N119" s="556"/>
      <c r="O119" s="556"/>
      <c r="P119" s="556"/>
      <c r="Q119" s="556"/>
      <c r="R119" s="556"/>
      <c r="S119" s="556"/>
      <c r="T119" s="556"/>
      <c r="U119" s="556"/>
      <c r="V119" s="1160">
        <f t="shared" si="4"/>
        <v>0</v>
      </c>
      <c r="W119" s="546"/>
    </row>
    <row r="120" spans="1:23" s="547" customFormat="1" ht="18" customHeight="1" hidden="1">
      <c r="A120" s="1186" t="s">
        <v>1248</v>
      </c>
      <c r="B120" s="555" t="s">
        <v>675</v>
      </c>
      <c r="C120" s="556"/>
      <c r="D120" s="556"/>
      <c r="E120" s="556"/>
      <c r="F120" s="556"/>
      <c r="G120" s="556"/>
      <c r="H120" s="556"/>
      <c r="I120" s="556"/>
      <c r="J120" s="556"/>
      <c r="K120" s="556"/>
      <c r="L120" s="556"/>
      <c r="M120" s="556"/>
      <c r="N120" s="556"/>
      <c r="O120" s="556"/>
      <c r="P120" s="556"/>
      <c r="Q120" s="556"/>
      <c r="R120" s="556"/>
      <c r="S120" s="556"/>
      <c r="T120" s="556"/>
      <c r="U120" s="556"/>
      <c r="V120" s="1160">
        <f t="shared" si="4"/>
        <v>0</v>
      </c>
      <c r="W120" s="546"/>
    </row>
    <row r="121" spans="1:23" s="547" customFormat="1" ht="18" customHeight="1" hidden="1">
      <c r="A121" s="1186" t="s">
        <v>1249</v>
      </c>
      <c r="B121" s="555" t="s">
        <v>676</v>
      </c>
      <c r="C121" s="556"/>
      <c r="D121" s="556"/>
      <c r="E121" s="556"/>
      <c r="F121" s="556"/>
      <c r="G121" s="556"/>
      <c r="H121" s="556"/>
      <c r="I121" s="556"/>
      <c r="J121" s="556"/>
      <c r="K121" s="556"/>
      <c r="L121" s="556"/>
      <c r="M121" s="556"/>
      <c r="N121" s="556"/>
      <c r="O121" s="556"/>
      <c r="P121" s="556"/>
      <c r="Q121" s="556"/>
      <c r="R121" s="556"/>
      <c r="S121" s="556"/>
      <c r="T121" s="556"/>
      <c r="U121" s="556"/>
      <c r="V121" s="1160">
        <f t="shared" si="4"/>
        <v>0</v>
      </c>
      <c r="W121" s="546"/>
    </row>
    <row r="122" spans="1:23" s="547" customFormat="1" ht="18" customHeight="1" hidden="1">
      <c r="A122" s="1186" t="s">
        <v>1250</v>
      </c>
      <c r="B122" s="555" t="s">
        <v>677</v>
      </c>
      <c r="C122" s="556"/>
      <c r="D122" s="556"/>
      <c r="E122" s="556"/>
      <c r="F122" s="556"/>
      <c r="G122" s="556"/>
      <c r="H122" s="556"/>
      <c r="I122" s="556"/>
      <c r="J122" s="556"/>
      <c r="K122" s="556"/>
      <c r="L122" s="556"/>
      <c r="M122" s="556"/>
      <c r="N122" s="556"/>
      <c r="O122" s="556"/>
      <c r="P122" s="556"/>
      <c r="Q122" s="556"/>
      <c r="R122" s="556"/>
      <c r="S122" s="556"/>
      <c r="T122" s="556"/>
      <c r="U122" s="556"/>
      <c r="V122" s="1160">
        <f t="shared" si="4"/>
        <v>0</v>
      </c>
      <c r="W122" s="546"/>
    </row>
    <row r="123" spans="1:23" s="547" customFormat="1" ht="18" customHeight="1" hidden="1">
      <c r="A123" s="1186" t="s">
        <v>1251</v>
      </c>
      <c r="B123" s="555" t="s">
        <v>678</v>
      </c>
      <c r="C123" s="556"/>
      <c r="D123" s="556"/>
      <c r="E123" s="556"/>
      <c r="F123" s="556"/>
      <c r="G123" s="556"/>
      <c r="H123" s="556"/>
      <c r="I123" s="556"/>
      <c r="J123" s="556"/>
      <c r="K123" s="556"/>
      <c r="L123" s="556"/>
      <c r="M123" s="556"/>
      <c r="N123" s="556"/>
      <c r="O123" s="556"/>
      <c r="P123" s="556"/>
      <c r="Q123" s="556"/>
      <c r="R123" s="556"/>
      <c r="S123" s="556"/>
      <c r="T123" s="556"/>
      <c r="U123" s="556"/>
      <c r="V123" s="1160">
        <f t="shared" si="4"/>
        <v>0</v>
      </c>
      <c r="W123" s="546"/>
    </row>
    <row r="124" spans="1:23" s="547" customFormat="1" ht="18" customHeight="1" hidden="1">
      <c r="A124" s="1186" t="s">
        <v>1252</v>
      </c>
      <c r="B124" s="555" t="s">
        <v>679</v>
      </c>
      <c r="C124" s="556"/>
      <c r="D124" s="556"/>
      <c r="E124" s="556"/>
      <c r="F124" s="556"/>
      <c r="G124" s="556"/>
      <c r="H124" s="556"/>
      <c r="I124" s="556"/>
      <c r="J124" s="556"/>
      <c r="K124" s="556"/>
      <c r="L124" s="556"/>
      <c r="M124" s="556"/>
      <c r="N124" s="556"/>
      <c r="O124" s="556"/>
      <c r="P124" s="556"/>
      <c r="Q124" s="556"/>
      <c r="R124" s="556"/>
      <c r="S124" s="556"/>
      <c r="T124" s="556"/>
      <c r="U124" s="556"/>
      <c r="V124" s="1160">
        <f t="shared" si="4"/>
        <v>0</v>
      </c>
      <c r="W124" s="546"/>
    </row>
    <row r="125" spans="1:23" s="547" customFormat="1" ht="18" customHeight="1" hidden="1">
      <c r="A125" s="1186" t="s">
        <v>1253</v>
      </c>
      <c r="B125" s="555" t="s">
        <v>680</v>
      </c>
      <c r="C125" s="556"/>
      <c r="D125" s="556"/>
      <c r="E125" s="556"/>
      <c r="F125" s="556"/>
      <c r="G125" s="556"/>
      <c r="H125" s="556"/>
      <c r="I125" s="556"/>
      <c r="J125" s="556"/>
      <c r="K125" s="556"/>
      <c r="L125" s="556"/>
      <c r="M125" s="556"/>
      <c r="N125" s="556"/>
      <c r="O125" s="556"/>
      <c r="P125" s="556"/>
      <c r="Q125" s="556"/>
      <c r="R125" s="556"/>
      <c r="S125" s="556"/>
      <c r="T125" s="556"/>
      <c r="U125" s="556"/>
      <c r="V125" s="1160">
        <f t="shared" si="4"/>
        <v>0</v>
      </c>
      <c r="W125" s="546"/>
    </row>
    <row r="126" spans="1:23" s="547" customFormat="1" ht="18" customHeight="1" hidden="1">
      <c r="A126" s="1186" t="s">
        <v>1254</v>
      </c>
      <c r="B126" s="633" t="s">
        <v>968</v>
      </c>
      <c r="C126" s="556"/>
      <c r="D126" s="556"/>
      <c r="E126" s="556"/>
      <c r="F126" s="556"/>
      <c r="G126" s="556"/>
      <c r="H126" s="556"/>
      <c r="I126" s="556"/>
      <c r="J126" s="556"/>
      <c r="K126" s="556"/>
      <c r="L126" s="556"/>
      <c r="M126" s="556"/>
      <c r="N126" s="556"/>
      <c r="O126" s="556"/>
      <c r="P126" s="556"/>
      <c r="Q126" s="556"/>
      <c r="R126" s="556"/>
      <c r="S126" s="556"/>
      <c r="T126" s="556"/>
      <c r="U126" s="556"/>
      <c r="V126" s="1160">
        <f t="shared" si="4"/>
        <v>0</v>
      </c>
      <c r="W126" s="546"/>
    </row>
    <row r="127" spans="1:23" s="547" customFormat="1" ht="18" customHeight="1" hidden="1">
      <c r="A127" s="1186" t="s">
        <v>1255</v>
      </c>
      <c r="B127" s="633" t="s">
        <v>969</v>
      </c>
      <c r="C127" s="556"/>
      <c r="D127" s="556"/>
      <c r="E127" s="556"/>
      <c r="F127" s="556"/>
      <c r="G127" s="556"/>
      <c r="H127" s="556"/>
      <c r="I127" s="556"/>
      <c r="J127" s="556"/>
      <c r="K127" s="556"/>
      <c r="L127" s="556"/>
      <c r="M127" s="556"/>
      <c r="N127" s="556"/>
      <c r="O127" s="556"/>
      <c r="P127" s="556"/>
      <c r="Q127" s="556"/>
      <c r="R127" s="556"/>
      <c r="S127" s="556"/>
      <c r="T127" s="556"/>
      <c r="U127" s="556"/>
      <c r="V127" s="1160">
        <f t="shared" si="4"/>
        <v>0</v>
      </c>
      <c r="W127" s="546"/>
    </row>
    <row r="128" spans="1:23" s="547" customFormat="1" ht="18" customHeight="1" hidden="1">
      <c r="A128" s="1186" t="s">
        <v>1256</v>
      </c>
      <c r="B128" s="633" t="s">
        <v>970</v>
      </c>
      <c r="C128" s="556"/>
      <c r="D128" s="556"/>
      <c r="E128" s="556"/>
      <c r="F128" s="556"/>
      <c r="G128" s="556"/>
      <c r="H128" s="556"/>
      <c r="I128" s="556"/>
      <c r="J128" s="556"/>
      <c r="K128" s="556"/>
      <c r="L128" s="556"/>
      <c r="M128" s="556"/>
      <c r="N128" s="556"/>
      <c r="O128" s="556"/>
      <c r="P128" s="556"/>
      <c r="Q128" s="556"/>
      <c r="R128" s="556"/>
      <c r="S128" s="556"/>
      <c r="T128" s="556"/>
      <c r="U128" s="556"/>
      <c r="V128" s="1160">
        <f t="shared" si="4"/>
        <v>0</v>
      </c>
      <c r="W128" s="546"/>
    </row>
    <row r="129" spans="1:23" s="547" customFormat="1" ht="18" customHeight="1" hidden="1">
      <c r="A129" s="1186" t="s">
        <v>1257</v>
      </c>
      <c r="B129" s="633" t="s">
        <v>971</v>
      </c>
      <c r="C129" s="556"/>
      <c r="D129" s="556"/>
      <c r="E129" s="556"/>
      <c r="F129" s="556"/>
      <c r="G129" s="556"/>
      <c r="H129" s="556"/>
      <c r="I129" s="556"/>
      <c r="J129" s="556"/>
      <c r="K129" s="556"/>
      <c r="L129" s="556"/>
      <c r="M129" s="556"/>
      <c r="N129" s="556"/>
      <c r="O129" s="556"/>
      <c r="P129" s="556"/>
      <c r="Q129" s="556"/>
      <c r="R129" s="556"/>
      <c r="S129" s="556"/>
      <c r="T129" s="556"/>
      <c r="U129" s="556"/>
      <c r="V129" s="1160">
        <f t="shared" si="4"/>
        <v>0</v>
      </c>
      <c r="W129" s="546"/>
    </row>
    <row r="130" spans="1:23" s="547" customFormat="1" ht="18" customHeight="1" hidden="1">
      <c r="A130" s="1186" t="s">
        <v>1258</v>
      </c>
      <c r="B130" s="633" t="s">
        <v>972</v>
      </c>
      <c r="C130" s="556"/>
      <c r="D130" s="556"/>
      <c r="E130" s="556"/>
      <c r="F130" s="556"/>
      <c r="G130" s="556"/>
      <c r="H130" s="556"/>
      <c r="I130" s="556"/>
      <c r="J130" s="556"/>
      <c r="K130" s="556"/>
      <c r="L130" s="556"/>
      <c r="M130" s="556"/>
      <c r="N130" s="556"/>
      <c r="O130" s="556"/>
      <c r="P130" s="556"/>
      <c r="Q130" s="556"/>
      <c r="R130" s="556"/>
      <c r="S130" s="556"/>
      <c r="T130" s="556"/>
      <c r="U130" s="556"/>
      <c r="V130" s="1160">
        <f t="shared" si="4"/>
        <v>0</v>
      </c>
      <c r="W130" s="546"/>
    </row>
    <row r="131" spans="1:23" s="547" customFormat="1" ht="18" customHeight="1" hidden="1" thickBot="1">
      <c r="A131" s="1186" t="s">
        <v>1259</v>
      </c>
      <c r="B131" s="633" t="s">
        <v>697</v>
      </c>
      <c r="C131" s="556"/>
      <c r="D131" s="556"/>
      <c r="E131" s="556"/>
      <c r="F131" s="556"/>
      <c r="G131" s="556"/>
      <c r="H131" s="556"/>
      <c r="I131" s="556"/>
      <c r="J131" s="556"/>
      <c r="K131" s="556"/>
      <c r="L131" s="556"/>
      <c r="M131" s="556"/>
      <c r="N131" s="556"/>
      <c r="O131" s="556"/>
      <c r="P131" s="556"/>
      <c r="Q131" s="556"/>
      <c r="R131" s="556"/>
      <c r="S131" s="556"/>
      <c r="T131" s="556"/>
      <c r="U131" s="556"/>
      <c r="V131" s="1160">
        <f t="shared" si="4"/>
        <v>0</v>
      </c>
      <c r="W131" s="546"/>
    </row>
    <row r="132" spans="1:23" s="547" customFormat="1" ht="18" customHeight="1" hidden="1">
      <c r="A132" s="1186" t="s">
        <v>1260</v>
      </c>
      <c r="B132" s="633" t="s">
        <v>681</v>
      </c>
      <c r="C132" s="556"/>
      <c r="D132" s="556"/>
      <c r="E132" s="556"/>
      <c r="F132" s="556"/>
      <c r="G132" s="556"/>
      <c r="H132" s="556"/>
      <c r="I132" s="556"/>
      <c r="J132" s="556"/>
      <c r="K132" s="556"/>
      <c r="L132" s="556"/>
      <c r="M132" s="556"/>
      <c r="N132" s="556"/>
      <c r="O132" s="556"/>
      <c r="P132" s="556"/>
      <c r="Q132" s="556"/>
      <c r="R132" s="556"/>
      <c r="S132" s="556"/>
      <c r="T132" s="556"/>
      <c r="U132" s="556"/>
      <c r="V132" s="1160">
        <f t="shared" si="4"/>
        <v>0</v>
      </c>
      <c r="W132" s="546"/>
    </row>
    <row r="133" spans="1:23" s="547" customFormat="1" ht="26.25" hidden="1" thickBot="1">
      <c r="A133" s="1186" t="s">
        <v>1261</v>
      </c>
      <c r="B133" s="746" t="s">
        <v>699</v>
      </c>
      <c r="C133" s="556"/>
      <c r="D133" s="556"/>
      <c r="E133" s="556"/>
      <c r="F133" s="556"/>
      <c r="G133" s="556"/>
      <c r="H133" s="556"/>
      <c r="I133" s="556"/>
      <c r="J133" s="556"/>
      <c r="K133" s="556"/>
      <c r="L133" s="556"/>
      <c r="M133" s="556"/>
      <c r="N133" s="556"/>
      <c r="O133" s="556"/>
      <c r="P133" s="556"/>
      <c r="Q133" s="556"/>
      <c r="R133" s="556"/>
      <c r="S133" s="556"/>
      <c r="T133" s="556"/>
      <c r="U133" s="556"/>
      <c r="V133" s="1160">
        <f t="shared" si="4"/>
        <v>0</v>
      </c>
      <c r="W133" s="546"/>
    </row>
    <row r="134" spans="1:23" s="547" customFormat="1" ht="18" customHeight="1" hidden="1">
      <c r="A134" s="1187"/>
      <c r="B134" s="565" t="s">
        <v>695</v>
      </c>
      <c r="C134" s="558"/>
      <c r="D134" s="558"/>
      <c r="E134" s="558"/>
      <c r="F134" s="558"/>
      <c r="G134" s="558"/>
      <c r="H134" s="558"/>
      <c r="I134" s="558"/>
      <c r="J134" s="558"/>
      <c r="K134" s="558"/>
      <c r="L134" s="558"/>
      <c r="M134" s="558"/>
      <c r="N134" s="558"/>
      <c r="O134" s="558"/>
      <c r="P134" s="558"/>
      <c r="Q134" s="558"/>
      <c r="R134" s="558"/>
      <c r="S134" s="558"/>
      <c r="T134" s="558"/>
      <c r="U134" s="558"/>
      <c r="V134" s="1160">
        <f t="shared" si="4"/>
        <v>0</v>
      </c>
      <c r="W134" s="546"/>
    </row>
    <row r="135" spans="1:23" s="150" customFormat="1" ht="18" customHeight="1" hidden="1" thickBot="1">
      <c r="A135" s="566">
        <v>80102</v>
      </c>
      <c r="B135" s="1204" t="s">
        <v>700</v>
      </c>
      <c r="C135" s="567">
        <f>SUM(C136:C140)</f>
        <v>0</v>
      </c>
      <c r="D135" s="567">
        <f>SUM(D136:D140)</f>
        <v>0</v>
      </c>
      <c r="E135" s="567">
        <f aca="true" t="shared" si="6" ref="E135:U135">SUM(E136:E140)</f>
        <v>0</v>
      </c>
      <c r="F135" s="567">
        <f t="shared" si="6"/>
        <v>0</v>
      </c>
      <c r="G135" s="567">
        <f t="shared" si="6"/>
        <v>0</v>
      </c>
      <c r="H135" s="567">
        <f t="shared" si="6"/>
        <v>0</v>
      </c>
      <c r="I135" s="567">
        <f>SUM(I136:I140)</f>
        <v>0</v>
      </c>
      <c r="J135" s="567">
        <f>SUM(J136:J140)</f>
        <v>0</v>
      </c>
      <c r="K135" s="567">
        <f>SUM(K136:K140)</f>
        <v>0</v>
      </c>
      <c r="L135" s="567">
        <f t="shared" si="6"/>
        <v>0</v>
      </c>
      <c r="M135" s="567">
        <f t="shared" si="6"/>
        <v>0</v>
      </c>
      <c r="N135" s="567">
        <f t="shared" si="6"/>
        <v>0</v>
      </c>
      <c r="O135" s="567">
        <f t="shared" si="6"/>
        <v>0</v>
      </c>
      <c r="P135" s="567">
        <f t="shared" si="6"/>
        <v>0</v>
      </c>
      <c r="Q135" s="567">
        <f t="shared" si="6"/>
        <v>0</v>
      </c>
      <c r="R135" s="567">
        <f t="shared" si="6"/>
        <v>0</v>
      </c>
      <c r="S135" s="567">
        <f t="shared" si="6"/>
        <v>0</v>
      </c>
      <c r="T135" s="567">
        <f t="shared" si="6"/>
        <v>0</v>
      </c>
      <c r="U135" s="568">
        <f t="shared" si="6"/>
        <v>0</v>
      </c>
      <c r="V135" s="1160">
        <f t="shared" si="4"/>
        <v>0</v>
      </c>
      <c r="W135" s="569"/>
    </row>
    <row r="136" spans="1:23" ht="18" customHeight="1" hidden="1">
      <c r="A136" s="570">
        <v>26</v>
      </c>
      <c r="B136" s="1205" t="s">
        <v>701</v>
      </c>
      <c r="C136" s="571"/>
      <c r="D136" s="571"/>
      <c r="E136" s="571"/>
      <c r="F136" s="571"/>
      <c r="G136" s="571"/>
      <c r="H136" s="571"/>
      <c r="I136" s="571"/>
      <c r="J136" s="571"/>
      <c r="K136" s="571"/>
      <c r="L136" s="571"/>
      <c r="M136" s="571"/>
      <c r="N136" s="571"/>
      <c r="O136" s="571"/>
      <c r="P136" s="571"/>
      <c r="Q136" s="571"/>
      <c r="R136" s="571"/>
      <c r="S136" s="571"/>
      <c r="T136" s="571"/>
      <c r="U136" s="571"/>
      <c r="V136" s="1160">
        <f t="shared" si="4"/>
        <v>0</v>
      </c>
      <c r="W136" s="536"/>
    </row>
    <row r="137" spans="1:23" ht="17.25" customHeight="1" hidden="1">
      <c r="A137" s="572">
        <v>53</v>
      </c>
      <c r="B137" s="1206" t="s">
        <v>702</v>
      </c>
      <c r="C137" s="573"/>
      <c r="D137" s="573"/>
      <c r="E137" s="573"/>
      <c r="F137" s="573"/>
      <c r="G137" s="573"/>
      <c r="H137" s="573"/>
      <c r="I137" s="573"/>
      <c r="J137" s="573"/>
      <c r="K137" s="573"/>
      <c r="L137" s="573"/>
      <c r="M137" s="573"/>
      <c r="N137" s="573"/>
      <c r="O137" s="573"/>
      <c r="P137" s="573"/>
      <c r="Q137" s="573"/>
      <c r="R137" s="573"/>
      <c r="S137" s="573"/>
      <c r="T137" s="573"/>
      <c r="U137" s="573"/>
      <c r="V137" s="1160">
        <f t="shared" si="4"/>
        <v>0</v>
      </c>
      <c r="W137" s="536"/>
    </row>
    <row r="138" spans="1:23" ht="26.25" hidden="1" thickBot="1">
      <c r="A138" s="574">
        <v>54</v>
      </c>
      <c r="B138" s="1207" t="s">
        <v>703</v>
      </c>
      <c r="C138" s="575"/>
      <c r="D138" s="575"/>
      <c r="E138" s="575"/>
      <c r="F138" s="575"/>
      <c r="G138" s="575"/>
      <c r="H138" s="575"/>
      <c r="I138" s="575"/>
      <c r="J138" s="575"/>
      <c r="K138" s="575"/>
      <c r="L138" s="575"/>
      <c r="M138" s="575"/>
      <c r="N138" s="575"/>
      <c r="O138" s="575"/>
      <c r="P138" s="575"/>
      <c r="Q138" s="575"/>
      <c r="R138" s="575"/>
      <c r="S138" s="575"/>
      <c r="T138" s="575"/>
      <c r="U138" s="575"/>
      <c r="V138" s="1160">
        <f t="shared" si="4"/>
        <v>0</v>
      </c>
      <c r="W138" s="536"/>
    </row>
    <row r="139" spans="1:23" ht="26.25" hidden="1" thickBot="1">
      <c r="A139" s="572">
        <v>55</v>
      </c>
      <c r="B139" s="1206" t="s">
        <v>704</v>
      </c>
      <c r="C139" s="576"/>
      <c r="D139" s="576"/>
      <c r="E139" s="576"/>
      <c r="F139" s="576"/>
      <c r="G139" s="576"/>
      <c r="H139" s="576"/>
      <c r="I139" s="576"/>
      <c r="J139" s="576"/>
      <c r="K139" s="576"/>
      <c r="L139" s="576"/>
      <c r="M139" s="576"/>
      <c r="N139" s="576"/>
      <c r="O139" s="576"/>
      <c r="P139" s="576"/>
      <c r="Q139" s="576"/>
      <c r="R139" s="576"/>
      <c r="S139" s="576"/>
      <c r="T139" s="576"/>
      <c r="U139" s="576"/>
      <c r="V139" s="1160">
        <f t="shared" si="4"/>
        <v>0</v>
      </c>
      <c r="W139" s="536"/>
    </row>
    <row r="140" spans="1:23" s="547" customFormat="1" ht="18" customHeight="1" hidden="1" thickBot="1">
      <c r="A140" s="543"/>
      <c r="B140" s="1203" t="s">
        <v>695</v>
      </c>
      <c r="C140" s="545"/>
      <c r="D140" s="545"/>
      <c r="E140" s="545"/>
      <c r="F140" s="545"/>
      <c r="G140" s="545"/>
      <c r="H140" s="545"/>
      <c r="I140" s="545"/>
      <c r="J140" s="545"/>
      <c r="K140" s="545"/>
      <c r="L140" s="545"/>
      <c r="M140" s="545"/>
      <c r="N140" s="545"/>
      <c r="O140" s="545"/>
      <c r="P140" s="545"/>
      <c r="Q140" s="545"/>
      <c r="R140" s="545"/>
      <c r="S140" s="545"/>
      <c r="T140" s="545"/>
      <c r="U140" s="545"/>
      <c r="V140" s="1162">
        <f t="shared" si="4"/>
        <v>0</v>
      </c>
      <c r="W140" s="546"/>
    </row>
    <row r="141" spans="1:23" s="150" customFormat="1" ht="18" customHeight="1" thickBot="1">
      <c r="A141" s="577">
        <v>80104</v>
      </c>
      <c r="B141" s="908" t="s">
        <v>705</v>
      </c>
      <c r="C141" s="578">
        <f>SUM(C143:C158)</f>
        <v>0</v>
      </c>
      <c r="D141" s="578">
        <f>SUM(D143:D158)</f>
        <v>0</v>
      </c>
      <c r="E141" s="578">
        <f>SUM(E143:E158)</f>
        <v>0</v>
      </c>
      <c r="F141" s="578">
        <f>F142+F163</f>
        <v>18000</v>
      </c>
      <c r="G141" s="578">
        <f aca="true" t="shared" si="7" ref="G141:U141">G142+G163</f>
        <v>5100</v>
      </c>
      <c r="H141" s="578">
        <f t="shared" si="7"/>
        <v>750</v>
      </c>
      <c r="I141" s="578">
        <f t="shared" si="7"/>
        <v>-1575</v>
      </c>
      <c r="J141" s="578">
        <f t="shared" si="7"/>
        <v>105</v>
      </c>
      <c r="K141" s="578"/>
      <c r="L141" s="578">
        <f t="shared" si="7"/>
        <v>985</v>
      </c>
      <c r="M141" s="578">
        <f t="shared" si="7"/>
        <v>2468</v>
      </c>
      <c r="N141" s="578">
        <f t="shared" si="7"/>
        <v>105</v>
      </c>
      <c r="O141" s="578">
        <f t="shared" si="7"/>
        <v>-5750</v>
      </c>
      <c r="P141" s="578">
        <f t="shared" si="7"/>
        <v>13238</v>
      </c>
      <c r="Q141" s="578"/>
      <c r="R141" s="578">
        <f t="shared" si="7"/>
        <v>-10478</v>
      </c>
      <c r="S141" s="578">
        <f t="shared" si="7"/>
        <v>314</v>
      </c>
      <c r="T141" s="578">
        <f t="shared" si="7"/>
        <v>386</v>
      </c>
      <c r="U141" s="578">
        <f t="shared" si="7"/>
        <v>-207</v>
      </c>
      <c r="V141" s="1158">
        <f>F141+G141+H141+I141+K141+L141+M141+N141+O141+P141+Q141+R141+S141+T141+U141</f>
        <v>23336</v>
      </c>
      <c r="W141" s="569"/>
    </row>
    <row r="142" spans="1:23" s="150" customFormat="1" ht="18" customHeight="1">
      <c r="A142" s="904"/>
      <c r="B142" s="905" t="s">
        <v>836</v>
      </c>
      <c r="C142" s="906"/>
      <c r="D142" s="906"/>
      <c r="E142" s="906"/>
      <c r="F142" s="906">
        <f>SUM(F143:F151)</f>
        <v>18000</v>
      </c>
      <c r="G142" s="906">
        <f>SUM(G143:G151)</f>
        <v>5100</v>
      </c>
      <c r="H142" s="906">
        <f>SUM(H143:H151)</f>
        <v>750</v>
      </c>
      <c r="I142" s="906"/>
      <c r="J142" s="906"/>
      <c r="K142" s="906"/>
      <c r="L142" s="906"/>
      <c r="M142" s="906"/>
      <c r="N142" s="906"/>
      <c r="O142" s="906"/>
      <c r="P142" s="906"/>
      <c r="Q142" s="906"/>
      <c r="R142" s="906"/>
      <c r="S142" s="906"/>
      <c r="T142" s="906">
        <f>SUM(T143:T151)</f>
        <v>386</v>
      </c>
      <c r="U142" s="906"/>
      <c r="V142" s="1311">
        <f>SUM(F142:U142)</f>
        <v>24236</v>
      </c>
      <c r="W142" s="569"/>
    </row>
    <row r="143" spans="1:23" s="150" customFormat="1" ht="18" customHeight="1">
      <c r="A143" s="1188" t="s">
        <v>1262</v>
      </c>
      <c r="B143" s="579" t="s">
        <v>603</v>
      </c>
      <c r="C143" s="580"/>
      <c r="D143" s="580"/>
      <c r="E143" s="580"/>
      <c r="F143" s="580">
        <v>13000</v>
      </c>
      <c r="G143" s="580">
        <v>3000</v>
      </c>
      <c r="H143" s="580">
        <v>450</v>
      </c>
      <c r="I143" s="580"/>
      <c r="J143" s="580"/>
      <c r="K143" s="580"/>
      <c r="L143" s="580"/>
      <c r="M143" s="580"/>
      <c r="N143" s="580"/>
      <c r="O143" s="580"/>
      <c r="P143" s="580"/>
      <c r="Q143" s="580"/>
      <c r="R143" s="580"/>
      <c r="S143" s="580"/>
      <c r="T143" s="580"/>
      <c r="U143" s="580"/>
      <c r="V143" s="1366">
        <f t="shared" si="4"/>
        <v>16450</v>
      </c>
      <c r="W143" s="569"/>
    </row>
    <row r="144" spans="1:23" ht="18" customHeight="1" hidden="1">
      <c r="A144" s="581" t="s">
        <v>1263</v>
      </c>
      <c r="B144" s="684" t="s">
        <v>605</v>
      </c>
      <c r="C144" s="580"/>
      <c r="D144" s="580"/>
      <c r="E144" s="580"/>
      <c r="F144" s="580"/>
      <c r="G144" s="580"/>
      <c r="H144" s="580"/>
      <c r="I144" s="580"/>
      <c r="J144" s="580"/>
      <c r="K144" s="580"/>
      <c r="L144" s="580"/>
      <c r="M144" s="580"/>
      <c r="N144" s="580"/>
      <c r="O144" s="580"/>
      <c r="P144" s="580"/>
      <c r="Q144" s="580"/>
      <c r="R144" s="580"/>
      <c r="S144" s="580"/>
      <c r="T144" s="580"/>
      <c r="U144" s="580"/>
      <c r="V144" s="1161">
        <f aca="true" t="shared" si="8" ref="V144:V269">SUM(C144:U144)</f>
        <v>0</v>
      </c>
      <c r="W144" s="536"/>
    </row>
    <row r="145" spans="1:23" ht="18" customHeight="1" hidden="1">
      <c r="A145" s="582" t="s">
        <v>1264</v>
      </c>
      <c r="B145" s="633" t="s">
        <v>608</v>
      </c>
      <c r="C145" s="583"/>
      <c r="D145" s="583"/>
      <c r="E145" s="583"/>
      <c r="F145" s="583"/>
      <c r="G145" s="583"/>
      <c r="H145" s="583"/>
      <c r="I145" s="583"/>
      <c r="J145" s="583"/>
      <c r="K145" s="583"/>
      <c r="L145" s="583"/>
      <c r="M145" s="583"/>
      <c r="N145" s="583"/>
      <c r="O145" s="583"/>
      <c r="P145" s="583"/>
      <c r="Q145" s="583"/>
      <c r="R145" s="583"/>
      <c r="S145" s="583"/>
      <c r="T145" s="583"/>
      <c r="U145" s="583"/>
      <c r="V145" s="1161">
        <f t="shared" si="8"/>
        <v>0</v>
      </c>
      <c r="W145" s="536"/>
    </row>
    <row r="146" spans="1:23" ht="18" customHeight="1" hidden="1">
      <c r="A146" s="584" t="s">
        <v>1265</v>
      </c>
      <c r="B146" s="633" t="s">
        <v>610</v>
      </c>
      <c r="C146" s="583"/>
      <c r="D146" s="583"/>
      <c r="E146" s="583"/>
      <c r="F146" s="583"/>
      <c r="G146" s="583"/>
      <c r="H146" s="583"/>
      <c r="I146" s="583"/>
      <c r="J146" s="583"/>
      <c r="K146" s="583"/>
      <c r="L146" s="583"/>
      <c r="M146" s="583"/>
      <c r="N146" s="583"/>
      <c r="O146" s="583"/>
      <c r="P146" s="583"/>
      <c r="Q146" s="583"/>
      <c r="R146" s="583"/>
      <c r="S146" s="583"/>
      <c r="T146" s="583"/>
      <c r="U146" s="583"/>
      <c r="V146" s="1161">
        <f t="shared" si="8"/>
        <v>0</v>
      </c>
      <c r="W146" s="536"/>
    </row>
    <row r="147" spans="1:23" ht="18" customHeight="1" hidden="1">
      <c r="A147" s="582" t="s">
        <v>1266</v>
      </c>
      <c r="B147" s="633" t="s">
        <v>613</v>
      </c>
      <c r="C147" s="583"/>
      <c r="D147" s="583"/>
      <c r="E147" s="583"/>
      <c r="F147" s="583"/>
      <c r="G147" s="583"/>
      <c r="H147" s="583"/>
      <c r="I147" s="583"/>
      <c r="J147" s="583"/>
      <c r="K147" s="583"/>
      <c r="L147" s="583"/>
      <c r="M147" s="583"/>
      <c r="N147" s="583"/>
      <c r="O147" s="583"/>
      <c r="P147" s="583"/>
      <c r="Q147" s="583"/>
      <c r="R147" s="583"/>
      <c r="S147" s="583"/>
      <c r="T147" s="583"/>
      <c r="U147" s="583"/>
      <c r="V147" s="1161">
        <f t="shared" si="8"/>
        <v>0</v>
      </c>
      <c r="W147" s="536"/>
    </row>
    <row r="148" spans="1:23" ht="18" customHeight="1" hidden="1">
      <c r="A148" s="584" t="s">
        <v>1267</v>
      </c>
      <c r="B148" s="633" t="s">
        <v>616</v>
      </c>
      <c r="C148" s="583"/>
      <c r="D148" s="583"/>
      <c r="E148" s="583"/>
      <c r="F148" s="583"/>
      <c r="G148" s="583"/>
      <c r="H148" s="583"/>
      <c r="I148" s="583"/>
      <c r="J148" s="583"/>
      <c r="K148" s="583"/>
      <c r="L148" s="583"/>
      <c r="M148" s="583"/>
      <c r="N148" s="583"/>
      <c r="O148" s="583"/>
      <c r="P148" s="583"/>
      <c r="Q148" s="583"/>
      <c r="R148" s="583"/>
      <c r="S148" s="583"/>
      <c r="T148" s="583"/>
      <c r="U148" s="583"/>
      <c r="V148" s="1161">
        <f t="shared" si="8"/>
        <v>0</v>
      </c>
      <c r="W148" s="536"/>
    </row>
    <row r="149" spans="1:23" ht="18" customHeight="1" hidden="1">
      <c r="A149" s="582" t="s">
        <v>1268</v>
      </c>
      <c r="B149" s="633" t="s">
        <v>618</v>
      </c>
      <c r="C149" s="583"/>
      <c r="D149" s="583"/>
      <c r="E149" s="583"/>
      <c r="F149" s="583"/>
      <c r="G149" s="583"/>
      <c r="H149" s="583"/>
      <c r="I149" s="583"/>
      <c r="J149" s="583"/>
      <c r="K149" s="583"/>
      <c r="L149" s="583"/>
      <c r="M149" s="583"/>
      <c r="N149" s="583"/>
      <c r="O149" s="583"/>
      <c r="P149" s="583"/>
      <c r="Q149" s="583"/>
      <c r="R149" s="583"/>
      <c r="S149" s="583"/>
      <c r="T149" s="583"/>
      <c r="U149" s="583"/>
      <c r="V149" s="1161">
        <f t="shared" si="8"/>
        <v>0</v>
      </c>
      <c r="W149" s="536"/>
    </row>
    <row r="150" spans="1:23" ht="18" customHeight="1" hidden="1">
      <c r="A150" s="584" t="s">
        <v>1269</v>
      </c>
      <c r="B150" s="633" t="s">
        <v>650</v>
      </c>
      <c r="C150" s="583"/>
      <c r="D150" s="583"/>
      <c r="E150" s="583"/>
      <c r="F150" s="583"/>
      <c r="G150" s="583"/>
      <c r="H150" s="583"/>
      <c r="I150" s="583"/>
      <c r="J150" s="583"/>
      <c r="K150" s="583"/>
      <c r="L150" s="583"/>
      <c r="M150" s="583"/>
      <c r="N150" s="583"/>
      <c r="O150" s="583"/>
      <c r="P150" s="583"/>
      <c r="Q150" s="583"/>
      <c r="R150" s="583"/>
      <c r="S150" s="583"/>
      <c r="T150" s="583"/>
      <c r="U150" s="583"/>
      <c r="V150" s="1161">
        <f t="shared" si="8"/>
        <v>0</v>
      </c>
      <c r="W150" s="536"/>
    </row>
    <row r="151" spans="1:26" s="586" customFormat="1" ht="18" customHeight="1">
      <c r="A151" s="582" t="s">
        <v>1270</v>
      </c>
      <c r="B151" s="633" t="s">
        <v>652</v>
      </c>
      <c r="C151" s="583"/>
      <c r="D151" s="583"/>
      <c r="E151" s="583"/>
      <c r="F151" s="583">
        <v>5000</v>
      </c>
      <c r="G151" s="583">
        <v>2100</v>
      </c>
      <c r="H151" s="583">
        <v>300</v>
      </c>
      <c r="I151" s="583"/>
      <c r="J151" s="583"/>
      <c r="K151" s="583"/>
      <c r="L151" s="583"/>
      <c r="M151" s="583"/>
      <c r="N151" s="583"/>
      <c r="O151" s="583"/>
      <c r="P151" s="583"/>
      <c r="Q151" s="583"/>
      <c r="R151" s="583"/>
      <c r="S151" s="583"/>
      <c r="T151" s="583">
        <v>386</v>
      </c>
      <c r="U151" s="583"/>
      <c r="V151" s="1161">
        <f t="shared" si="8"/>
        <v>7786</v>
      </c>
      <c r="W151" s="536"/>
      <c r="X151" s="585"/>
      <c r="Y151" s="585"/>
      <c r="Z151" s="585"/>
    </row>
    <row r="152" spans="1:26" s="586" customFormat="1" ht="18" customHeight="1" hidden="1">
      <c r="A152" s="584" t="s">
        <v>1271</v>
      </c>
      <c r="B152" s="633" t="s">
        <v>671</v>
      </c>
      <c r="C152" s="583"/>
      <c r="D152" s="583"/>
      <c r="E152" s="583"/>
      <c r="F152" s="583"/>
      <c r="G152" s="583"/>
      <c r="H152" s="583"/>
      <c r="I152" s="583"/>
      <c r="J152" s="583"/>
      <c r="K152" s="583"/>
      <c r="L152" s="583"/>
      <c r="M152" s="583"/>
      <c r="N152" s="583"/>
      <c r="O152" s="583"/>
      <c r="P152" s="583"/>
      <c r="Q152" s="583"/>
      <c r="R152" s="583"/>
      <c r="S152" s="583"/>
      <c r="T152" s="583"/>
      <c r="U152" s="583"/>
      <c r="V152" s="1160">
        <f t="shared" si="8"/>
        <v>0</v>
      </c>
      <c r="W152" s="536"/>
      <c r="X152" s="585"/>
      <c r="Y152" s="585"/>
      <c r="Z152" s="585"/>
    </row>
    <row r="153" spans="1:26" s="586" customFormat="1" ht="18" customHeight="1" hidden="1">
      <c r="A153" s="584" t="s">
        <v>1272</v>
      </c>
      <c r="B153" s="633" t="s">
        <v>676</v>
      </c>
      <c r="C153" s="583"/>
      <c r="D153" s="583"/>
      <c r="E153" s="583"/>
      <c r="F153" s="583"/>
      <c r="G153" s="583"/>
      <c r="H153" s="583"/>
      <c r="I153" s="583"/>
      <c r="J153" s="583"/>
      <c r="K153" s="583"/>
      <c r="L153" s="583"/>
      <c r="M153" s="583"/>
      <c r="N153" s="583"/>
      <c r="O153" s="583"/>
      <c r="P153" s="583"/>
      <c r="Q153" s="583"/>
      <c r="R153" s="583"/>
      <c r="S153" s="583"/>
      <c r="T153" s="583"/>
      <c r="U153" s="583"/>
      <c r="V153" s="1160">
        <f t="shared" si="8"/>
        <v>0</v>
      </c>
      <c r="W153" s="536"/>
      <c r="X153" s="585"/>
      <c r="Y153" s="585"/>
      <c r="Z153" s="585"/>
    </row>
    <row r="154" spans="1:26" s="586" customFormat="1" ht="18" customHeight="1" hidden="1">
      <c r="A154" s="582" t="s">
        <v>1273</v>
      </c>
      <c r="B154" s="1200" t="s">
        <v>677</v>
      </c>
      <c r="C154" s="587"/>
      <c r="D154" s="587"/>
      <c r="E154" s="587"/>
      <c r="F154" s="587"/>
      <c r="G154" s="587"/>
      <c r="H154" s="587"/>
      <c r="I154" s="587"/>
      <c r="J154" s="587"/>
      <c r="K154" s="587"/>
      <c r="L154" s="587"/>
      <c r="M154" s="587"/>
      <c r="N154" s="587"/>
      <c r="O154" s="587"/>
      <c r="P154" s="587"/>
      <c r="Q154" s="587"/>
      <c r="R154" s="587"/>
      <c r="S154" s="587"/>
      <c r="T154" s="587"/>
      <c r="U154" s="587"/>
      <c r="V154" s="1160">
        <f t="shared" si="8"/>
        <v>0</v>
      </c>
      <c r="W154" s="536"/>
      <c r="X154" s="585"/>
      <c r="Y154" s="585"/>
      <c r="Z154" s="585"/>
    </row>
    <row r="155" spans="1:26" s="586" customFormat="1" ht="18" customHeight="1" hidden="1">
      <c r="A155" s="582" t="s">
        <v>1274</v>
      </c>
      <c r="B155" s="1200" t="s">
        <v>678</v>
      </c>
      <c r="C155" s="587"/>
      <c r="D155" s="587"/>
      <c r="E155" s="587"/>
      <c r="F155" s="587"/>
      <c r="G155" s="587"/>
      <c r="H155" s="587"/>
      <c r="I155" s="587"/>
      <c r="J155" s="587"/>
      <c r="K155" s="587"/>
      <c r="L155" s="587"/>
      <c r="M155" s="587"/>
      <c r="N155" s="587"/>
      <c r="O155" s="587"/>
      <c r="P155" s="587"/>
      <c r="Q155" s="587"/>
      <c r="R155" s="587"/>
      <c r="S155" s="587"/>
      <c r="T155" s="587"/>
      <c r="U155" s="587"/>
      <c r="V155" s="1160">
        <f t="shared" si="8"/>
        <v>0</v>
      </c>
      <c r="W155" s="536"/>
      <c r="X155" s="585"/>
      <c r="Y155" s="585"/>
      <c r="Z155" s="585"/>
    </row>
    <row r="156" spans="1:26" s="586" customFormat="1" ht="18" customHeight="1" hidden="1" thickBot="1">
      <c r="A156" s="584" t="s">
        <v>1275</v>
      </c>
      <c r="B156" s="633" t="s">
        <v>679</v>
      </c>
      <c r="C156" s="583"/>
      <c r="D156" s="583"/>
      <c r="E156" s="583"/>
      <c r="F156" s="583"/>
      <c r="G156" s="583"/>
      <c r="H156" s="583"/>
      <c r="I156" s="583"/>
      <c r="J156" s="583"/>
      <c r="K156" s="583"/>
      <c r="L156" s="583"/>
      <c r="M156" s="583"/>
      <c r="N156" s="583"/>
      <c r="O156" s="583"/>
      <c r="P156" s="583"/>
      <c r="Q156" s="583"/>
      <c r="R156" s="583"/>
      <c r="S156" s="583"/>
      <c r="T156" s="583"/>
      <c r="U156" s="583"/>
      <c r="V156" s="1160">
        <f t="shared" si="8"/>
        <v>0</v>
      </c>
      <c r="W156" s="536"/>
      <c r="X156" s="585"/>
      <c r="Y156" s="585"/>
      <c r="Z156" s="585"/>
    </row>
    <row r="157" spans="1:26" s="586" customFormat="1" ht="18" customHeight="1" hidden="1" thickBot="1">
      <c r="A157" s="584" t="s">
        <v>1276</v>
      </c>
      <c r="B157" s="633" t="s">
        <v>680</v>
      </c>
      <c r="C157" s="583"/>
      <c r="D157" s="583"/>
      <c r="E157" s="583"/>
      <c r="F157" s="583"/>
      <c r="G157" s="583"/>
      <c r="H157" s="583"/>
      <c r="I157" s="583"/>
      <c r="J157" s="583"/>
      <c r="K157" s="583"/>
      <c r="L157" s="583"/>
      <c r="M157" s="583"/>
      <c r="N157" s="583"/>
      <c r="O157" s="583"/>
      <c r="P157" s="583"/>
      <c r="Q157" s="583"/>
      <c r="R157" s="583"/>
      <c r="S157" s="583"/>
      <c r="T157" s="583"/>
      <c r="U157" s="583"/>
      <c r="V157" s="1160">
        <f t="shared" si="8"/>
        <v>0</v>
      </c>
      <c r="W157" s="536"/>
      <c r="X157" s="585"/>
      <c r="Y157" s="585"/>
      <c r="Z157" s="585"/>
    </row>
    <row r="158" spans="1:26" s="589" customFormat="1" ht="18" customHeight="1" hidden="1" thickBot="1">
      <c r="A158" s="543"/>
      <c r="B158" s="1203" t="s">
        <v>695</v>
      </c>
      <c r="C158" s="545"/>
      <c r="D158" s="545"/>
      <c r="E158" s="545"/>
      <c r="F158" s="545"/>
      <c r="G158" s="545"/>
      <c r="H158" s="545"/>
      <c r="I158" s="545"/>
      <c r="J158" s="545"/>
      <c r="K158" s="545"/>
      <c r="L158" s="545"/>
      <c r="M158" s="545"/>
      <c r="N158" s="545"/>
      <c r="O158" s="545"/>
      <c r="P158" s="545"/>
      <c r="Q158" s="545"/>
      <c r="R158" s="545"/>
      <c r="S158" s="545"/>
      <c r="T158" s="545"/>
      <c r="U158" s="545"/>
      <c r="V158" s="1160">
        <f t="shared" si="8"/>
        <v>0</v>
      </c>
      <c r="W158" s="546"/>
      <c r="X158" s="588"/>
      <c r="Y158" s="588"/>
      <c r="Z158" s="588"/>
    </row>
    <row r="159" spans="1:26" s="589" customFormat="1" ht="18" customHeight="1" hidden="1" thickBot="1">
      <c r="A159" s="590">
        <v>80105</v>
      </c>
      <c r="B159" s="1208" t="s">
        <v>706</v>
      </c>
      <c r="C159" s="591">
        <f>SUM(C160:C162)</f>
        <v>0</v>
      </c>
      <c r="D159" s="591">
        <f aca="true" t="shared" si="9" ref="D159:U159">SUM(D160:D162)</f>
        <v>0</v>
      </c>
      <c r="E159" s="591">
        <f t="shared" si="9"/>
        <v>0</v>
      </c>
      <c r="F159" s="591">
        <f t="shared" si="9"/>
        <v>0</v>
      </c>
      <c r="G159" s="591">
        <f t="shared" si="9"/>
        <v>0</v>
      </c>
      <c r="H159" s="591">
        <f t="shared" si="9"/>
        <v>0</v>
      </c>
      <c r="I159" s="591">
        <f>SUM(I160:I162)</f>
        <v>0</v>
      </c>
      <c r="J159" s="591">
        <f>SUM(J160:J162)</f>
        <v>0</v>
      </c>
      <c r="K159" s="591">
        <f>SUM(K160:K162)</f>
        <v>0</v>
      </c>
      <c r="L159" s="591">
        <f t="shared" si="9"/>
        <v>0</v>
      </c>
      <c r="M159" s="591">
        <f t="shared" si="9"/>
        <v>0</v>
      </c>
      <c r="N159" s="591">
        <f t="shared" si="9"/>
        <v>0</v>
      </c>
      <c r="O159" s="591">
        <f t="shared" si="9"/>
        <v>0</v>
      </c>
      <c r="P159" s="591">
        <f t="shared" si="9"/>
        <v>0</v>
      </c>
      <c r="Q159" s="591">
        <f t="shared" si="9"/>
        <v>0</v>
      </c>
      <c r="R159" s="591">
        <f t="shared" si="9"/>
        <v>0</v>
      </c>
      <c r="S159" s="591">
        <f t="shared" si="9"/>
        <v>0</v>
      </c>
      <c r="T159" s="591">
        <f t="shared" si="9"/>
        <v>0</v>
      </c>
      <c r="U159" s="591">
        <f t="shared" si="9"/>
        <v>0</v>
      </c>
      <c r="V159" s="1160">
        <f t="shared" si="8"/>
        <v>0</v>
      </c>
      <c r="W159" s="546"/>
      <c r="X159" s="588"/>
      <c r="Y159" s="588"/>
      <c r="Z159" s="588"/>
    </row>
    <row r="160" spans="1:26" s="589" customFormat="1" ht="26.25" hidden="1" thickBot="1">
      <c r="A160" s="592" t="s">
        <v>1277</v>
      </c>
      <c r="B160" s="1207" t="s">
        <v>703</v>
      </c>
      <c r="C160" s="593"/>
      <c r="D160" s="593"/>
      <c r="E160" s="593"/>
      <c r="F160" s="593"/>
      <c r="G160" s="593"/>
      <c r="H160" s="593"/>
      <c r="I160" s="593"/>
      <c r="J160" s="593"/>
      <c r="K160" s="593"/>
      <c r="L160" s="593"/>
      <c r="M160" s="593"/>
      <c r="N160" s="593"/>
      <c r="O160" s="593"/>
      <c r="P160" s="593"/>
      <c r="Q160" s="593"/>
      <c r="R160" s="593"/>
      <c r="S160" s="593"/>
      <c r="T160" s="593"/>
      <c r="U160" s="593"/>
      <c r="V160" s="1160">
        <f t="shared" si="8"/>
        <v>0</v>
      </c>
      <c r="W160" s="546"/>
      <c r="X160" s="588"/>
      <c r="Y160" s="588"/>
      <c r="Z160" s="588"/>
    </row>
    <row r="161" spans="1:26" s="589" customFormat="1" ht="18" customHeight="1" hidden="1" thickBot="1">
      <c r="A161" s="594" t="s">
        <v>1278</v>
      </c>
      <c r="B161" s="689" t="s">
        <v>707</v>
      </c>
      <c r="C161" s="595"/>
      <c r="D161" s="595"/>
      <c r="E161" s="595"/>
      <c r="F161" s="595"/>
      <c r="G161" s="595"/>
      <c r="H161" s="595"/>
      <c r="I161" s="595"/>
      <c r="J161" s="595"/>
      <c r="K161" s="595"/>
      <c r="L161" s="595"/>
      <c r="M161" s="595"/>
      <c r="N161" s="595"/>
      <c r="O161" s="595"/>
      <c r="P161" s="595"/>
      <c r="Q161" s="595"/>
      <c r="R161" s="595"/>
      <c r="S161" s="595"/>
      <c r="T161" s="595"/>
      <c r="U161" s="595"/>
      <c r="V161" s="1160">
        <f t="shared" si="8"/>
        <v>0</v>
      </c>
      <c r="W161" s="546"/>
      <c r="X161" s="588"/>
      <c r="Y161" s="588"/>
      <c r="Z161" s="588"/>
    </row>
    <row r="162" spans="1:26" s="589" customFormat="1" ht="18" customHeight="1" hidden="1" thickBot="1">
      <c r="A162" s="543"/>
      <c r="B162" s="1203" t="s">
        <v>695</v>
      </c>
      <c r="C162" s="596"/>
      <c r="D162" s="596"/>
      <c r="E162" s="596"/>
      <c r="F162" s="596"/>
      <c r="G162" s="596"/>
      <c r="H162" s="596"/>
      <c r="I162" s="596"/>
      <c r="J162" s="596"/>
      <c r="K162" s="596"/>
      <c r="L162" s="596"/>
      <c r="M162" s="596"/>
      <c r="N162" s="596"/>
      <c r="O162" s="596"/>
      <c r="P162" s="596"/>
      <c r="Q162" s="596"/>
      <c r="R162" s="596"/>
      <c r="S162" s="596"/>
      <c r="T162" s="596"/>
      <c r="U162" s="596"/>
      <c r="V162" s="1162">
        <f t="shared" si="8"/>
        <v>0</v>
      </c>
      <c r="W162" s="597"/>
      <c r="X162" s="588"/>
      <c r="Y162" s="588"/>
      <c r="Z162" s="588"/>
    </row>
    <row r="163" spans="1:26" s="589" customFormat="1" ht="18" customHeight="1">
      <c r="A163" s="726"/>
      <c r="B163" s="271" t="s">
        <v>624</v>
      </c>
      <c r="C163" s="179"/>
      <c r="D163" s="179"/>
      <c r="E163" s="179"/>
      <c r="F163" s="179"/>
      <c r="G163" s="179"/>
      <c r="H163" s="179"/>
      <c r="I163" s="179">
        <f>SUM(I164:I224)</f>
        <v>-1575</v>
      </c>
      <c r="J163" s="179">
        <f>SUM(J164:J224)</f>
        <v>105</v>
      </c>
      <c r="K163" s="179"/>
      <c r="L163" s="179">
        <f>SUM(L164:L224)</f>
        <v>985</v>
      </c>
      <c r="M163" s="179">
        <f>SUM(M164:M224)</f>
        <v>2468</v>
      </c>
      <c r="N163" s="179">
        <f>SUM(N164:N224)</f>
        <v>105</v>
      </c>
      <c r="O163" s="179">
        <f>SUM(O164:O224)</f>
        <v>-5750</v>
      </c>
      <c r="P163" s="179">
        <f>SUM(P164:P224)</f>
        <v>13238</v>
      </c>
      <c r="Q163" s="179"/>
      <c r="R163" s="179">
        <f>SUM(R164:R224)</f>
        <v>-10478</v>
      </c>
      <c r="S163" s="179">
        <f>SUM(S164:S224)</f>
        <v>314</v>
      </c>
      <c r="T163" s="179"/>
      <c r="U163" s="179">
        <f>SUM(U164:U224)</f>
        <v>-207</v>
      </c>
      <c r="V163" s="1367">
        <f>U163+T163+S163+R163+Q163+P163+O163+N163+M163+L163+K163+I163+H163+G163+F163</f>
        <v>-900</v>
      </c>
      <c r="W163" s="597"/>
      <c r="X163" s="588"/>
      <c r="Y163" s="588"/>
      <c r="Z163" s="588"/>
    </row>
    <row r="164" spans="1:26" s="589" customFormat="1" ht="18" customHeight="1">
      <c r="A164" s="726"/>
      <c r="B164" s="375" t="s">
        <v>1013</v>
      </c>
      <c r="C164" s="375"/>
      <c r="D164" s="375"/>
      <c r="E164" s="375"/>
      <c r="F164" s="375"/>
      <c r="G164" s="375"/>
      <c r="H164" s="375"/>
      <c r="I164" s="375"/>
      <c r="J164" s="375"/>
      <c r="K164" s="375"/>
      <c r="L164" s="375">
        <v>3</v>
      </c>
      <c r="M164" s="375"/>
      <c r="N164" s="375"/>
      <c r="O164" s="376">
        <v>-102</v>
      </c>
      <c r="P164" s="376"/>
      <c r="Q164" s="375"/>
      <c r="R164" s="376">
        <v>-39</v>
      </c>
      <c r="S164" s="375"/>
      <c r="T164" s="375"/>
      <c r="U164" s="375"/>
      <c r="V164" s="377">
        <f aca="true" t="shared" si="10" ref="V164:V224">U164+T164+S164+R164+Q164+P164+O164+N164+M164+L164+K164+I164+H164+G164+F164</f>
        <v>-138</v>
      </c>
      <c r="W164" s="597"/>
      <c r="X164" s="588"/>
      <c r="Y164" s="588"/>
      <c r="Z164" s="588"/>
    </row>
    <row r="165" spans="1:26" s="589" customFormat="1" ht="18" customHeight="1">
      <c r="A165" s="726"/>
      <c r="B165" s="375" t="s">
        <v>904</v>
      </c>
      <c r="C165" s="375"/>
      <c r="D165" s="375"/>
      <c r="E165" s="375"/>
      <c r="F165" s="375"/>
      <c r="G165" s="375"/>
      <c r="H165" s="375"/>
      <c r="I165" s="375"/>
      <c r="J165" s="375"/>
      <c r="K165" s="375"/>
      <c r="L165" s="375"/>
      <c r="M165" s="375"/>
      <c r="N165" s="375"/>
      <c r="O165" s="378">
        <v>-36</v>
      </c>
      <c r="P165" s="378"/>
      <c r="Q165" s="375"/>
      <c r="R165" s="378">
        <v>-30</v>
      </c>
      <c r="S165" s="375"/>
      <c r="T165" s="375"/>
      <c r="U165" s="375"/>
      <c r="V165" s="377">
        <f t="shared" si="10"/>
        <v>-66</v>
      </c>
      <c r="W165" s="597"/>
      <c r="X165" s="588"/>
      <c r="Y165" s="588"/>
      <c r="Z165" s="588"/>
    </row>
    <row r="166" spans="1:26" s="589" customFormat="1" ht="18" customHeight="1">
      <c r="A166" s="726"/>
      <c r="B166" s="375" t="s">
        <v>1014</v>
      </c>
      <c r="C166" s="375"/>
      <c r="D166" s="375"/>
      <c r="E166" s="375"/>
      <c r="F166" s="375"/>
      <c r="G166" s="375"/>
      <c r="H166" s="375"/>
      <c r="I166" s="375"/>
      <c r="J166" s="375"/>
      <c r="K166" s="375"/>
      <c r="L166" s="375"/>
      <c r="M166" s="375"/>
      <c r="N166" s="375"/>
      <c r="O166" s="378">
        <v>-46</v>
      </c>
      <c r="P166" s="378"/>
      <c r="Q166" s="375"/>
      <c r="R166" s="378">
        <v>-550</v>
      </c>
      <c r="S166" s="375"/>
      <c r="T166" s="375"/>
      <c r="U166" s="375"/>
      <c r="V166" s="377">
        <f t="shared" si="10"/>
        <v>-596</v>
      </c>
      <c r="W166" s="597"/>
      <c r="X166" s="588"/>
      <c r="Y166" s="588"/>
      <c r="Z166" s="588"/>
    </row>
    <row r="167" spans="1:26" s="589" customFormat="1" ht="18" customHeight="1">
      <c r="A167" s="726"/>
      <c r="B167" s="375" t="s">
        <v>1015</v>
      </c>
      <c r="C167" s="375"/>
      <c r="D167" s="375"/>
      <c r="E167" s="375"/>
      <c r="F167" s="375"/>
      <c r="G167" s="375"/>
      <c r="H167" s="375"/>
      <c r="I167" s="375"/>
      <c r="J167" s="375"/>
      <c r="K167" s="375"/>
      <c r="L167" s="375">
        <v>891</v>
      </c>
      <c r="M167" s="375"/>
      <c r="N167" s="375"/>
      <c r="O167" s="378">
        <v>-141</v>
      </c>
      <c r="P167" s="378"/>
      <c r="Q167" s="375"/>
      <c r="R167" s="378">
        <v>-61</v>
      </c>
      <c r="S167" s="375"/>
      <c r="T167" s="375"/>
      <c r="U167" s="375"/>
      <c r="V167" s="377">
        <f t="shared" si="10"/>
        <v>689</v>
      </c>
      <c r="W167" s="597"/>
      <c r="X167" s="588"/>
      <c r="Y167" s="588"/>
      <c r="Z167" s="588"/>
    </row>
    <row r="168" spans="1:26" s="589" customFormat="1" ht="18" customHeight="1">
      <c r="A168" s="726"/>
      <c r="B168" s="375" t="s">
        <v>1016</v>
      </c>
      <c r="C168" s="375"/>
      <c r="D168" s="375"/>
      <c r="E168" s="375"/>
      <c r="F168" s="375"/>
      <c r="G168" s="375"/>
      <c r="H168" s="375"/>
      <c r="I168" s="375"/>
      <c r="J168" s="375"/>
      <c r="K168" s="375"/>
      <c r="L168" s="375"/>
      <c r="M168" s="375"/>
      <c r="N168" s="375"/>
      <c r="O168" s="378">
        <v>-23</v>
      </c>
      <c r="P168" s="378"/>
      <c r="Q168" s="375"/>
      <c r="R168" s="378">
        <v>-35</v>
      </c>
      <c r="S168" s="375"/>
      <c r="T168" s="375"/>
      <c r="U168" s="375"/>
      <c r="V168" s="377">
        <f t="shared" si="10"/>
        <v>-58</v>
      </c>
      <c r="W168" s="597"/>
      <c r="X168" s="588"/>
      <c r="Y168" s="588"/>
      <c r="Z168" s="588"/>
    </row>
    <row r="169" spans="1:26" s="589" customFormat="1" ht="18" customHeight="1">
      <c r="A169" s="726"/>
      <c r="B169" s="375" t="s">
        <v>1017</v>
      </c>
      <c r="C169" s="375"/>
      <c r="D169" s="375"/>
      <c r="E169" s="375"/>
      <c r="F169" s="375"/>
      <c r="G169" s="375"/>
      <c r="H169" s="375"/>
      <c r="I169" s="375"/>
      <c r="J169" s="375"/>
      <c r="K169" s="375"/>
      <c r="L169" s="375"/>
      <c r="M169" s="375"/>
      <c r="N169" s="375"/>
      <c r="O169" s="378">
        <v>-80</v>
      </c>
      <c r="P169" s="378"/>
      <c r="Q169" s="375"/>
      <c r="R169" s="378">
        <v>-26</v>
      </c>
      <c r="S169" s="375"/>
      <c r="T169" s="375"/>
      <c r="U169" s="375"/>
      <c r="V169" s="377">
        <f t="shared" si="10"/>
        <v>-106</v>
      </c>
      <c r="W169" s="597"/>
      <c r="X169" s="588"/>
      <c r="Y169" s="588"/>
      <c r="Z169" s="588"/>
    </row>
    <row r="170" spans="1:26" s="589" customFormat="1" ht="18" customHeight="1">
      <c r="A170" s="726"/>
      <c r="B170" s="375" t="s">
        <v>1018</v>
      </c>
      <c r="C170" s="375"/>
      <c r="D170" s="375"/>
      <c r="E170" s="375"/>
      <c r="F170" s="375"/>
      <c r="G170" s="375"/>
      <c r="H170" s="375"/>
      <c r="I170" s="375"/>
      <c r="J170" s="375"/>
      <c r="K170" s="375"/>
      <c r="L170" s="375">
        <v>17</v>
      </c>
      <c r="M170" s="375"/>
      <c r="N170" s="375"/>
      <c r="O170" s="378">
        <v>-92</v>
      </c>
      <c r="P170" s="378"/>
      <c r="Q170" s="375"/>
      <c r="R170" s="378">
        <v>-130</v>
      </c>
      <c r="S170" s="375"/>
      <c r="T170" s="375"/>
      <c r="U170" s="375"/>
      <c r="V170" s="377">
        <f t="shared" si="10"/>
        <v>-205</v>
      </c>
      <c r="W170" s="597"/>
      <c r="X170" s="588"/>
      <c r="Y170" s="588"/>
      <c r="Z170" s="588"/>
    </row>
    <row r="171" spans="1:26" s="589" customFormat="1" ht="18" customHeight="1">
      <c r="A171" s="726"/>
      <c r="B171" s="375" t="s">
        <v>1019</v>
      </c>
      <c r="C171" s="375"/>
      <c r="D171" s="375"/>
      <c r="E171" s="375"/>
      <c r="F171" s="375"/>
      <c r="G171" s="375"/>
      <c r="H171" s="375"/>
      <c r="I171" s="375"/>
      <c r="J171" s="375"/>
      <c r="K171" s="375"/>
      <c r="L171" s="375"/>
      <c r="M171" s="375"/>
      <c r="N171" s="375"/>
      <c r="O171" s="378">
        <v>-64</v>
      </c>
      <c r="P171" s="378"/>
      <c r="Q171" s="375"/>
      <c r="R171" s="378">
        <v>-31</v>
      </c>
      <c r="S171" s="375"/>
      <c r="T171" s="375"/>
      <c r="U171" s="375"/>
      <c r="V171" s="377">
        <f t="shared" si="10"/>
        <v>-95</v>
      </c>
      <c r="W171" s="597"/>
      <c r="X171" s="588"/>
      <c r="Y171" s="588"/>
      <c r="Z171" s="588"/>
    </row>
    <row r="172" spans="1:26" s="589" customFormat="1" ht="18" customHeight="1">
      <c r="A172" s="726"/>
      <c r="B172" s="375" t="s">
        <v>905</v>
      </c>
      <c r="C172" s="375"/>
      <c r="D172" s="375"/>
      <c r="E172" s="375"/>
      <c r="F172" s="375"/>
      <c r="G172" s="375"/>
      <c r="H172" s="375"/>
      <c r="I172" s="375"/>
      <c r="J172" s="375"/>
      <c r="K172" s="375"/>
      <c r="L172" s="375"/>
      <c r="M172" s="375"/>
      <c r="N172" s="375"/>
      <c r="O172" s="378">
        <v>-28</v>
      </c>
      <c r="P172" s="378"/>
      <c r="Q172" s="375"/>
      <c r="R172" s="378">
        <v>-28</v>
      </c>
      <c r="S172" s="375"/>
      <c r="T172" s="375"/>
      <c r="U172" s="375"/>
      <c r="V172" s="377">
        <f t="shared" si="10"/>
        <v>-56</v>
      </c>
      <c r="W172" s="597"/>
      <c r="X172" s="588"/>
      <c r="Y172" s="588"/>
      <c r="Z172" s="588"/>
    </row>
    <row r="173" spans="1:26" s="589" customFormat="1" ht="18" customHeight="1">
      <c r="A173" s="726"/>
      <c r="B173" s="375" t="s">
        <v>906</v>
      </c>
      <c r="C173" s="375"/>
      <c r="D173" s="375"/>
      <c r="E173" s="375"/>
      <c r="F173" s="375"/>
      <c r="G173" s="375"/>
      <c r="H173" s="375"/>
      <c r="I173" s="375"/>
      <c r="J173" s="375"/>
      <c r="K173" s="375"/>
      <c r="L173" s="375"/>
      <c r="M173" s="375"/>
      <c r="N173" s="375"/>
      <c r="O173" s="378">
        <v>-73</v>
      </c>
      <c r="P173" s="378"/>
      <c r="Q173" s="375"/>
      <c r="R173" s="378">
        <v>-33</v>
      </c>
      <c r="S173" s="375"/>
      <c r="T173" s="375"/>
      <c r="U173" s="375"/>
      <c r="V173" s="377">
        <f t="shared" si="10"/>
        <v>-106</v>
      </c>
      <c r="W173" s="597"/>
      <c r="X173" s="588"/>
      <c r="Y173" s="588"/>
      <c r="Z173" s="588"/>
    </row>
    <row r="174" spans="1:26" s="589" customFormat="1" ht="18" customHeight="1">
      <c r="A174" s="726"/>
      <c r="B174" s="375" t="s">
        <v>1020</v>
      </c>
      <c r="C174" s="375"/>
      <c r="D174" s="375"/>
      <c r="E174" s="375"/>
      <c r="F174" s="375"/>
      <c r="G174" s="375"/>
      <c r="H174" s="375"/>
      <c r="I174" s="375"/>
      <c r="J174" s="375"/>
      <c r="K174" s="375"/>
      <c r="L174" s="375"/>
      <c r="M174" s="375"/>
      <c r="N174" s="375"/>
      <c r="O174" s="378">
        <v>-66</v>
      </c>
      <c r="P174" s="378">
        <v>3000</v>
      </c>
      <c r="Q174" s="375"/>
      <c r="R174" s="378">
        <v>-1545</v>
      </c>
      <c r="S174" s="375">
        <v>207</v>
      </c>
      <c r="T174" s="375"/>
      <c r="U174" s="375">
        <v>-207</v>
      </c>
      <c r="V174" s="377">
        <f t="shared" si="10"/>
        <v>1389</v>
      </c>
      <c r="W174" s="597"/>
      <c r="X174" s="588"/>
      <c r="Y174" s="588"/>
      <c r="Z174" s="588"/>
    </row>
    <row r="175" spans="1:26" s="589" customFormat="1" ht="18" customHeight="1">
      <c r="A175" s="726"/>
      <c r="B175" s="375" t="s">
        <v>907</v>
      </c>
      <c r="C175" s="375"/>
      <c r="D175" s="375"/>
      <c r="E175" s="375"/>
      <c r="F175" s="375"/>
      <c r="G175" s="375"/>
      <c r="H175" s="375"/>
      <c r="I175" s="375"/>
      <c r="J175" s="375"/>
      <c r="K175" s="375"/>
      <c r="L175" s="375"/>
      <c r="M175" s="375"/>
      <c r="N175" s="375"/>
      <c r="O175" s="378">
        <v>-20</v>
      </c>
      <c r="P175" s="378"/>
      <c r="Q175" s="375"/>
      <c r="R175" s="378">
        <v>-229</v>
      </c>
      <c r="S175" s="375"/>
      <c r="T175" s="375"/>
      <c r="U175" s="375"/>
      <c r="V175" s="377">
        <f t="shared" si="10"/>
        <v>-249</v>
      </c>
      <c r="W175" s="597"/>
      <c r="X175" s="588"/>
      <c r="Y175" s="588"/>
      <c r="Z175" s="588"/>
    </row>
    <row r="176" spans="1:26" s="589" customFormat="1" ht="18" customHeight="1">
      <c r="A176" s="726"/>
      <c r="B176" s="375" t="s">
        <v>1021</v>
      </c>
      <c r="C176" s="375"/>
      <c r="D176" s="375"/>
      <c r="E176" s="375"/>
      <c r="F176" s="375"/>
      <c r="G176" s="375"/>
      <c r="H176" s="375"/>
      <c r="I176" s="375"/>
      <c r="J176" s="375"/>
      <c r="K176" s="375"/>
      <c r="L176" s="375"/>
      <c r="M176" s="375"/>
      <c r="N176" s="375"/>
      <c r="O176" s="378">
        <v>-44</v>
      </c>
      <c r="P176" s="378"/>
      <c r="Q176" s="375"/>
      <c r="R176" s="378">
        <v>-64</v>
      </c>
      <c r="S176" s="375"/>
      <c r="T176" s="375"/>
      <c r="U176" s="375"/>
      <c r="V176" s="377">
        <f t="shared" si="10"/>
        <v>-108</v>
      </c>
      <c r="W176" s="597"/>
      <c r="X176" s="588"/>
      <c r="Y176" s="588"/>
      <c r="Z176" s="588"/>
    </row>
    <row r="177" spans="1:26" s="589" customFormat="1" ht="18" customHeight="1">
      <c r="A177" s="726"/>
      <c r="B177" s="375" t="s">
        <v>1022</v>
      </c>
      <c r="C177" s="375"/>
      <c r="D177" s="375"/>
      <c r="E177" s="375"/>
      <c r="F177" s="375"/>
      <c r="G177" s="375"/>
      <c r="H177" s="375"/>
      <c r="I177" s="375"/>
      <c r="J177" s="375"/>
      <c r="K177" s="375"/>
      <c r="L177" s="375"/>
      <c r="M177" s="375"/>
      <c r="N177" s="375"/>
      <c r="O177" s="378">
        <v>-86</v>
      </c>
      <c r="P177" s="378"/>
      <c r="Q177" s="375"/>
      <c r="R177" s="378">
        <f>-166</f>
        <v>-166</v>
      </c>
      <c r="S177" s="375"/>
      <c r="T177" s="375"/>
      <c r="U177" s="375"/>
      <c r="V177" s="377">
        <f t="shared" si="10"/>
        <v>-252</v>
      </c>
      <c r="W177" s="597"/>
      <c r="X177" s="588"/>
      <c r="Y177" s="588"/>
      <c r="Z177" s="588"/>
    </row>
    <row r="178" spans="1:26" s="589" customFormat="1" ht="18" customHeight="1">
      <c r="A178" s="726"/>
      <c r="B178" s="375" t="s">
        <v>908</v>
      </c>
      <c r="C178" s="375"/>
      <c r="D178" s="375"/>
      <c r="E178" s="375"/>
      <c r="F178" s="375"/>
      <c r="G178" s="375"/>
      <c r="H178" s="375"/>
      <c r="I178" s="375"/>
      <c r="J178" s="375"/>
      <c r="K178" s="375"/>
      <c r="L178" s="375"/>
      <c r="M178" s="375"/>
      <c r="N178" s="375"/>
      <c r="O178" s="378">
        <v>-54</v>
      </c>
      <c r="P178" s="378"/>
      <c r="Q178" s="375"/>
      <c r="R178" s="378">
        <f>-31</f>
        <v>-31</v>
      </c>
      <c r="S178" s="375"/>
      <c r="T178" s="375"/>
      <c r="U178" s="375"/>
      <c r="V178" s="377">
        <f t="shared" si="10"/>
        <v>-85</v>
      </c>
      <c r="W178" s="597"/>
      <c r="X178" s="588"/>
      <c r="Y178" s="588"/>
      <c r="Z178" s="588"/>
    </row>
    <row r="179" spans="1:26" s="589" customFormat="1" ht="18" customHeight="1">
      <c r="A179" s="726"/>
      <c r="B179" s="375" t="s">
        <v>909</v>
      </c>
      <c r="C179" s="375"/>
      <c r="D179" s="375"/>
      <c r="E179" s="375"/>
      <c r="F179" s="375"/>
      <c r="G179" s="375"/>
      <c r="H179" s="375"/>
      <c r="I179" s="375"/>
      <c r="J179" s="375"/>
      <c r="K179" s="375"/>
      <c r="L179" s="375"/>
      <c r="M179" s="375"/>
      <c r="N179" s="375"/>
      <c r="O179" s="378">
        <v>-33</v>
      </c>
      <c r="P179" s="378"/>
      <c r="Q179" s="375"/>
      <c r="R179" s="378">
        <f>-72-100</f>
        <v>-172</v>
      </c>
      <c r="S179" s="375"/>
      <c r="T179" s="375"/>
      <c r="U179" s="375"/>
      <c r="V179" s="377">
        <f t="shared" si="10"/>
        <v>-205</v>
      </c>
      <c r="W179" s="597"/>
      <c r="X179" s="588"/>
      <c r="Y179" s="588"/>
      <c r="Z179" s="588"/>
    </row>
    <row r="180" spans="1:26" s="589" customFormat="1" ht="18" customHeight="1">
      <c r="A180" s="726"/>
      <c r="B180" s="375" t="s">
        <v>1023</v>
      </c>
      <c r="C180" s="375"/>
      <c r="D180" s="375"/>
      <c r="E180" s="375"/>
      <c r="F180" s="375"/>
      <c r="G180" s="375"/>
      <c r="H180" s="375"/>
      <c r="I180" s="375"/>
      <c r="J180" s="375"/>
      <c r="K180" s="375"/>
      <c r="L180" s="375"/>
      <c r="M180" s="375"/>
      <c r="N180" s="375"/>
      <c r="O180" s="378">
        <v>-42</v>
      </c>
      <c r="P180" s="378"/>
      <c r="Q180" s="375"/>
      <c r="R180" s="378">
        <f>-30</f>
        <v>-30</v>
      </c>
      <c r="S180" s="375"/>
      <c r="T180" s="375"/>
      <c r="U180" s="375"/>
      <c r="V180" s="377">
        <f t="shared" si="10"/>
        <v>-72</v>
      </c>
      <c r="W180" s="597"/>
      <c r="X180" s="588"/>
      <c r="Y180" s="588"/>
      <c r="Z180" s="588"/>
    </row>
    <row r="181" spans="1:26" s="589" customFormat="1" ht="18" customHeight="1">
      <c r="A181" s="726"/>
      <c r="B181" s="375" t="s">
        <v>1027</v>
      </c>
      <c r="C181" s="375"/>
      <c r="D181" s="375"/>
      <c r="E181" s="375"/>
      <c r="F181" s="375"/>
      <c r="G181" s="375"/>
      <c r="H181" s="375"/>
      <c r="I181" s="375"/>
      <c r="J181" s="375"/>
      <c r="K181" s="375"/>
      <c r="L181" s="375"/>
      <c r="M181" s="375"/>
      <c r="N181" s="375"/>
      <c r="O181" s="378">
        <v>-72</v>
      </c>
      <c r="P181" s="378">
        <v>23</v>
      </c>
      <c r="Q181" s="375"/>
      <c r="R181" s="378">
        <f>-684</f>
        <v>-684</v>
      </c>
      <c r="S181" s="375"/>
      <c r="T181" s="375"/>
      <c r="U181" s="375"/>
      <c r="V181" s="377">
        <f t="shared" si="10"/>
        <v>-733</v>
      </c>
      <c r="W181" s="597"/>
      <c r="X181" s="588"/>
      <c r="Y181" s="588"/>
      <c r="Z181" s="588"/>
    </row>
    <row r="182" spans="1:26" s="589" customFormat="1" ht="18" customHeight="1">
      <c r="A182" s="726"/>
      <c r="B182" s="375" t="s">
        <v>1028</v>
      </c>
      <c r="C182" s="375"/>
      <c r="D182" s="375"/>
      <c r="E182" s="375"/>
      <c r="F182" s="375"/>
      <c r="G182" s="375"/>
      <c r="H182" s="375"/>
      <c r="I182" s="375"/>
      <c r="J182" s="375"/>
      <c r="K182" s="375"/>
      <c r="L182" s="375"/>
      <c r="M182" s="375"/>
      <c r="N182" s="375"/>
      <c r="O182" s="378">
        <v>-62</v>
      </c>
      <c r="P182" s="378"/>
      <c r="Q182" s="375"/>
      <c r="R182" s="378">
        <f>-32</f>
        <v>-32</v>
      </c>
      <c r="S182" s="375"/>
      <c r="T182" s="375"/>
      <c r="U182" s="375"/>
      <c r="V182" s="377">
        <f t="shared" si="10"/>
        <v>-94</v>
      </c>
      <c r="W182" s="597"/>
      <c r="X182" s="588"/>
      <c r="Y182" s="588"/>
      <c r="Z182" s="588"/>
    </row>
    <row r="183" spans="1:26" s="589" customFormat="1" ht="18" customHeight="1">
      <c r="A183" s="726"/>
      <c r="B183" s="375" t="s">
        <v>1066</v>
      </c>
      <c r="C183" s="375"/>
      <c r="D183" s="375"/>
      <c r="E183" s="375"/>
      <c r="F183" s="375"/>
      <c r="G183" s="375"/>
      <c r="H183" s="375"/>
      <c r="I183" s="375">
        <v>-968</v>
      </c>
      <c r="J183" s="375"/>
      <c r="K183" s="375"/>
      <c r="L183" s="375">
        <v>32</v>
      </c>
      <c r="M183" s="375">
        <v>-32</v>
      </c>
      <c r="N183" s="375"/>
      <c r="O183" s="378">
        <v>-119</v>
      </c>
      <c r="P183" s="378">
        <v>1000</v>
      </c>
      <c r="Q183" s="375"/>
      <c r="R183" s="378">
        <f>-44</f>
        <v>-44</v>
      </c>
      <c r="S183" s="375"/>
      <c r="T183" s="375"/>
      <c r="U183" s="375"/>
      <c r="V183" s="377">
        <f t="shared" si="10"/>
        <v>-131</v>
      </c>
      <c r="W183" s="597"/>
      <c r="X183" s="588"/>
      <c r="Y183" s="588"/>
      <c r="Z183" s="588"/>
    </row>
    <row r="184" spans="1:26" s="589" customFormat="1" ht="18" customHeight="1">
      <c r="A184" s="726"/>
      <c r="B184" s="375" t="s">
        <v>1029</v>
      </c>
      <c r="C184" s="375"/>
      <c r="D184" s="375"/>
      <c r="E184" s="375"/>
      <c r="F184" s="375"/>
      <c r="G184" s="375"/>
      <c r="H184" s="375"/>
      <c r="I184" s="375"/>
      <c r="J184" s="375"/>
      <c r="K184" s="375"/>
      <c r="L184" s="375">
        <v>-6</v>
      </c>
      <c r="M184" s="375"/>
      <c r="N184" s="375"/>
      <c r="O184" s="378">
        <v>-121</v>
      </c>
      <c r="P184" s="378"/>
      <c r="Q184" s="375"/>
      <c r="R184" s="378">
        <f>-638</f>
        <v>-638</v>
      </c>
      <c r="S184" s="375"/>
      <c r="T184" s="375"/>
      <c r="U184" s="375"/>
      <c r="V184" s="377">
        <f t="shared" si="10"/>
        <v>-765</v>
      </c>
      <c r="W184" s="597"/>
      <c r="X184" s="588"/>
      <c r="Y184" s="588"/>
      <c r="Z184" s="588"/>
    </row>
    <row r="185" spans="1:26" s="589" customFormat="1" ht="18" customHeight="1">
      <c r="A185" s="726"/>
      <c r="B185" s="375" t="s">
        <v>1030</v>
      </c>
      <c r="C185" s="375"/>
      <c r="D185" s="375"/>
      <c r="E185" s="375"/>
      <c r="F185" s="375"/>
      <c r="G185" s="375"/>
      <c r="H185" s="375"/>
      <c r="I185" s="375"/>
      <c r="J185" s="375"/>
      <c r="K185" s="375"/>
      <c r="L185" s="375"/>
      <c r="M185" s="375"/>
      <c r="N185" s="375"/>
      <c r="O185" s="378">
        <v>-67</v>
      </c>
      <c r="P185" s="378"/>
      <c r="Q185" s="375"/>
      <c r="R185" s="378">
        <f>-20</f>
        <v>-20</v>
      </c>
      <c r="S185" s="375"/>
      <c r="T185" s="375"/>
      <c r="U185" s="375"/>
      <c r="V185" s="377">
        <f t="shared" si="10"/>
        <v>-87</v>
      </c>
      <c r="W185" s="597"/>
      <c r="X185" s="588"/>
      <c r="Y185" s="588"/>
      <c r="Z185" s="588"/>
    </row>
    <row r="186" spans="1:26" s="589" customFormat="1" ht="18" customHeight="1">
      <c r="A186" s="726"/>
      <c r="B186" s="375" t="s">
        <v>910</v>
      </c>
      <c r="C186" s="375"/>
      <c r="D186" s="375"/>
      <c r="E186" s="375"/>
      <c r="F186" s="375"/>
      <c r="G186" s="375"/>
      <c r="H186" s="375"/>
      <c r="I186" s="375"/>
      <c r="J186" s="375"/>
      <c r="K186" s="375"/>
      <c r="L186" s="375"/>
      <c r="M186" s="375"/>
      <c r="N186" s="375"/>
      <c r="O186" s="378">
        <v>-95</v>
      </c>
      <c r="P186" s="378"/>
      <c r="Q186" s="375"/>
      <c r="R186" s="378">
        <f>-26</f>
        <v>-26</v>
      </c>
      <c r="S186" s="375"/>
      <c r="T186" s="375"/>
      <c r="U186" s="375"/>
      <c r="V186" s="377">
        <f t="shared" si="10"/>
        <v>-121</v>
      </c>
      <c r="W186" s="597"/>
      <c r="X186" s="588"/>
      <c r="Y186" s="588"/>
      <c r="Z186" s="588"/>
    </row>
    <row r="187" spans="1:26" s="589" customFormat="1" ht="18" customHeight="1">
      <c r="A187" s="726"/>
      <c r="B187" s="375" t="s">
        <v>911</v>
      </c>
      <c r="C187" s="375"/>
      <c r="D187" s="375"/>
      <c r="E187" s="375"/>
      <c r="F187" s="375"/>
      <c r="G187" s="375"/>
      <c r="H187" s="375"/>
      <c r="I187" s="375"/>
      <c r="J187" s="375"/>
      <c r="K187" s="375"/>
      <c r="L187" s="375"/>
      <c r="M187" s="375"/>
      <c r="N187" s="375"/>
      <c r="O187" s="378">
        <v>-95</v>
      </c>
      <c r="P187" s="378"/>
      <c r="Q187" s="375"/>
      <c r="R187" s="378">
        <f>-64</f>
        <v>-64</v>
      </c>
      <c r="S187" s="375"/>
      <c r="T187" s="375"/>
      <c r="U187" s="375"/>
      <c r="V187" s="377">
        <f t="shared" si="10"/>
        <v>-159</v>
      </c>
      <c r="W187" s="597"/>
      <c r="X187" s="588"/>
      <c r="Y187" s="588"/>
      <c r="Z187" s="588"/>
    </row>
    <row r="188" spans="1:26" s="589" customFormat="1" ht="18" customHeight="1">
      <c r="A188" s="726"/>
      <c r="B188" s="375" t="s">
        <v>1031</v>
      </c>
      <c r="C188" s="375"/>
      <c r="D188" s="375"/>
      <c r="E188" s="375"/>
      <c r="F188" s="375"/>
      <c r="G188" s="375"/>
      <c r="H188" s="375"/>
      <c r="I188" s="375">
        <v>-607</v>
      </c>
      <c r="J188" s="375">
        <v>-500</v>
      </c>
      <c r="K188" s="375"/>
      <c r="L188" s="375"/>
      <c r="M188" s="375"/>
      <c r="N188" s="375">
        <v>-500</v>
      </c>
      <c r="O188" s="378">
        <v>-73</v>
      </c>
      <c r="P188" s="378">
        <v>1000</v>
      </c>
      <c r="Q188" s="375"/>
      <c r="R188" s="378">
        <f>-82</f>
        <v>-82</v>
      </c>
      <c r="S188" s="375">
        <v>107</v>
      </c>
      <c r="T188" s="375"/>
      <c r="U188" s="375"/>
      <c r="V188" s="377">
        <f t="shared" si="10"/>
        <v>-155</v>
      </c>
      <c r="W188" s="597"/>
      <c r="X188" s="588"/>
      <c r="Y188" s="588"/>
      <c r="Z188" s="588"/>
    </row>
    <row r="189" spans="1:26" s="589" customFormat="1" ht="18" customHeight="1">
      <c r="A189" s="726"/>
      <c r="B189" s="375" t="s">
        <v>1032</v>
      </c>
      <c r="C189" s="375"/>
      <c r="D189" s="375"/>
      <c r="E189" s="375"/>
      <c r="F189" s="375"/>
      <c r="G189" s="375"/>
      <c r="H189" s="375"/>
      <c r="I189" s="375"/>
      <c r="J189" s="375"/>
      <c r="K189" s="375"/>
      <c r="L189" s="375">
        <v>28</v>
      </c>
      <c r="M189" s="375"/>
      <c r="N189" s="375"/>
      <c r="O189" s="378">
        <v>-95</v>
      </c>
      <c r="P189" s="378">
        <v>500</v>
      </c>
      <c r="Q189" s="375"/>
      <c r="R189" s="378">
        <f>-30</f>
        <v>-30</v>
      </c>
      <c r="S189" s="375"/>
      <c r="T189" s="375"/>
      <c r="U189" s="375"/>
      <c r="V189" s="377">
        <f t="shared" si="10"/>
        <v>403</v>
      </c>
      <c r="W189" s="597"/>
      <c r="X189" s="588"/>
      <c r="Y189" s="588"/>
      <c r="Z189" s="588"/>
    </row>
    <row r="190" spans="1:26" s="589" customFormat="1" ht="18" customHeight="1">
      <c r="A190" s="726"/>
      <c r="B190" s="375" t="s">
        <v>912</v>
      </c>
      <c r="C190" s="375"/>
      <c r="D190" s="375"/>
      <c r="E190" s="375"/>
      <c r="F190" s="375"/>
      <c r="G190" s="375"/>
      <c r="H190" s="375"/>
      <c r="I190" s="375"/>
      <c r="J190" s="375"/>
      <c r="K190" s="375"/>
      <c r="L190" s="375"/>
      <c r="M190" s="375"/>
      <c r="N190" s="375"/>
      <c r="O190" s="378">
        <v>-127</v>
      </c>
      <c r="P190" s="378"/>
      <c r="Q190" s="375"/>
      <c r="R190" s="378">
        <f>-56</f>
        <v>-56</v>
      </c>
      <c r="S190" s="375"/>
      <c r="T190" s="375"/>
      <c r="U190" s="375"/>
      <c r="V190" s="377">
        <f t="shared" si="10"/>
        <v>-183</v>
      </c>
      <c r="W190" s="597"/>
      <c r="X190" s="588"/>
      <c r="Y190" s="588"/>
      <c r="Z190" s="588"/>
    </row>
    <row r="191" spans="1:26" s="589" customFormat="1" ht="18" customHeight="1">
      <c r="A191" s="726"/>
      <c r="B191" s="375" t="s">
        <v>1033</v>
      </c>
      <c r="C191" s="375"/>
      <c r="D191" s="375"/>
      <c r="E191" s="375"/>
      <c r="F191" s="375"/>
      <c r="G191" s="375"/>
      <c r="H191" s="375"/>
      <c r="I191" s="375"/>
      <c r="J191" s="375"/>
      <c r="K191" s="375"/>
      <c r="L191" s="375"/>
      <c r="M191" s="375"/>
      <c r="N191" s="375"/>
      <c r="O191" s="378">
        <v>-68</v>
      </c>
      <c r="P191" s="378"/>
      <c r="Q191" s="375"/>
      <c r="R191" s="378">
        <f>-30</f>
        <v>-30</v>
      </c>
      <c r="S191" s="375"/>
      <c r="T191" s="375"/>
      <c r="U191" s="375"/>
      <c r="V191" s="377">
        <f t="shared" si="10"/>
        <v>-98</v>
      </c>
      <c r="W191" s="597"/>
      <c r="X191" s="588"/>
      <c r="Y191" s="588"/>
      <c r="Z191" s="588"/>
    </row>
    <row r="192" spans="1:26" s="589" customFormat="1" ht="18" customHeight="1">
      <c r="A192" s="726"/>
      <c r="B192" s="375" t="s">
        <v>1034</v>
      </c>
      <c r="C192" s="375"/>
      <c r="D192" s="375"/>
      <c r="E192" s="375"/>
      <c r="F192" s="375"/>
      <c r="G192" s="375"/>
      <c r="H192" s="375"/>
      <c r="I192" s="375"/>
      <c r="J192" s="375"/>
      <c r="K192" s="375"/>
      <c r="L192" s="375"/>
      <c r="M192" s="375"/>
      <c r="N192" s="375"/>
      <c r="O192" s="378">
        <v>-71</v>
      </c>
      <c r="P192" s="378"/>
      <c r="Q192" s="375"/>
      <c r="R192" s="378">
        <f>-25</f>
        <v>-25</v>
      </c>
      <c r="S192" s="375"/>
      <c r="T192" s="375"/>
      <c r="U192" s="375"/>
      <c r="V192" s="377">
        <f t="shared" si="10"/>
        <v>-96</v>
      </c>
      <c r="W192" s="597"/>
      <c r="X192" s="588"/>
      <c r="Y192" s="588"/>
      <c r="Z192" s="588"/>
    </row>
    <row r="193" spans="1:26" s="589" customFormat="1" ht="18" customHeight="1">
      <c r="A193" s="726"/>
      <c r="B193" s="375" t="s">
        <v>913</v>
      </c>
      <c r="C193" s="375"/>
      <c r="D193" s="375"/>
      <c r="E193" s="375"/>
      <c r="F193" s="375"/>
      <c r="G193" s="375"/>
      <c r="H193" s="375"/>
      <c r="I193" s="375"/>
      <c r="J193" s="375"/>
      <c r="K193" s="375"/>
      <c r="L193" s="375"/>
      <c r="M193" s="375"/>
      <c r="N193" s="375"/>
      <c r="O193" s="378">
        <v>-70</v>
      </c>
      <c r="P193" s="378"/>
      <c r="Q193" s="375"/>
      <c r="R193" s="378">
        <f>-61</f>
        <v>-61</v>
      </c>
      <c r="S193" s="375"/>
      <c r="T193" s="375"/>
      <c r="U193" s="375"/>
      <c r="V193" s="377">
        <f t="shared" si="10"/>
        <v>-131</v>
      </c>
      <c r="W193" s="597"/>
      <c r="X193" s="588"/>
      <c r="Y193" s="588"/>
      <c r="Z193" s="588"/>
    </row>
    <row r="194" spans="1:26" s="589" customFormat="1" ht="18" customHeight="1">
      <c r="A194" s="726"/>
      <c r="B194" s="375" t="s">
        <v>914</v>
      </c>
      <c r="C194" s="375"/>
      <c r="D194" s="375"/>
      <c r="E194" s="375"/>
      <c r="F194" s="375"/>
      <c r="G194" s="375"/>
      <c r="H194" s="375"/>
      <c r="I194" s="375"/>
      <c r="J194" s="375"/>
      <c r="K194" s="375"/>
      <c r="L194" s="375"/>
      <c r="M194" s="375"/>
      <c r="N194" s="375"/>
      <c r="O194" s="378">
        <v>-70</v>
      </c>
      <c r="P194" s="378"/>
      <c r="Q194" s="375"/>
      <c r="R194" s="378">
        <f>-229-200</f>
        <v>-429</v>
      </c>
      <c r="S194" s="375"/>
      <c r="T194" s="375"/>
      <c r="U194" s="375"/>
      <c r="V194" s="377">
        <f t="shared" si="10"/>
        <v>-499</v>
      </c>
      <c r="W194" s="597"/>
      <c r="X194" s="588"/>
      <c r="Y194" s="588"/>
      <c r="Z194" s="588"/>
    </row>
    <row r="195" spans="1:26" s="589" customFormat="1" ht="18" customHeight="1">
      <c r="A195" s="726"/>
      <c r="B195" s="375" t="s">
        <v>1035</v>
      </c>
      <c r="C195" s="375"/>
      <c r="D195" s="375"/>
      <c r="E195" s="375"/>
      <c r="F195" s="375"/>
      <c r="G195" s="375"/>
      <c r="H195" s="375"/>
      <c r="I195" s="375"/>
      <c r="J195" s="375"/>
      <c r="K195" s="375"/>
      <c r="L195" s="375"/>
      <c r="M195" s="375"/>
      <c r="N195" s="375"/>
      <c r="O195" s="378">
        <v>-83</v>
      </c>
      <c r="P195" s="378"/>
      <c r="Q195" s="375"/>
      <c r="R195" s="378">
        <f>-42</f>
        <v>-42</v>
      </c>
      <c r="S195" s="375"/>
      <c r="T195" s="375"/>
      <c r="U195" s="375"/>
      <c r="V195" s="377">
        <f t="shared" si="10"/>
        <v>-125</v>
      </c>
      <c r="W195" s="597"/>
      <c r="X195" s="588"/>
      <c r="Y195" s="588"/>
      <c r="Z195" s="588"/>
    </row>
    <row r="196" spans="1:26" s="589" customFormat="1" ht="18" customHeight="1">
      <c r="A196" s="726"/>
      <c r="B196" s="375" t="s">
        <v>1043</v>
      </c>
      <c r="C196" s="375"/>
      <c r="D196" s="375"/>
      <c r="E196" s="375"/>
      <c r="F196" s="375"/>
      <c r="G196" s="375"/>
      <c r="H196" s="375"/>
      <c r="I196" s="375"/>
      <c r="J196" s="375"/>
      <c r="K196" s="375"/>
      <c r="L196" s="375"/>
      <c r="M196" s="375"/>
      <c r="N196" s="375"/>
      <c r="O196" s="378">
        <v>-90</v>
      </c>
      <c r="P196" s="378"/>
      <c r="Q196" s="375"/>
      <c r="R196" s="378">
        <f>-33</f>
        <v>-33</v>
      </c>
      <c r="S196" s="375"/>
      <c r="T196" s="375"/>
      <c r="U196" s="375"/>
      <c r="V196" s="377">
        <f t="shared" si="10"/>
        <v>-123</v>
      </c>
      <c r="W196" s="597"/>
      <c r="X196" s="588"/>
      <c r="Y196" s="588"/>
      <c r="Z196" s="588"/>
    </row>
    <row r="197" spans="1:26" s="589" customFormat="1" ht="18" customHeight="1">
      <c r="A197" s="726"/>
      <c r="B197" s="375" t="s">
        <v>1044</v>
      </c>
      <c r="C197" s="375"/>
      <c r="D197" s="375"/>
      <c r="E197" s="375"/>
      <c r="F197" s="375"/>
      <c r="G197" s="375"/>
      <c r="H197" s="375"/>
      <c r="I197" s="375"/>
      <c r="J197" s="375"/>
      <c r="K197" s="375"/>
      <c r="L197" s="375"/>
      <c r="M197" s="375"/>
      <c r="N197" s="375"/>
      <c r="O197" s="378">
        <v>-87</v>
      </c>
      <c r="P197" s="378"/>
      <c r="Q197" s="375"/>
      <c r="R197" s="378">
        <f>-243-200</f>
        <v>-443</v>
      </c>
      <c r="S197" s="375"/>
      <c r="T197" s="375"/>
      <c r="U197" s="375"/>
      <c r="V197" s="377">
        <f t="shared" si="10"/>
        <v>-530</v>
      </c>
      <c r="W197" s="597"/>
      <c r="X197" s="588"/>
      <c r="Y197" s="588"/>
      <c r="Z197" s="588"/>
    </row>
    <row r="198" spans="1:26" s="589" customFormat="1" ht="18" customHeight="1">
      <c r="A198" s="726"/>
      <c r="B198" s="375" t="s">
        <v>1047</v>
      </c>
      <c r="C198" s="375"/>
      <c r="D198" s="375"/>
      <c r="E198" s="375"/>
      <c r="F198" s="375"/>
      <c r="G198" s="375"/>
      <c r="H198" s="375"/>
      <c r="I198" s="375"/>
      <c r="J198" s="375"/>
      <c r="K198" s="375"/>
      <c r="L198" s="375">
        <v>-70</v>
      </c>
      <c r="M198" s="375"/>
      <c r="N198" s="375"/>
      <c r="O198" s="378">
        <v>-93</v>
      </c>
      <c r="P198" s="378"/>
      <c r="Q198" s="375"/>
      <c r="R198" s="378">
        <f>-42</f>
        <v>-42</v>
      </c>
      <c r="S198" s="375"/>
      <c r="T198" s="375"/>
      <c r="U198" s="375"/>
      <c r="V198" s="377">
        <f t="shared" si="10"/>
        <v>-205</v>
      </c>
      <c r="W198" s="597"/>
      <c r="X198" s="588"/>
      <c r="Y198" s="588"/>
      <c r="Z198" s="588"/>
    </row>
    <row r="199" spans="1:26" s="589" customFormat="1" ht="18" customHeight="1">
      <c r="A199" s="726"/>
      <c r="B199" s="375" t="s">
        <v>915</v>
      </c>
      <c r="C199" s="375"/>
      <c r="D199" s="375"/>
      <c r="E199" s="375"/>
      <c r="F199" s="375"/>
      <c r="G199" s="375"/>
      <c r="H199" s="375"/>
      <c r="I199" s="375"/>
      <c r="J199" s="375"/>
      <c r="K199" s="375"/>
      <c r="L199" s="375"/>
      <c r="M199" s="375"/>
      <c r="N199" s="375"/>
      <c r="O199" s="378">
        <v>-34</v>
      </c>
      <c r="P199" s="378"/>
      <c r="Q199" s="375"/>
      <c r="R199" s="378">
        <f>-274</f>
        <v>-274</v>
      </c>
      <c r="S199" s="375"/>
      <c r="T199" s="375"/>
      <c r="U199" s="375"/>
      <c r="V199" s="377">
        <f t="shared" si="10"/>
        <v>-308</v>
      </c>
      <c r="W199" s="597"/>
      <c r="X199" s="588"/>
      <c r="Y199" s="588"/>
      <c r="Z199" s="588"/>
    </row>
    <row r="200" spans="1:26" s="589" customFormat="1" ht="18" customHeight="1">
      <c r="A200" s="726"/>
      <c r="B200" s="375" t="s">
        <v>1045</v>
      </c>
      <c r="C200" s="375"/>
      <c r="D200" s="375"/>
      <c r="E200" s="375"/>
      <c r="F200" s="375"/>
      <c r="G200" s="375"/>
      <c r="H200" s="375"/>
      <c r="I200" s="375"/>
      <c r="J200" s="375"/>
      <c r="K200" s="375"/>
      <c r="L200" s="375"/>
      <c r="M200" s="375"/>
      <c r="N200" s="375"/>
      <c r="O200" s="378">
        <v>-92</v>
      </c>
      <c r="P200" s="378">
        <v>1937</v>
      </c>
      <c r="Q200" s="375"/>
      <c r="R200" s="378">
        <f>-1999</f>
        <v>-1999</v>
      </c>
      <c r="S200" s="375"/>
      <c r="T200" s="375"/>
      <c r="U200" s="375"/>
      <c r="V200" s="377">
        <f t="shared" si="10"/>
        <v>-154</v>
      </c>
      <c r="W200" s="597"/>
      <c r="X200" s="588"/>
      <c r="Y200" s="588"/>
      <c r="Z200" s="588"/>
    </row>
    <row r="201" spans="1:26" s="589" customFormat="1" ht="18" customHeight="1">
      <c r="A201" s="726"/>
      <c r="B201" s="375" t="s">
        <v>1046</v>
      </c>
      <c r="C201" s="375"/>
      <c r="D201" s="375"/>
      <c r="E201" s="375"/>
      <c r="F201" s="375"/>
      <c r="G201" s="375"/>
      <c r="H201" s="375"/>
      <c r="I201" s="375"/>
      <c r="J201" s="375"/>
      <c r="K201" s="375"/>
      <c r="L201" s="375"/>
      <c r="M201" s="375"/>
      <c r="N201" s="375"/>
      <c r="O201" s="378">
        <v>-93</v>
      </c>
      <c r="P201" s="378"/>
      <c r="Q201" s="375"/>
      <c r="R201" s="378">
        <f>-240-200</f>
        <v>-440</v>
      </c>
      <c r="S201" s="375"/>
      <c r="T201" s="375"/>
      <c r="U201" s="375"/>
      <c r="V201" s="377">
        <f t="shared" si="10"/>
        <v>-533</v>
      </c>
      <c r="W201" s="597"/>
      <c r="X201" s="588"/>
      <c r="Y201" s="588"/>
      <c r="Z201" s="588"/>
    </row>
    <row r="202" spans="1:26" s="589" customFormat="1" ht="18" customHeight="1">
      <c r="A202" s="726"/>
      <c r="B202" s="375" t="s">
        <v>903</v>
      </c>
      <c r="C202" s="375"/>
      <c r="D202" s="375"/>
      <c r="E202" s="375"/>
      <c r="F202" s="375"/>
      <c r="G202" s="375"/>
      <c r="H202" s="375"/>
      <c r="I202" s="375"/>
      <c r="J202" s="375"/>
      <c r="K202" s="375"/>
      <c r="L202" s="375"/>
      <c r="M202" s="375"/>
      <c r="N202" s="375"/>
      <c r="O202" s="378">
        <v>-48</v>
      </c>
      <c r="P202" s="378">
        <v>-1730</v>
      </c>
      <c r="Q202" s="375"/>
      <c r="R202" s="378">
        <f>-35+1730</f>
        <v>1695</v>
      </c>
      <c r="S202" s="375"/>
      <c r="T202" s="375"/>
      <c r="U202" s="375"/>
      <c r="V202" s="377">
        <f t="shared" si="10"/>
        <v>-83</v>
      </c>
      <c r="W202" s="597"/>
      <c r="X202" s="588"/>
      <c r="Y202" s="588"/>
      <c r="Z202" s="588"/>
    </row>
    <row r="203" spans="1:26" s="589" customFormat="1" ht="18" customHeight="1">
      <c r="A203" s="726"/>
      <c r="B203" s="375" t="s">
        <v>1048</v>
      </c>
      <c r="C203" s="375"/>
      <c r="D203" s="375"/>
      <c r="E203" s="375"/>
      <c r="F203" s="375"/>
      <c r="G203" s="375"/>
      <c r="H203" s="375"/>
      <c r="I203" s="375"/>
      <c r="J203" s="375"/>
      <c r="K203" s="375"/>
      <c r="L203" s="375"/>
      <c r="M203" s="375"/>
      <c r="N203" s="375"/>
      <c r="O203" s="378">
        <v>-92</v>
      </c>
      <c r="P203" s="378"/>
      <c r="Q203" s="375"/>
      <c r="R203" s="378">
        <f>-41</f>
        <v>-41</v>
      </c>
      <c r="S203" s="375"/>
      <c r="T203" s="375"/>
      <c r="U203" s="375"/>
      <c r="V203" s="377">
        <f t="shared" si="10"/>
        <v>-133</v>
      </c>
      <c r="W203" s="597"/>
      <c r="X203" s="588"/>
      <c r="Y203" s="588"/>
      <c r="Z203" s="588"/>
    </row>
    <row r="204" spans="1:26" s="589" customFormat="1" ht="18" customHeight="1">
      <c r="A204" s="726"/>
      <c r="B204" s="375" t="s">
        <v>1049</v>
      </c>
      <c r="C204" s="375"/>
      <c r="D204" s="375"/>
      <c r="E204" s="375"/>
      <c r="F204" s="375"/>
      <c r="G204" s="375"/>
      <c r="H204" s="375"/>
      <c r="I204" s="375"/>
      <c r="J204" s="375"/>
      <c r="K204" s="375"/>
      <c r="L204" s="375">
        <v>-32</v>
      </c>
      <c r="M204" s="375"/>
      <c r="N204" s="375"/>
      <c r="O204" s="378">
        <v>-103</v>
      </c>
      <c r="P204" s="378">
        <v>10000</v>
      </c>
      <c r="Q204" s="375"/>
      <c r="R204" s="378">
        <f>-49</f>
        <v>-49</v>
      </c>
      <c r="S204" s="375"/>
      <c r="T204" s="375"/>
      <c r="U204" s="375"/>
      <c r="V204" s="377">
        <f t="shared" si="10"/>
        <v>9816</v>
      </c>
      <c r="W204" s="597"/>
      <c r="X204" s="588"/>
      <c r="Y204" s="588"/>
      <c r="Z204" s="588"/>
    </row>
    <row r="205" spans="1:26" s="589" customFormat="1" ht="18" customHeight="1">
      <c r="A205" s="726"/>
      <c r="B205" s="375" t="s">
        <v>1050</v>
      </c>
      <c r="C205" s="375"/>
      <c r="D205" s="375"/>
      <c r="E205" s="375"/>
      <c r="F205" s="375"/>
      <c r="G205" s="375"/>
      <c r="H205" s="375"/>
      <c r="I205" s="375"/>
      <c r="J205" s="375"/>
      <c r="K205" s="375"/>
      <c r="L205" s="375">
        <v>67</v>
      </c>
      <c r="M205" s="375"/>
      <c r="N205" s="375"/>
      <c r="O205" s="378">
        <v>-105</v>
      </c>
      <c r="P205" s="378"/>
      <c r="Q205" s="375"/>
      <c r="R205" s="378">
        <f>-36</f>
        <v>-36</v>
      </c>
      <c r="S205" s="375"/>
      <c r="T205" s="375"/>
      <c r="U205" s="375"/>
      <c r="V205" s="377">
        <f t="shared" si="10"/>
        <v>-74</v>
      </c>
      <c r="W205" s="597"/>
      <c r="X205" s="588"/>
      <c r="Y205" s="588"/>
      <c r="Z205" s="588"/>
    </row>
    <row r="206" spans="1:26" s="589" customFormat="1" ht="18" customHeight="1">
      <c r="A206" s="726"/>
      <c r="B206" s="375" t="s">
        <v>1051</v>
      </c>
      <c r="C206" s="375"/>
      <c r="D206" s="375"/>
      <c r="E206" s="375"/>
      <c r="F206" s="375"/>
      <c r="G206" s="375"/>
      <c r="H206" s="375"/>
      <c r="I206" s="375"/>
      <c r="J206" s="375"/>
      <c r="K206" s="375"/>
      <c r="L206" s="375">
        <v>26</v>
      </c>
      <c r="M206" s="375"/>
      <c r="N206" s="375"/>
      <c r="O206" s="378">
        <v>-88</v>
      </c>
      <c r="P206" s="378"/>
      <c r="Q206" s="375"/>
      <c r="R206" s="378">
        <f>-37</f>
        <v>-37</v>
      </c>
      <c r="S206" s="375"/>
      <c r="T206" s="375"/>
      <c r="U206" s="375"/>
      <c r="V206" s="377">
        <f t="shared" si="10"/>
        <v>-99</v>
      </c>
      <c r="W206" s="597"/>
      <c r="X206" s="588"/>
      <c r="Y206" s="588"/>
      <c r="Z206" s="588"/>
    </row>
    <row r="207" spans="1:26" s="589" customFormat="1" ht="18" customHeight="1">
      <c r="A207" s="726"/>
      <c r="B207" s="375" t="s">
        <v>1052</v>
      </c>
      <c r="C207" s="375"/>
      <c r="D207" s="375"/>
      <c r="E207" s="375"/>
      <c r="F207" s="375"/>
      <c r="G207" s="375"/>
      <c r="H207" s="375"/>
      <c r="I207" s="375"/>
      <c r="J207" s="375"/>
      <c r="K207" s="375"/>
      <c r="L207" s="375"/>
      <c r="M207" s="375"/>
      <c r="N207" s="375"/>
      <c r="O207" s="378">
        <v>-86</v>
      </c>
      <c r="P207" s="378"/>
      <c r="Q207" s="375"/>
      <c r="R207" s="378">
        <f>-44</f>
        <v>-44</v>
      </c>
      <c r="S207" s="375"/>
      <c r="T207" s="375"/>
      <c r="U207" s="375"/>
      <c r="V207" s="377">
        <f t="shared" si="10"/>
        <v>-130</v>
      </c>
      <c r="W207" s="597"/>
      <c r="X207" s="588"/>
      <c r="Y207" s="588"/>
      <c r="Z207" s="588"/>
    </row>
    <row r="208" spans="1:26" s="589" customFormat="1" ht="18" customHeight="1">
      <c r="A208" s="726"/>
      <c r="B208" s="375" t="s">
        <v>1053</v>
      </c>
      <c r="C208" s="375"/>
      <c r="D208" s="375"/>
      <c r="E208" s="375"/>
      <c r="F208" s="375"/>
      <c r="G208" s="375"/>
      <c r="H208" s="375"/>
      <c r="I208" s="375"/>
      <c r="J208" s="375"/>
      <c r="K208" s="375"/>
      <c r="L208" s="375"/>
      <c r="M208" s="375">
        <v>500</v>
      </c>
      <c r="N208" s="375"/>
      <c r="O208" s="378">
        <v>-194</v>
      </c>
      <c r="P208" s="378"/>
      <c r="Q208" s="375"/>
      <c r="R208" s="378">
        <f>-51</f>
        <v>-51</v>
      </c>
      <c r="S208" s="375"/>
      <c r="T208" s="375"/>
      <c r="U208" s="375"/>
      <c r="V208" s="377">
        <f t="shared" si="10"/>
        <v>255</v>
      </c>
      <c r="W208" s="597"/>
      <c r="X208" s="588"/>
      <c r="Y208" s="588"/>
      <c r="Z208" s="588"/>
    </row>
    <row r="209" spans="1:26" s="589" customFormat="1" ht="18" customHeight="1">
      <c r="A209" s="726"/>
      <c r="B209" s="375" t="s">
        <v>916</v>
      </c>
      <c r="C209" s="375"/>
      <c r="D209" s="375"/>
      <c r="E209" s="375"/>
      <c r="F209" s="375"/>
      <c r="G209" s="375"/>
      <c r="H209" s="375"/>
      <c r="I209" s="375"/>
      <c r="J209" s="375"/>
      <c r="K209" s="375"/>
      <c r="L209" s="375"/>
      <c r="M209" s="375"/>
      <c r="N209" s="375"/>
      <c r="O209" s="378">
        <v>-1444</v>
      </c>
      <c r="P209" s="378"/>
      <c r="Q209" s="375"/>
      <c r="R209" s="378">
        <f>-212</f>
        <v>-212</v>
      </c>
      <c r="S209" s="375"/>
      <c r="T209" s="375"/>
      <c r="U209" s="375"/>
      <c r="V209" s="377">
        <f t="shared" si="10"/>
        <v>-1656</v>
      </c>
      <c r="W209" s="597"/>
      <c r="X209" s="588"/>
      <c r="Y209" s="588"/>
      <c r="Z209" s="588"/>
    </row>
    <row r="210" spans="1:26" s="589" customFormat="1" ht="18" customHeight="1">
      <c r="A210" s="726"/>
      <c r="B210" s="375" t="s">
        <v>1054</v>
      </c>
      <c r="C210" s="375"/>
      <c r="D210" s="375"/>
      <c r="E210" s="375"/>
      <c r="F210" s="375"/>
      <c r="G210" s="375"/>
      <c r="H210" s="375"/>
      <c r="I210" s="375"/>
      <c r="J210" s="375"/>
      <c r="K210" s="375"/>
      <c r="L210" s="375"/>
      <c r="M210" s="375"/>
      <c r="N210" s="375"/>
      <c r="O210" s="378">
        <v>-66</v>
      </c>
      <c r="P210" s="378"/>
      <c r="Q210" s="375"/>
      <c r="R210" s="378">
        <f>-158</f>
        <v>-158</v>
      </c>
      <c r="S210" s="375"/>
      <c r="T210" s="375"/>
      <c r="U210" s="375"/>
      <c r="V210" s="377">
        <f t="shared" si="10"/>
        <v>-224</v>
      </c>
      <c r="W210" s="597"/>
      <c r="X210" s="588"/>
      <c r="Y210" s="588"/>
      <c r="Z210" s="588"/>
    </row>
    <row r="211" spans="1:26" s="589" customFormat="1" ht="18" customHeight="1">
      <c r="A211" s="726"/>
      <c r="B211" s="375" t="s">
        <v>1055</v>
      </c>
      <c r="C211" s="375"/>
      <c r="D211" s="375"/>
      <c r="E211" s="375"/>
      <c r="F211" s="375"/>
      <c r="G211" s="375"/>
      <c r="H211" s="375"/>
      <c r="I211" s="375"/>
      <c r="J211" s="375"/>
      <c r="K211" s="375"/>
      <c r="L211" s="375"/>
      <c r="M211" s="375"/>
      <c r="N211" s="375"/>
      <c r="O211" s="378">
        <v>-102</v>
      </c>
      <c r="P211" s="378"/>
      <c r="Q211" s="375"/>
      <c r="R211" s="378">
        <f>-53</f>
        <v>-53</v>
      </c>
      <c r="S211" s="375"/>
      <c r="T211" s="375"/>
      <c r="U211" s="375"/>
      <c r="V211" s="377">
        <f t="shared" si="10"/>
        <v>-155</v>
      </c>
      <c r="W211" s="597"/>
      <c r="X211" s="588"/>
      <c r="Y211" s="588"/>
      <c r="Z211" s="588"/>
    </row>
    <row r="212" spans="1:26" s="589" customFormat="1" ht="18" customHeight="1">
      <c r="A212" s="726"/>
      <c r="B212" s="375" t="s">
        <v>1056</v>
      </c>
      <c r="C212" s="375"/>
      <c r="D212" s="375"/>
      <c r="E212" s="375"/>
      <c r="F212" s="375"/>
      <c r="G212" s="375"/>
      <c r="H212" s="375"/>
      <c r="I212" s="375"/>
      <c r="J212" s="375"/>
      <c r="K212" s="375"/>
      <c r="L212" s="375"/>
      <c r="M212" s="375"/>
      <c r="N212" s="375"/>
      <c r="O212" s="378">
        <v>-1532</v>
      </c>
      <c r="P212" s="378"/>
      <c r="Q212" s="375"/>
      <c r="R212" s="378">
        <f>-59</f>
        <v>-59</v>
      </c>
      <c r="S212" s="375"/>
      <c r="T212" s="375"/>
      <c r="U212" s="375"/>
      <c r="V212" s="377">
        <f t="shared" si="10"/>
        <v>-1591</v>
      </c>
      <c r="W212" s="597"/>
      <c r="X212" s="588"/>
      <c r="Y212" s="588"/>
      <c r="Z212" s="588"/>
    </row>
    <row r="213" spans="1:26" s="589" customFormat="1" ht="18" customHeight="1">
      <c r="A213" s="726"/>
      <c r="B213" s="375" t="s">
        <v>629</v>
      </c>
      <c r="C213" s="375"/>
      <c r="D213" s="375"/>
      <c r="E213" s="375"/>
      <c r="F213" s="375"/>
      <c r="G213" s="375"/>
      <c r="H213" s="375"/>
      <c r="I213" s="375"/>
      <c r="J213" s="375"/>
      <c r="K213" s="375"/>
      <c r="L213" s="375"/>
      <c r="M213" s="375"/>
      <c r="N213" s="375"/>
      <c r="O213" s="378">
        <v>-97</v>
      </c>
      <c r="P213" s="378"/>
      <c r="Q213" s="375"/>
      <c r="R213" s="378">
        <f>-39</f>
        <v>-39</v>
      </c>
      <c r="S213" s="375"/>
      <c r="T213" s="375"/>
      <c r="U213" s="375"/>
      <c r="V213" s="377">
        <f t="shared" si="10"/>
        <v>-136</v>
      </c>
      <c r="W213" s="597"/>
      <c r="X213" s="588"/>
      <c r="Y213" s="588"/>
      <c r="Z213" s="588"/>
    </row>
    <row r="214" spans="1:26" s="589" customFormat="1" ht="18" customHeight="1">
      <c r="A214" s="726"/>
      <c r="B214" s="375" t="s">
        <v>1057</v>
      </c>
      <c r="C214" s="375"/>
      <c r="D214" s="375"/>
      <c r="E214" s="375"/>
      <c r="F214" s="375"/>
      <c r="G214" s="375"/>
      <c r="H214" s="375"/>
      <c r="I214" s="375"/>
      <c r="J214" s="375"/>
      <c r="K214" s="375"/>
      <c r="L214" s="375">
        <v>29</v>
      </c>
      <c r="M214" s="375"/>
      <c r="N214" s="375"/>
      <c r="O214" s="378">
        <v>-95</v>
      </c>
      <c r="P214" s="378"/>
      <c r="Q214" s="375"/>
      <c r="R214" s="378">
        <f>-32-200</f>
        <v>-232</v>
      </c>
      <c r="S214" s="375"/>
      <c r="T214" s="375"/>
      <c r="U214" s="375"/>
      <c r="V214" s="377">
        <f t="shared" si="10"/>
        <v>-298</v>
      </c>
      <c r="W214" s="597"/>
      <c r="X214" s="588"/>
      <c r="Y214" s="588"/>
      <c r="Z214" s="588"/>
    </row>
    <row r="215" spans="1:26" s="589" customFormat="1" ht="18" customHeight="1">
      <c r="A215" s="726"/>
      <c r="B215" s="375" t="s">
        <v>1058</v>
      </c>
      <c r="C215" s="375"/>
      <c r="D215" s="375"/>
      <c r="E215" s="375"/>
      <c r="F215" s="375"/>
      <c r="G215" s="375"/>
      <c r="H215" s="375"/>
      <c r="I215" s="375"/>
      <c r="J215" s="375"/>
      <c r="K215" s="375"/>
      <c r="L215" s="375"/>
      <c r="M215" s="375">
        <v>1500</v>
      </c>
      <c r="N215" s="375"/>
      <c r="O215" s="378">
        <f>-89+2150</f>
        <v>2061</v>
      </c>
      <c r="P215" s="378"/>
      <c r="Q215" s="375"/>
      <c r="R215" s="378">
        <f>-33+1150</f>
        <v>1117</v>
      </c>
      <c r="S215" s="375"/>
      <c r="T215" s="375"/>
      <c r="U215" s="375"/>
      <c r="V215" s="377">
        <f t="shared" si="10"/>
        <v>4678</v>
      </c>
      <c r="W215" s="597"/>
      <c r="X215" s="588"/>
      <c r="Y215" s="588"/>
      <c r="Z215" s="588"/>
    </row>
    <row r="216" spans="1:26" s="589" customFormat="1" ht="18" customHeight="1">
      <c r="A216" s="726"/>
      <c r="B216" s="375" t="s">
        <v>1059</v>
      </c>
      <c r="C216" s="375"/>
      <c r="D216" s="375"/>
      <c r="E216" s="375"/>
      <c r="F216" s="375"/>
      <c r="G216" s="375"/>
      <c r="H216" s="375"/>
      <c r="I216" s="375"/>
      <c r="J216" s="375"/>
      <c r="K216" s="375"/>
      <c r="L216" s="375"/>
      <c r="M216" s="375"/>
      <c r="N216" s="375"/>
      <c r="O216" s="378">
        <v>-118</v>
      </c>
      <c r="P216" s="378"/>
      <c r="Q216" s="375"/>
      <c r="R216" s="378">
        <f>-40</f>
        <v>-40</v>
      </c>
      <c r="S216" s="375"/>
      <c r="T216" s="375"/>
      <c r="U216" s="375"/>
      <c r="V216" s="377">
        <f t="shared" si="10"/>
        <v>-158</v>
      </c>
      <c r="W216" s="597"/>
      <c r="X216" s="588"/>
      <c r="Y216" s="588"/>
      <c r="Z216" s="588"/>
    </row>
    <row r="217" spans="1:26" s="589" customFormat="1" ht="18" customHeight="1">
      <c r="A217" s="726"/>
      <c r="B217" s="375" t="s">
        <v>1060</v>
      </c>
      <c r="C217" s="375"/>
      <c r="D217" s="375"/>
      <c r="E217" s="375"/>
      <c r="F217" s="375"/>
      <c r="G217" s="375"/>
      <c r="H217" s="375"/>
      <c r="I217" s="375"/>
      <c r="J217" s="375"/>
      <c r="K217" s="375"/>
      <c r="L217" s="375"/>
      <c r="M217" s="375"/>
      <c r="N217" s="375"/>
      <c r="O217" s="378">
        <v>-113</v>
      </c>
      <c r="P217" s="378"/>
      <c r="Q217" s="375"/>
      <c r="R217" s="378">
        <f>-53</f>
        <v>-53</v>
      </c>
      <c r="S217" s="375"/>
      <c r="T217" s="375"/>
      <c r="U217" s="375"/>
      <c r="V217" s="377">
        <f t="shared" si="10"/>
        <v>-166</v>
      </c>
      <c r="W217" s="597"/>
      <c r="X217" s="588"/>
      <c r="Y217" s="588"/>
      <c r="Z217" s="588"/>
    </row>
    <row r="218" spans="1:26" s="589" customFormat="1" ht="18" customHeight="1">
      <c r="A218" s="726"/>
      <c r="B218" s="375" t="s">
        <v>1061</v>
      </c>
      <c r="C218" s="375"/>
      <c r="D218" s="375"/>
      <c r="E218" s="375"/>
      <c r="F218" s="375"/>
      <c r="G218" s="375"/>
      <c r="H218" s="375"/>
      <c r="I218" s="375"/>
      <c r="J218" s="375"/>
      <c r="K218" s="375"/>
      <c r="L218" s="375"/>
      <c r="M218" s="375"/>
      <c r="N218" s="375"/>
      <c r="O218" s="378">
        <v>-190</v>
      </c>
      <c r="P218" s="378"/>
      <c r="Q218" s="375"/>
      <c r="R218" s="378">
        <f>-43</f>
        <v>-43</v>
      </c>
      <c r="S218" s="375"/>
      <c r="T218" s="375"/>
      <c r="U218" s="375"/>
      <c r="V218" s="377">
        <f t="shared" si="10"/>
        <v>-233</v>
      </c>
      <c r="W218" s="597"/>
      <c r="X218" s="588"/>
      <c r="Y218" s="588"/>
      <c r="Z218" s="588"/>
    </row>
    <row r="219" spans="1:26" s="589" customFormat="1" ht="18" customHeight="1">
      <c r="A219" s="726"/>
      <c r="B219" s="375" t="s">
        <v>1062</v>
      </c>
      <c r="C219" s="375"/>
      <c r="D219" s="375"/>
      <c r="E219" s="375"/>
      <c r="F219" s="375"/>
      <c r="G219" s="375"/>
      <c r="H219" s="375"/>
      <c r="I219" s="375"/>
      <c r="J219" s="375"/>
      <c r="K219" s="375"/>
      <c r="L219" s="375"/>
      <c r="M219" s="375"/>
      <c r="N219" s="375"/>
      <c r="O219" s="378">
        <v>-85</v>
      </c>
      <c r="P219" s="378"/>
      <c r="Q219" s="375"/>
      <c r="R219" s="378">
        <f>-39</f>
        <v>-39</v>
      </c>
      <c r="S219" s="375"/>
      <c r="T219" s="375"/>
      <c r="U219" s="375"/>
      <c r="V219" s="377">
        <f t="shared" si="10"/>
        <v>-124</v>
      </c>
      <c r="W219" s="597"/>
      <c r="X219" s="588"/>
      <c r="Y219" s="588"/>
      <c r="Z219" s="588"/>
    </row>
    <row r="220" spans="1:26" s="589" customFormat="1" ht="18" customHeight="1">
      <c r="A220" s="726"/>
      <c r="B220" s="375" t="s">
        <v>917</v>
      </c>
      <c r="C220" s="375"/>
      <c r="D220" s="375"/>
      <c r="E220" s="375"/>
      <c r="F220" s="375"/>
      <c r="G220" s="375"/>
      <c r="H220" s="375"/>
      <c r="I220" s="375"/>
      <c r="J220" s="375"/>
      <c r="K220" s="375"/>
      <c r="L220" s="375"/>
      <c r="M220" s="375"/>
      <c r="N220" s="375"/>
      <c r="O220" s="378">
        <v>-187</v>
      </c>
      <c r="P220" s="378"/>
      <c r="Q220" s="375"/>
      <c r="R220" s="378">
        <f>-25</f>
        <v>-25</v>
      </c>
      <c r="S220" s="375"/>
      <c r="T220" s="375"/>
      <c r="U220" s="375"/>
      <c r="V220" s="377">
        <f t="shared" si="10"/>
        <v>-212</v>
      </c>
      <c r="W220" s="597"/>
      <c r="X220" s="588"/>
      <c r="Y220" s="588"/>
      <c r="Z220" s="588"/>
    </row>
    <row r="221" spans="1:26" s="589" customFormat="1" ht="18" customHeight="1">
      <c r="A221" s="726"/>
      <c r="B221" s="375" t="s">
        <v>1063</v>
      </c>
      <c r="C221" s="375"/>
      <c r="D221" s="375"/>
      <c r="E221" s="375"/>
      <c r="F221" s="375"/>
      <c r="G221" s="375"/>
      <c r="H221" s="375"/>
      <c r="I221" s="375"/>
      <c r="J221" s="375"/>
      <c r="K221" s="375"/>
      <c r="L221" s="375"/>
      <c r="M221" s="375">
        <v>500</v>
      </c>
      <c r="N221" s="375"/>
      <c r="O221" s="378">
        <v>-119</v>
      </c>
      <c r="P221" s="378">
        <v>-3000</v>
      </c>
      <c r="Q221" s="375"/>
      <c r="R221" s="378">
        <f>-52</f>
        <v>-52</v>
      </c>
      <c r="S221" s="375"/>
      <c r="T221" s="375"/>
      <c r="U221" s="375"/>
      <c r="V221" s="377">
        <f t="shared" si="10"/>
        <v>-2671</v>
      </c>
      <c r="W221" s="597"/>
      <c r="X221" s="588"/>
      <c r="Y221" s="588"/>
      <c r="Z221" s="588"/>
    </row>
    <row r="222" spans="1:26" s="589" customFormat="1" ht="18" customHeight="1">
      <c r="A222" s="726"/>
      <c r="B222" s="375" t="s">
        <v>1064</v>
      </c>
      <c r="C222" s="375"/>
      <c r="D222" s="375"/>
      <c r="E222" s="375"/>
      <c r="F222" s="375"/>
      <c r="G222" s="375"/>
      <c r="H222" s="375"/>
      <c r="I222" s="375"/>
      <c r="J222" s="375">
        <v>605</v>
      </c>
      <c r="K222" s="375"/>
      <c r="L222" s="375"/>
      <c r="M222" s="375"/>
      <c r="N222" s="375">
        <v>605</v>
      </c>
      <c r="O222" s="378">
        <v>-108</v>
      </c>
      <c r="P222" s="378"/>
      <c r="Q222" s="375"/>
      <c r="R222" s="378">
        <f>-2549</f>
        <v>-2549</v>
      </c>
      <c r="S222" s="375"/>
      <c r="T222" s="375"/>
      <c r="U222" s="375"/>
      <c r="V222" s="377">
        <f t="shared" si="10"/>
        <v>-2052</v>
      </c>
      <c r="W222" s="597"/>
      <c r="X222" s="588"/>
      <c r="Y222" s="588"/>
      <c r="Z222" s="588"/>
    </row>
    <row r="223" spans="1:26" s="589" customFormat="1" ht="18" customHeight="1">
      <c r="A223" s="726"/>
      <c r="B223" s="375" t="s">
        <v>1065</v>
      </c>
      <c r="C223" s="375"/>
      <c r="D223" s="375"/>
      <c r="E223" s="375"/>
      <c r="F223" s="375"/>
      <c r="G223" s="375"/>
      <c r="H223" s="375"/>
      <c r="I223" s="375"/>
      <c r="J223" s="375"/>
      <c r="K223" s="375"/>
      <c r="L223" s="375"/>
      <c r="M223" s="375"/>
      <c r="N223" s="375"/>
      <c r="O223" s="378">
        <v>-15</v>
      </c>
      <c r="P223" s="378">
        <v>508</v>
      </c>
      <c r="Q223" s="375"/>
      <c r="R223" s="378">
        <f>-535</f>
        <v>-535</v>
      </c>
      <c r="S223" s="375"/>
      <c r="T223" s="375"/>
      <c r="U223" s="375"/>
      <c r="V223" s="377">
        <f t="shared" si="10"/>
        <v>-42</v>
      </c>
      <c r="W223" s="597"/>
      <c r="X223" s="588"/>
      <c r="Y223" s="588"/>
      <c r="Z223" s="588"/>
    </row>
    <row r="224" spans="1:26" s="589" customFormat="1" ht="18" customHeight="1" thickBot="1">
      <c r="A224" s="726"/>
      <c r="B224" s="375" t="s">
        <v>918</v>
      </c>
      <c r="C224" s="375"/>
      <c r="D224" s="375"/>
      <c r="E224" s="375"/>
      <c r="F224" s="375"/>
      <c r="G224" s="375"/>
      <c r="H224" s="375"/>
      <c r="I224" s="375"/>
      <c r="J224" s="375"/>
      <c r="K224" s="375"/>
      <c r="L224" s="375"/>
      <c r="M224" s="375"/>
      <c r="N224" s="375"/>
      <c r="O224" s="378">
        <v>-17</v>
      </c>
      <c r="P224" s="378"/>
      <c r="Q224" s="375"/>
      <c r="R224" s="378">
        <f>-249</f>
        <v>-249</v>
      </c>
      <c r="S224" s="375"/>
      <c r="T224" s="375"/>
      <c r="U224" s="375"/>
      <c r="V224" s="377">
        <f t="shared" si="10"/>
        <v>-266</v>
      </c>
      <c r="W224" s="597"/>
      <c r="X224" s="588"/>
      <c r="Y224" s="588"/>
      <c r="Z224" s="588"/>
    </row>
    <row r="225" spans="1:23" s="599" customFormat="1" ht="18.75" customHeight="1" thickBot="1">
      <c r="A225" s="1189">
        <v>80110</v>
      </c>
      <c r="B225" s="598" t="s">
        <v>708</v>
      </c>
      <c r="C225" s="578">
        <f>SUM(C226:C254)</f>
        <v>0</v>
      </c>
      <c r="D225" s="578">
        <f>SUM(D226:D254)</f>
        <v>0</v>
      </c>
      <c r="E225" s="578">
        <f>SUM(E226:E254)</f>
        <v>0</v>
      </c>
      <c r="F225" s="578"/>
      <c r="G225" s="578"/>
      <c r="H225" s="578"/>
      <c r="I225" s="578"/>
      <c r="J225" s="578"/>
      <c r="K225" s="578"/>
      <c r="L225" s="578"/>
      <c r="M225" s="578"/>
      <c r="N225" s="578"/>
      <c r="O225" s="578"/>
      <c r="P225" s="578"/>
      <c r="Q225" s="578"/>
      <c r="R225" s="578">
        <f>SUM(R226:R254)</f>
        <v>2800</v>
      </c>
      <c r="S225" s="578"/>
      <c r="T225" s="578"/>
      <c r="U225" s="578"/>
      <c r="V225" s="1158">
        <f t="shared" si="8"/>
        <v>2800</v>
      </c>
      <c r="W225" s="569"/>
    </row>
    <row r="226" spans="1:25" s="586" customFormat="1" ht="18" customHeight="1" hidden="1">
      <c r="A226" s="600" t="s">
        <v>1279</v>
      </c>
      <c r="B226" s="685" t="s">
        <v>709</v>
      </c>
      <c r="C226" s="580"/>
      <c r="D226" s="580"/>
      <c r="E226" s="580"/>
      <c r="F226" s="580"/>
      <c r="G226" s="580"/>
      <c r="H226" s="580"/>
      <c r="I226" s="580"/>
      <c r="J226" s="580"/>
      <c r="K226" s="580"/>
      <c r="L226" s="580"/>
      <c r="M226" s="580"/>
      <c r="N226" s="580"/>
      <c r="O226" s="580"/>
      <c r="P226" s="580"/>
      <c r="Q226" s="580"/>
      <c r="R226" s="580"/>
      <c r="S226" s="580"/>
      <c r="T226" s="580"/>
      <c r="U226" s="580"/>
      <c r="V226" s="1159">
        <f t="shared" si="8"/>
        <v>0</v>
      </c>
      <c r="W226" s="602"/>
      <c r="Y226" s="603"/>
    </row>
    <row r="227" spans="1:25" s="508" customFormat="1" ht="18" customHeight="1" hidden="1">
      <c r="A227" s="604" t="s">
        <v>1280</v>
      </c>
      <c r="B227" s="1209" t="s">
        <v>710</v>
      </c>
      <c r="C227" s="605"/>
      <c r="D227" s="605"/>
      <c r="E227" s="605"/>
      <c r="F227" s="605"/>
      <c r="G227" s="605"/>
      <c r="H227" s="605"/>
      <c r="I227" s="605"/>
      <c r="J227" s="605"/>
      <c r="K227" s="605"/>
      <c r="L227" s="605"/>
      <c r="M227" s="605"/>
      <c r="N227" s="605"/>
      <c r="O227" s="605"/>
      <c r="P227" s="605"/>
      <c r="Q227" s="605"/>
      <c r="R227" s="605"/>
      <c r="S227" s="605"/>
      <c r="T227" s="605"/>
      <c r="U227" s="605"/>
      <c r="V227" s="1160">
        <f t="shared" si="8"/>
        <v>0</v>
      </c>
      <c r="W227" s="602"/>
      <c r="Y227" s="603"/>
    </row>
    <row r="228" spans="1:25" s="586" customFormat="1" ht="18" customHeight="1" hidden="1">
      <c r="A228" s="606" t="s">
        <v>1281</v>
      </c>
      <c r="B228" s="737" t="s">
        <v>711</v>
      </c>
      <c r="C228" s="583"/>
      <c r="D228" s="583"/>
      <c r="E228" s="583"/>
      <c r="F228" s="583"/>
      <c r="G228" s="583"/>
      <c r="H228" s="583"/>
      <c r="I228" s="583"/>
      <c r="J228" s="583"/>
      <c r="K228" s="583"/>
      <c r="L228" s="583"/>
      <c r="M228" s="583"/>
      <c r="N228" s="583"/>
      <c r="O228" s="583"/>
      <c r="P228" s="583"/>
      <c r="Q228" s="583"/>
      <c r="R228" s="583"/>
      <c r="S228" s="583"/>
      <c r="T228" s="583"/>
      <c r="U228" s="583"/>
      <c r="V228" s="1160">
        <f t="shared" si="8"/>
        <v>0</v>
      </c>
      <c r="W228" s="602"/>
      <c r="Y228" s="603"/>
    </row>
    <row r="229" spans="1:25" s="508" customFormat="1" ht="18" customHeight="1" hidden="1">
      <c r="A229" s="604" t="s">
        <v>1282</v>
      </c>
      <c r="B229" s="1209" t="s">
        <v>712</v>
      </c>
      <c r="C229" s="605"/>
      <c r="D229" s="605"/>
      <c r="E229" s="605"/>
      <c r="F229" s="605"/>
      <c r="G229" s="605"/>
      <c r="H229" s="605"/>
      <c r="I229" s="605"/>
      <c r="J229" s="605"/>
      <c r="K229" s="605"/>
      <c r="L229" s="605"/>
      <c r="M229" s="605"/>
      <c r="N229" s="605"/>
      <c r="O229" s="605"/>
      <c r="P229" s="605"/>
      <c r="Q229" s="605"/>
      <c r="R229" s="605"/>
      <c r="S229" s="605"/>
      <c r="T229" s="605"/>
      <c r="U229" s="605"/>
      <c r="V229" s="1160">
        <f t="shared" si="8"/>
        <v>0</v>
      </c>
      <c r="W229" s="602"/>
      <c r="Y229" s="603"/>
    </row>
    <row r="230" spans="1:25" s="586" customFormat="1" ht="18" customHeight="1" hidden="1">
      <c r="A230" s="606" t="s">
        <v>1283</v>
      </c>
      <c r="B230" s="737" t="s">
        <v>713</v>
      </c>
      <c r="C230" s="583"/>
      <c r="D230" s="583"/>
      <c r="E230" s="583"/>
      <c r="F230" s="583"/>
      <c r="G230" s="583"/>
      <c r="H230" s="583"/>
      <c r="I230" s="583"/>
      <c r="J230" s="583"/>
      <c r="K230" s="583"/>
      <c r="L230" s="583"/>
      <c r="M230" s="583"/>
      <c r="N230" s="583"/>
      <c r="O230" s="583"/>
      <c r="P230" s="583"/>
      <c r="Q230" s="583"/>
      <c r="R230" s="583"/>
      <c r="S230" s="583"/>
      <c r="T230" s="583"/>
      <c r="U230" s="583"/>
      <c r="V230" s="1160">
        <f t="shared" si="8"/>
        <v>0</v>
      </c>
      <c r="W230" s="602"/>
      <c r="Y230" s="603"/>
    </row>
    <row r="231" spans="1:25" s="508" customFormat="1" ht="18" customHeight="1" hidden="1">
      <c r="A231" s="604" t="s">
        <v>1284</v>
      </c>
      <c r="B231" s="1209" t="s">
        <v>714</v>
      </c>
      <c r="C231" s="605"/>
      <c r="D231" s="605"/>
      <c r="E231" s="605"/>
      <c r="F231" s="605"/>
      <c r="G231" s="605"/>
      <c r="H231" s="605"/>
      <c r="I231" s="605"/>
      <c r="J231" s="605"/>
      <c r="K231" s="605"/>
      <c r="L231" s="605"/>
      <c r="M231" s="605"/>
      <c r="N231" s="605"/>
      <c r="O231" s="605"/>
      <c r="P231" s="605"/>
      <c r="Q231" s="605"/>
      <c r="R231" s="605"/>
      <c r="S231" s="605"/>
      <c r="T231" s="605"/>
      <c r="U231" s="605"/>
      <c r="V231" s="1160">
        <f t="shared" si="8"/>
        <v>0</v>
      </c>
      <c r="W231" s="602"/>
      <c r="Y231" s="603"/>
    </row>
    <row r="232" spans="1:25" s="508" customFormat="1" ht="18" customHeight="1" hidden="1">
      <c r="A232" s="606" t="s">
        <v>1285</v>
      </c>
      <c r="B232" s="737" t="s">
        <v>715</v>
      </c>
      <c r="C232" s="583"/>
      <c r="D232" s="583"/>
      <c r="E232" s="583"/>
      <c r="F232" s="583"/>
      <c r="G232" s="583"/>
      <c r="H232" s="583"/>
      <c r="I232" s="583"/>
      <c r="J232" s="583"/>
      <c r="K232" s="583"/>
      <c r="L232" s="583"/>
      <c r="M232" s="583"/>
      <c r="N232" s="583"/>
      <c r="O232" s="583"/>
      <c r="P232" s="583"/>
      <c r="Q232" s="583"/>
      <c r="R232" s="583"/>
      <c r="S232" s="583"/>
      <c r="T232" s="583"/>
      <c r="U232" s="583"/>
      <c r="V232" s="1160">
        <f t="shared" si="8"/>
        <v>0</v>
      </c>
      <c r="W232" s="602"/>
      <c r="Y232" s="603"/>
    </row>
    <row r="233" spans="1:25" s="609" customFormat="1" ht="18" customHeight="1" hidden="1">
      <c r="A233" s="604" t="s">
        <v>1286</v>
      </c>
      <c r="B233" s="1210" t="s">
        <v>716</v>
      </c>
      <c r="C233" s="608"/>
      <c r="D233" s="608"/>
      <c r="E233" s="608"/>
      <c r="F233" s="608"/>
      <c r="G233" s="608"/>
      <c r="H233" s="608"/>
      <c r="I233" s="608"/>
      <c r="J233" s="608"/>
      <c r="K233" s="608"/>
      <c r="L233" s="608"/>
      <c r="M233" s="608"/>
      <c r="N233" s="608"/>
      <c r="O233" s="608"/>
      <c r="P233" s="608"/>
      <c r="Q233" s="608"/>
      <c r="R233" s="608"/>
      <c r="S233" s="608"/>
      <c r="T233" s="608"/>
      <c r="U233" s="608"/>
      <c r="V233" s="1160">
        <f t="shared" si="8"/>
        <v>0</v>
      </c>
      <c r="W233" s="602"/>
      <c r="Y233" s="603"/>
    </row>
    <row r="234" spans="1:25" s="612" customFormat="1" ht="18" customHeight="1" hidden="1">
      <c r="A234" s="606" t="s">
        <v>1287</v>
      </c>
      <c r="B234" s="1211" t="s">
        <v>717</v>
      </c>
      <c r="C234" s="611"/>
      <c r="D234" s="611"/>
      <c r="E234" s="611"/>
      <c r="F234" s="611"/>
      <c r="G234" s="611"/>
      <c r="H234" s="611"/>
      <c r="I234" s="611"/>
      <c r="J234" s="611"/>
      <c r="K234" s="611"/>
      <c r="L234" s="611"/>
      <c r="M234" s="611"/>
      <c r="N234" s="611"/>
      <c r="O234" s="611"/>
      <c r="P234" s="611"/>
      <c r="Q234" s="611"/>
      <c r="R234" s="611"/>
      <c r="S234" s="611"/>
      <c r="T234" s="611"/>
      <c r="U234" s="611"/>
      <c r="V234" s="1160">
        <f t="shared" si="8"/>
        <v>0</v>
      </c>
      <c r="W234" s="602"/>
      <c r="Y234" s="603"/>
    </row>
    <row r="235" spans="1:25" s="612" customFormat="1" ht="18" customHeight="1" hidden="1">
      <c r="A235" s="604" t="s">
        <v>1288</v>
      </c>
      <c r="B235" s="1209" t="s">
        <v>718</v>
      </c>
      <c r="C235" s="608"/>
      <c r="D235" s="608"/>
      <c r="E235" s="608"/>
      <c r="F235" s="608"/>
      <c r="G235" s="608"/>
      <c r="H235" s="608"/>
      <c r="I235" s="608"/>
      <c r="J235" s="608"/>
      <c r="K235" s="608"/>
      <c r="L235" s="608"/>
      <c r="M235" s="608"/>
      <c r="N235" s="608"/>
      <c r="O235" s="608"/>
      <c r="P235" s="608"/>
      <c r="Q235" s="608"/>
      <c r="R235" s="608"/>
      <c r="S235" s="608"/>
      <c r="T235" s="608"/>
      <c r="U235" s="608"/>
      <c r="V235" s="1160">
        <f t="shared" si="8"/>
        <v>0</v>
      </c>
      <c r="W235" s="602"/>
      <c r="Y235" s="603"/>
    </row>
    <row r="236" spans="1:25" s="612" customFormat="1" ht="18" customHeight="1" hidden="1">
      <c r="A236" s="606" t="s">
        <v>1289</v>
      </c>
      <c r="B236" s="737" t="s">
        <v>719</v>
      </c>
      <c r="C236" s="534"/>
      <c r="D236" s="534"/>
      <c r="E236" s="534"/>
      <c r="F236" s="534"/>
      <c r="G236" s="534"/>
      <c r="H236" s="534"/>
      <c r="I236" s="534"/>
      <c r="J236" s="534"/>
      <c r="K236" s="534"/>
      <c r="L236" s="534"/>
      <c r="M236" s="534"/>
      <c r="N236" s="534"/>
      <c r="O236" s="534"/>
      <c r="P236" s="534"/>
      <c r="Q236" s="534"/>
      <c r="R236" s="534"/>
      <c r="S236" s="534"/>
      <c r="T236" s="534"/>
      <c r="U236" s="534"/>
      <c r="V236" s="1160">
        <f t="shared" si="8"/>
        <v>0</v>
      </c>
      <c r="W236" s="602"/>
      <c r="Y236" s="603"/>
    </row>
    <row r="237" spans="1:25" s="612" customFormat="1" ht="18" customHeight="1" hidden="1">
      <c r="A237" s="604" t="s">
        <v>1290</v>
      </c>
      <c r="B237" s="1209" t="s">
        <v>720</v>
      </c>
      <c r="C237" s="608"/>
      <c r="D237" s="608"/>
      <c r="E237" s="608"/>
      <c r="F237" s="608"/>
      <c r="G237" s="608"/>
      <c r="H237" s="608"/>
      <c r="I237" s="608"/>
      <c r="J237" s="608"/>
      <c r="K237" s="608"/>
      <c r="L237" s="608"/>
      <c r="M237" s="608"/>
      <c r="N237" s="608"/>
      <c r="O237" s="608"/>
      <c r="P237" s="608"/>
      <c r="Q237" s="608"/>
      <c r="R237" s="608"/>
      <c r="S237" s="608"/>
      <c r="T237" s="608"/>
      <c r="U237" s="608"/>
      <c r="V237" s="1160">
        <f t="shared" si="8"/>
        <v>0</v>
      </c>
      <c r="W237" s="602"/>
      <c r="Y237" s="603"/>
    </row>
    <row r="238" spans="1:25" s="612" customFormat="1" ht="18" customHeight="1" hidden="1">
      <c r="A238" s="606" t="s">
        <v>1291</v>
      </c>
      <c r="B238" s="737" t="s">
        <v>721</v>
      </c>
      <c r="C238" s="534"/>
      <c r="D238" s="534"/>
      <c r="E238" s="534"/>
      <c r="F238" s="534"/>
      <c r="G238" s="534"/>
      <c r="H238" s="534"/>
      <c r="I238" s="534"/>
      <c r="J238" s="534"/>
      <c r="K238" s="534"/>
      <c r="L238" s="534"/>
      <c r="M238" s="534"/>
      <c r="N238" s="534"/>
      <c r="O238" s="534"/>
      <c r="P238" s="534"/>
      <c r="Q238" s="534"/>
      <c r="R238" s="534"/>
      <c r="S238" s="534"/>
      <c r="T238" s="534"/>
      <c r="U238" s="534"/>
      <c r="V238" s="1160">
        <f t="shared" si="8"/>
        <v>0</v>
      </c>
      <c r="W238" s="602"/>
      <c r="Y238" s="603"/>
    </row>
    <row r="239" spans="1:25" s="612" customFormat="1" ht="18" customHeight="1" hidden="1">
      <c r="A239" s="604" t="s">
        <v>1292</v>
      </c>
      <c r="B239" s="1209" t="s">
        <v>722</v>
      </c>
      <c r="C239" s="608"/>
      <c r="D239" s="608"/>
      <c r="E239" s="608"/>
      <c r="F239" s="608"/>
      <c r="G239" s="608"/>
      <c r="H239" s="608"/>
      <c r="I239" s="608"/>
      <c r="J239" s="608"/>
      <c r="K239" s="608"/>
      <c r="L239" s="608"/>
      <c r="M239" s="608"/>
      <c r="N239" s="608"/>
      <c r="O239" s="608"/>
      <c r="P239" s="608"/>
      <c r="Q239" s="608"/>
      <c r="R239" s="608"/>
      <c r="S239" s="608"/>
      <c r="T239" s="608"/>
      <c r="U239" s="608"/>
      <c r="V239" s="1160">
        <f t="shared" si="8"/>
        <v>0</v>
      </c>
      <c r="W239" s="602"/>
      <c r="Y239" s="603"/>
    </row>
    <row r="240" spans="1:25" s="612" customFormat="1" ht="18" customHeight="1" hidden="1">
      <c r="A240" s="606" t="s">
        <v>1293</v>
      </c>
      <c r="B240" s="737" t="s">
        <v>723</v>
      </c>
      <c r="C240" s="534"/>
      <c r="D240" s="534"/>
      <c r="E240" s="534"/>
      <c r="F240" s="534"/>
      <c r="G240" s="534"/>
      <c r="H240" s="534"/>
      <c r="I240" s="534"/>
      <c r="J240" s="534"/>
      <c r="K240" s="534"/>
      <c r="L240" s="534"/>
      <c r="M240" s="534"/>
      <c r="N240" s="534"/>
      <c r="O240" s="534"/>
      <c r="P240" s="534"/>
      <c r="Q240" s="534"/>
      <c r="R240" s="534"/>
      <c r="S240" s="534"/>
      <c r="T240" s="534"/>
      <c r="U240" s="534"/>
      <c r="V240" s="1160">
        <f t="shared" si="8"/>
        <v>0</v>
      </c>
      <c r="W240" s="602"/>
      <c r="Y240" s="603"/>
    </row>
    <row r="241" spans="1:25" s="612" customFormat="1" ht="18" customHeight="1" hidden="1">
      <c r="A241" s="604" t="s">
        <v>1294</v>
      </c>
      <c r="B241" s="1209" t="s">
        <v>724</v>
      </c>
      <c r="C241" s="608"/>
      <c r="D241" s="608"/>
      <c r="E241" s="608"/>
      <c r="F241" s="608"/>
      <c r="G241" s="608"/>
      <c r="H241" s="608"/>
      <c r="I241" s="608"/>
      <c r="J241" s="608"/>
      <c r="K241" s="608"/>
      <c r="L241" s="608"/>
      <c r="M241" s="608"/>
      <c r="N241" s="608"/>
      <c r="O241" s="608"/>
      <c r="P241" s="608"/>
      <c r="Q241" s="608"/>
      <c r="R241" s="608"/>
      <c r="S241" s="608"/>
      <c r="T241" s="608"/>
      <c r="U241" s="608"/>
      <c r="V241" s="1160">
        <f t="shared" si="8"/>
        <v>0</v>
      </c>
      <c r="W241" s="602"/>
      <c r="Y241" s="603"/>
    </row>
    <row r="242" spans="1:25" s="612" customFormat="1" ht="18" customHeight="1" hidden="1" thickBot="1">
      <c r="A242" s="606" t="s">
        <v>1295</v>
      </c>
      <c r="B242" s="737" t="s">
        <v>725</v>
      </c>
      <c r="C242" s="534"/>
      <c r="D242" s="534"/>
      <c r="E242" s="534"/>
      <c r="F242" s="534"/>
      <c r="G242" s="534"/>
      <c r="H242" s="534"/>
      <c r="I242" s="534"/>
      <c r="J242" s="534"/>
      <c r="K242" s="534"/>
      <c r="L242" s="534"/>
      <c r="M242" s="534"/>
      <c r="N242" s="534"/>
      <c r="O242" s="534"/>
      <c r="P242" s="534"/>
      <c r="Q242" s="534"/>
      <c r="R242" s="534"/>
      <c r="S242" s="534"/>
      <c r="T242" s="534"/>
      <c r="U242" s="534"/>
      <c r="V242" s="1160">
        <f t="shared" si="8"/>
        <v>0</v>
      </c>
      <c r="W242" s="602"/>
      <c r="Y242" s="603"/>
    </row>
    <row r="243" spans="1:25" s="612" customFormat="1" ht="18" customHeight="1" hidden="1">
      <c r="A243" s="604" t="s">
        <v>1296</v>
      </c>
      <c r="B243" s="1209" t="s">
        <v>726</v>
      </c>
      <c r="C243" s="608"/>
      <c r="D243" s="608"/>
      <c r="E243" s="608"/>
      <c r="F243" s="608"/>
      <c r="G243" s="608"/>
      <c r="H243" s="608"/>
      <c r="I243" s="608"/>
      <c r="J243" s="608"/>
      <c r="K243" s="608"/>
      <c r="L243" s="608"/>
      <c r="M243" s="608"/>
      <c r="N243" s="608"/>
      <c r="O243" s="608"/>
      <c r="P243" s="608"/>
      <c r="Q243" s="608"/>
      <c r="R243" s="608"/>
      <c r="S243" s="608"/>
      <c r="T243" s="608"/>
      <c r="U243" s="608"/>
      <c r="V243" s="1160">
        <f t="shared" si="8"/>
        <v>0</v>
      </c>
      <c r="W243" s="602"/>
      <c r="Y243" s="603"/>
    </row>
    <row r="244" spans="1:25" s="612" customFormat="1" ht="18" customHeight="1" thickBot="1">
      <c r="A244" s="606" t="s">
        <v>1297</v>
      </c>
      <c r="B244" s="737" t="s">
        <v>727</v>
      </c>
      <c r="C244" s="534"/>
      <c r="D244" s="534"/>
      <c r="E244" s="534"/>
      <c r="F244" s="534"/>
      <c r="G244" s="534"/>
      <c r="H244" s="534"/>
      <c r="I244" s="534"/>
      <c r="J244" s="534"/>
      <c r="K244" s="534"/>
      <c r="L244" s="534"/>
      <c r="M244" s="534"/>
      <c r="N244" s="534"/>
      <c r="O244" s="534"/>
      <c r="P244" s="534"/>
      <c r="Q244" s="534"/>
      <c r="R244" s="534">
        <v>2800</v>
      </c>
      <c r="S244" s="534"/>
      <c r="T244" s="534"/>
      <c r="U244" s="534"/>
      <c r="V244" s="1161">
        <f t="shared" si="8"/>
        <v>2800</v>
      </c>
      <c r="W244" s="602"/>
      <c r="Y244" s="603"/>
    </row>
    <row r="245" spans="1:23" s="612" customFormat="1" ht="18" customHeight="1" hidden="1">
      <c r="A245" s="613"/>
      <c r="B245" s="1212" t="s">
        <v>728</v>
      </c>
      <c r="C245" s="614"/>
      <c r="D245" s="614"/>
      <c r="E245" s="614"/>
      <c r="F245" s="614"/>
      <c r="G245" s="614"/>
      <c r="H245" s="614"/>
      <c r="I245" s="614"/>
      <c r="J245" s="614"/>
      <c r="K245" s="614"/>
      <c r="L245" s="614"/>
      <c r="M245" s="614"/>
      <c r="N245" s="614"/>
      <c r="O245" s="614"/>
      <c r="P245" s="614"/>
      <c r="Q245" s="614"/>
      <c r="R245" s="614"/>
      <c r="S245" s="614"/>
      <c r="T245" s="614"/>
      <c r="U245" s="614"/>
      <c r="V245" s="1160">
        <f t="shared" si="8"/>
        <v>0</v>
      </c>
      <c r="W245" s="536"/>
    </row>
    <row r="246" spans="1:23" s="612" customFormat="1" ht="18" customHeight="1" hidden="1">
      <c r="A246" s="615"/>
      <c r="B246" s="1213" t="s">
        <v>729</v>
      </c>
      <c r="C246" s="540"/>
      <c r="D246" s="540"/>
      <c r="E246" s="540"/>
      <c r="F246" s="540"/>
      <c r="G246" s="540"/>
      <c r="H246" s="540"/>
      <c r="I246" s="540"/>
      <c r="J246" s="540"/>
      <c r="K246" s="540"/>
      <c r="L246" s="540"/>
      <c r="M246" s="540"/>
      <c r="N246" s="540"/>
      <c r="O246" s="540"/>
      <c r="P246" s="540"/>
      <c r="Q246" s="540"/>
      <c r="R246" s="540"/>
      <c r="S246" s="540"/>
      <c r="T246" s="540"/>
      <c r="U246" s="540"/>
      <c r="V246" s="1160">
        <f t="shared" si="8"/>
        <v>0</v>
      </c>
      <c r="W246" s="536"/>
    </row>
    <row r="247" spans="1:23" s="612" customFormat="1" ht="18" customHeight="1" hidden="1">
      <c r="A247" s="613"/>
      <c r="B247" s="1212" t="s">
        <v>730</v>
      </c>
      <c r="C247" s="614"/>
      <c r="D247" s="614"/>
      <c r="E247" s="614"/>
      <c r="F247" s="614"/>
      <c r="G247" s="614"/>
      <c r="H247" s="614"/>
      <c r="I247" s="614"/>
      <c r="J247" s="614"/>
      <c r="K247" s="614"/>
      <c r="L247" s="614"/>
      <c r="M247" s="614"/>
      <c r="N247" s="614"/>
      <c r="O247" s="614"/>
      <c r="P247" s="614"/>
      <c r="Q247" s="614"/>
      <c r="R247" s="614"/>
      <c r="S247" s="614"/>
      <c r="T247" s="614"/>
      <c r="U247" s="614"/>
      <c r="V247" s="1160">
        <f t="shared" si="8"/>
        <v>0</v>
      </c>
      <c r="W247" s="536"/>
    </row>
    <row r="248" spans="1:23" s="612" customFormat="1" ht="18" customHeight="1" hidden="1">
      <c r="A248" s="615"/>
      <c r="B248" s="1213" t="s">
        <v>731</v>
      </c>
      <c r="C248" s="540"/>
      <c r="D248" s="540"/>
      <c r="E248" s="540"/>
      <c r="F248" s="540"/>
      <c r="G248" s="540"/>
      <c r="H248" s="540"/>
      <c r="I248" s="540"/>
      <c r="J248" s="540"/>
      <c r="K248" s="540"/>
      <c r="L248" s="540"/>
      <c r="M248" s="540"/>
      <c r="N248" s="540"/>
      <c r="O248" s="540"/>
      <c r="P248" s="540"/>
      <c r="Q248" s="540"/>
      <c r="R248" s="540"/>
      <c r="S248" s="540"/>
      <c r="T248" s="540"/>
      <c r="U248" s="540"/>
      <c r="V248" s="1160">
        <f t="shared" si="8"/>
        <v>0</v>
      </c>
      <c r="W248" s="536"/>
    </row>
    <row r="249" spans="1:23" s="612" customFormat="1" ht="18" customHeight="1" hidden="1">
      <c r="A249" s="613"/>
      <c r="B249" s="1212" t="s">
        <v>732</v>
      </c>
      <c r="C249" s="614"/>
      <c r="D249" s="614"/>
      <c r="E249" s="614"/>
      <c r="F249" s="614"/>
      <c r="G249" s="614"/>
      <c r="H249" s="614"/>
      <c r="I249" s="614"/>
      <c r="J249" s="614"/>
      <c r="K249" s="614"/>
      <c r="L249" s="614"/>
      <c r="M249" s="614"/>
      <c r="N249" s="614"/>
      <c r="O249" s="614"/>
      <c r="P249" s="614"/>
      <c r="Q249" s="614"/>
      <c r="R249" s="614"/>
      <c r="S249" s="614"/>
      <c r="T249" s="614"/>
      <c r="U249" s="614"/>
      <c r="V249" s="1160">
        <f t="shared" si="8"/>
        <v>0</v>
      </c>
      <c r="W249" s="536"/>
    </row>
    <row r="250" spans="1:23" s="612" customFormat="1" ht="18" customHeight="1" hidden="1">
      <c r="A250" s="613"/>
      <c r="B250" s="1212" t="s">
        <v>733</v>
      </c>
      <c r="C250" s="614"/>
      <c r="D250" s="614"/>
      <c r="E250" s="614"/>
      <c r="F250" s="614"/>
      <c r="G250" s="614"/>
      <c r="H250" s="614"/>
      <c r="I250" s="614"/>
      <c r="J250" s="614"/>
      <c r="K250" s="614"/>
      <c r="L250" s="614"/>
      <c r="M250" s="614"/>
      <c r="N250" s="614"/>
      <c r="O250" s="614"/>
      <c r="P250" s="614"/>
      <c r="Q250" s="614"/>
      <c r="R250" s="614"/>
      <c r="S250" s="614"/>
      <c r="T250" s="614"/>
      <c r="U250" s="614"/>
      <c r="V250" s="1160">
        <f t="shared" si="8"/>
        <v>0</v>
      </c>
      <c r="W250" s="536"/>
    </row>
    <row r="251" spans="1:23" s="612" customFormat="1" ht="18" customHeight="1" hidden="1">
      <c r="A251" s="615"/>
      <c r="B251" s="1213" t="s">
        <v>734</v>
      </c>
      <c r="C251" s="540"/>
      <c r="D251" s="540"/>
      <c r="E251" s="540"/>
      <c r="F251" s="540"/>
      <c r="G251" s="540"/>
      <c r="H251" s="540"/>
      <c r="I251" s="540"/>
      <c r="J251" s="540"/>
      <c r="K251" s="540"/>
      <c r="L251" s="540"/>
      <c r="M251" s="540"/>
      <c r="N251" s="540"/>
      <c r="O251" s="540"/>
      <c r="P251" s="540"/>
      <c r="Q251" s="540"/>
      <c r="R251" s="540"/>
      <c r="S251" s="540"/>
      <c r="T251" s="540"/>
      <c r="U251" s="540"/>
      <c r="V251" s="1160">
        <f t="shared" si="8"/>
        <v>0</v>
      </c>
      <c r="W251" s="536"/>
    </row>
    <row r="252" spans="1:23" s="612" customFormat="1" ht="18" customHeight="1" hidden="1">
      <c r="A252" s="613"/>
      <c r="B252" s="1212" t="s">
        <v>735</v>
      </c>
      <c r="C252" s="614"/>
      <c r="D252" s="614"/>
      <c r="E252" s="614"/>
      <c r="F252" s="614"/>
      <c r="G252" s="614"/>
      <c r="H252" s="614"/>
      <c r="I252" s="614"/>
      <c r="J252" s="614"/>
      <c r="K252" s="614"/>
      <c r="L252" s="614"/>
      <c r="M252" s="614"/>
      <c r="N252" s="614"/>
      <c r="O252" s="614"/>
      <c r="P252" s="614"/>
      <c r="Q252" s="614"/>
      <c r="R252" s="614"/>
      <c r="S252" s="614"/>
      <c r="T252" s="614"/>
      <c r="U252" s="614"/>
      <c r="V252" s="1160">
        <f t="shared" si="8"/>
        <v>0</v>
      </c>
      <c r="W252" s="536"/>
    </row>
    <row r="253" spans="1:23" s="612" customFormat="1" ht="18" customHeight="1" hidden="1" thickBot="1">
      <c r="A253" s="616"/>
      <c r="B253" s="1214" t="s">
        <v>736</v>
      </c>
      <c r="C253" s="617"/>
      <c r="D253" s="617"/>
      <c r="E253" s="617"/>
      <c r="F253" s="617"/>
      <c r="G253" s="617"/>
      <c r="H253" s="617"/>
      <c r="I253" s="617"/>
      <c r="J253" s="617"/>
      <c r="K253" s="617"/>
      <c r="L253" s="617"/>
      <c r="M253" s="617"/>
      <c r="N253" s="617"/>
      <c r="O253" s="617"/>
      <c r="P253" s="617"/>
      <c r="Q253" s="617"/>
      <c r="R253" s="617"/>
      <c r="S253" s="617"/>
      <c r="T253" s="617"/>
      <c r="U253" s="617"/>
      <c r="V253" s="1160">
        <f t="shared" si="8"/>
        <v>0</v>
      </c>
      <c r="W253" s="536"/>
    </row>
    <row r="254" spans="1:23" s="612" customFormat="1" ht="18" customHeight="1" hidden="1" thickBot="1">
      <c r="A254" s="543"/>
      <c r="B254" s="1203" t="s">
        <v>695</v>
      </c>
      <c r="C254" s="545"/>
      <c r="D254" s="545"/>
      <c r="E254" s="545"/>
      <c r="F254" s="545"/>
      <c r="G254" s="545"/>
      <c r="H254" s="545"/>
      <c r="I254" s="545"/>
      <c r="J254" s="545"/>
      <c r="K254" s="545"/>
      <c r="L254" s="545"/>
      <c r="M254" s="545"/>
      <c r="N254" s="545"/>
      <c r="O254" s="545"/>
      <c r="P254" s="545"/>
      <c r="Q254" s="545"/>
      <c r="R254" s="545"/>
      <c r="S254" s="545"/>
      <c r="T254" s="545"/>
      <c r="U254" s="545"/>
      <c r="V254" s="1160">
        <f t="shared" si="8"/>
        <v>0</v>
      </c>
      <c r="W254" s="536"/>
    </row>
    <row r="255" spans="1:23" s="612" customFormat="1" ht="19.5" customHeight="1" hidden="1">
      <c r="A255" s="618">
        <v>80111</v>
      </c>
      <c r="B255" s="1215" t="s">
        <v>737</v>
      </c>
      <c r="C255" s="619">
        <f>SUM(C256:C260)</f>
        <v>0</v>
      </c>
      <c r="D255" s="619">
        <f>SUM(D256:D260)</f>
        <v>0</v>
      </c>
      <c r="E255" s="619">
        <f aca="true" t="shared" si="11" ref="E255:U255">SUM(E256:E260)</f>
        <v>0</v>
      </c>
      <c r="F255" s="619">
        <f t="shared" si="11"/>
        <v>0</v>
      </c>
      <c r="G255" s="619">
        <f t="shared" si="11"/>
        <v>0</v>
      </c>
      <c r="H255" s="619">
        <f t="shared" si="11"/>
        <v>0</v>
      </c>
      <c r="I255" s="619">
        <f>SUM(I256:I260)</f>
        <v>0</v>
      </c>
      <c r="J255" s="619">
        <f>SUM(J256:J260)</f>
        <v>0</v>
      </c>
      <c r="K255" s="619">
        <f>SUM(K256:K260)</f>
        <v>0</v>
      </c>
      <c r="L255" s="619">
        <f t="shared" si="11"/>
        <v>0</v>
      </c>
      <c r="M255" s="619">
        <f t="shared" si="11"/>
        <v>0</v>
      </c>
      <c r="N255" s="619">
        <f t="shared" si="11"/>
        <v>0</v>
      </c>
      <c r="O255" s="619">
        <f t="shared" si="11"/>
        <v>0</v>
      </c>
      <c r="P255" s="619">
        <f t="shared" si="11"/>
        <v>0</v>
      </c>
      <c r="Q255" s="619">
        <f t="shared" si="11"/>
        <v>0</v>
      </c>
      <c r="R255" s="619">
        <f t="shared" si="11"/>
        <v>0</v>
      </c>
      <c r="S255" s="619">
        <f t="shared" si="11"/>
        <v>0</v>
      </c>
      <c r="T255" s="619">
        <f t="shared" si="11"/>
        <v>0</v>
      </c>
      <c r="U255" s="619">
        <f t="shared" si="11"/>
        <v>0</v>
      </c>
      <c r="V255" s="1160">
        <f t="shared" si="8"/>
        <v>0</v>
      </c>
      <c r="W255" s="569"/>
    </row>
    <row r="256" spans="1:23" s="612" customFormat="1" ht="18" customHeight="1" hidden="1">
      <c r="A256" s="600" t="s">
        <v>1298</v>
      </c>
      <c r="B256" s="555" t="s">
        <v>738</v>
      </c>
      <c r="C256" s="620"/>
      <c r="D256" s="620"/>
      <c r="E256" s="620"/>
      <c r="F256" s="620"/>
      <c r="G256" s="620"/>
      <c r="H256" s="620"/>
      <c r="I256" s="620"/>
      <c r="J256" s="620"/>
      <c r="K256" s="620"/>
      <c r="L256" s="620"/>
      <c r="M256" s="620"/>
      <c r="N256" s="620"/>
      <c r="O256" s="620"/>
      <c r="P256" s="620"/>
      <c r="Q256" s="620"/>
      <c r="R256" s="620"/>
      <c r="S256" s="620"/>
      <c r="T256" s="620"/>
      <c r="U256" s="620"/>
      <c r="V256" s="1160">
        <f t="shared" si="8"/>
        <v>0</v>
      </c>
      <c r="W256" s="536"/>
    </row>
    <row r="257" spans="1:23" s="612" customFormat="1" ht="26.25" hidden="1" thickBot="1">
      <c r="A257" s="621" t="s">
        <v>1299</v>
      </c>
      <c r="B257" s="1216" t="s">
        <v>739</v>
      </c>
      <c r="C257" s="622"/>
      <c r="D257" s="622"/>
      <c r="E257" s="622"/>
      <c r="F257" s="622"/>
      <c r="G257" s="622"/>
      <c r="H257" s="622"/>
      <c r="I257" s="622"/>
      <c r="J257" s="622"/>
      <c r="K257" s="622"/>
      <c r="L257" s="622"/>
      <c r="M257" s="622"/>
      <c r="N257" s="622"/>
      <c r="O257" s="622"/>
      <c r="P257" s="622"/>
      <c r="Q257" s="622"/>
      <c r="R257" s="622"/>
      <c r="S257" s="622"/>
      <c r="T257" s="622"/>
      <c r="U257" s="622"/>
      <c r="V257" s="1160">
        <f t="shared" si="8"/>
        <v>0</v>
      </c>
      <c r="W257" s="536"/>
    </row>
    <row r="258" spans="1:23" s="612" customFormat="1" ht="39" hidden="1" thickBot="1">
      <c r="A258" s="606" t="s">
        <v>1300</v>
      </c>
      <c r="B258" s="1217" t="s">
        <v>740</v>
      </c>
      <c r="C258" s="534"/>
      <c r="D258" s="534"/>
      <c r="E258" s="534"/>
      <c r="F258" s="534"/>
      <c r="G258" s="534"/>
      <c r="H258" s="534"/>
      <c r="I258" s="534"/>
      <c r="J258" s="534"/>
      <c r="K258" s="534"/>
      <c r="L258" s="534"/>
      <c r="M258" s="534"/>
      <c r="N258" s="534"/>
      <c r="O258" s="534"/>
      <c r="P258" s="534"/>
      <c r="Q258" s="534"/>
      <c r="R258" s="534"/>
      <c r="S258" s="534"/>
      <c r="T258" s="534"/>
      <c r="U258" s="534"/>
      <c r="V258" s="1160">
        <f t="shared" si="8"/>
        <v>0</v>
      </c>
      <c r="W258" s="536"/>
    </row>
    <row r="259" spans="1:23" s="612" customFormat="1" ht="39" hidden="1" thickBot="1">
      <c r="A259" s="621" t="s">
        <v>1301</v>
      </c>
      <c r="B259" s="1216" t="s">
        <v>741</v>
      </c>
      <c r="C259" s="622"/>
      <c r="D259" s="622"/>
      <c r="E259" s="622"/>
      <c r="F259" s="622"/>
      <c r="G259" s="622"/>
      <c r="H259" s="622"/>
      <c r="I259" s="622"/>
      <c r="J259" s="622"/>
      <c r="K259" s="622"/>
      <c r="L259" s="622"/>
      <c r="M259" s="622"/>
      <c r="N259" s="622"/>
      <c r="O259" s="622"/>
      <c r="P259" s="622"/>
      <c r="Q259" s="622"/>
      <c r="R259" s="622"/>
      <c r="S259" s="622"/>
      <c r="T259" s="622"/>
      <c r="U259" s="622"/>
      <c r="V259" s="1160">
        <f t="shared" si="8"/>
        <v>0</v>
      </c>
      <c r="W259" s="536"/>
    </row>
    <row r="260" spans="1:23" s="612" customFormat="1" ht="18" customHeight="1" hidden="1" thickBot="1">
      <c r="A260" s="543"/>
      <c r="B260" s="1203" t="s">
        <v>695</v>
      </c>
      <c r="C260" s="545"/>
      <c r="D260" s="545"/>
      <c r="E260" s="545"/>
      <c r="F260" s="545"/>
      <c r="G260" s="545"/>
      <c r="H260" s="545"/>
      <c r="I260" s="545"/>
      <c r="J260" s="545"/>
      <c r="K260" s="545"/>
      <c r="L260" s="545"/>
      <c r="M260" s="545"/>
      <c r="N260" s="545"/>
      <c r="O260" s="545"/>
      <c r="P260" s="545"/>
      <c r="Q260" s="545"/>
      <c r="R260" s="545"/>
      <c r="S260" s="545"/>
      <c r="T260" s="545"/>
      <c r="U260" s="545"/>
      <c r="V260" s="1162">
        <f t="shared" si="8"/>
        <v>0</v>
      </c>
      <c r="W260" s="536"/>
    </row>
    <row r="261" spans="1:23" s="612" customFormat="1" ht="27" customHeight="1" thickBot="1">
      <c r="A261" s="623">
        <v>80113</v>
      </c>
      <c r="B261" s="908" t="s">
        <v>742</v>
      </c>
      <c r="C261" s="624">
        <f>SUM(C262:C291)</f>
        <v>0</v>
      </c>
      <c r="D261" s="624">
        <f>SUM(D262:D291)</f>
        <v>0</v>
      </c>
      <c r="E261" s="624">
        <f>SUM(E262:E291)</f>
        <v>0</v>
      </c>
      <c r="F261" s="624"/>
      <c r="G261" s="624"/>
      <c r="H261" s="624"/>
      <c r="I261" s="624"/>
      <c r="J261" s="624"/>
      <c r="K261" s="624"/>
      <c r="L261" s="624"/>
      <c r="M261" s="624"/>
      <c r="N261" s="624"/>
      <c r="O261" s="624"/>
      <c r="P261" s="624"/>
      <c r="Q261" s="624"/>
      <c r="R261" s="624">
        <f>SUM(R262:R291)</f>
        <v>13490</v>
      </c>
      <c r="S261" s="624"/>
      <c r="T261" s="624"/>
      <c r="U261" s="624"/>
      <c r="V261" s="1158">
        <f t="shared" si="8"/>
        <v>13490</v>
      </c>
      <c r="W261" s="569"/>
    </row>
    <row r="262" spans="1:23" s="612" customFormat="1" ht="18" customHeight="1" hidden="1">
      <c r="A262" s="625" t="s">
        <v>1302</v>
      </c>
      <c r="B262" s="684" t="s">
        <v>604</v>
      </c>
      <c r="C262" s="626"/>
      <c r="D262" s="626"/>
      <c r="E262" s="626"/>
      <c r="F262" s="626"/>
      <c r="G262" s="626"/>
      <c r="H262" s="626"/>
      <c r="I262" s="626"/>
      <c r="J262" s="626"/>
      <c r="K262" s="626"/>
      <c r="L262" s="626"/>
      <c r="M262" s="626"/>
      <c r="N262" s="626"/>
      <c r="O262" s="626"/>
      <c r="P262" s="626"/>
      <c r="Q262" s="626"/>
      <c r="R262" s="626"/>
      <c r="S262" s="626"/>
      <c r="T262" s="626"/>
      <c r="U262" s="626"/>
      <c r="V262" s="1159">
        <f t="shared" si="8"/>
        <v>0</v>
      </c>
      <c r="W262" s="536"/>
    </row>
    <row r="263" spans="1:23" s="612" customFormat="1" ht="18" customHeight="1" hidden="1">
      <c r="A263" s="625" t="s">
        <v>1303</v>
      </c>
      <c r="B263" s="684" t="s">
        <v>605</v>
      </c>
      <c r="C263" s="626"/>
      <c r="D263" s="626"/>
      <c r="E263" s="626"/>
      <c r="F263" s="626"/>
      <c r="G263" s="626"/>
      <c r="H263" s="626"/>
      <c r="I263" s="626"/>
      <c r="J263" s="626"/>
      <c r="K263" s="626"/>
      <c r="L263" s="626"/>
      <c r="M263" s="626"/>
      <c r="N263" s="626"/>
      <c r="O263" s="626"/>
      <c r="P263" s="626"/>
      <c r="Q263" s="626"/>
      <c r="R263" s="626"/>
      <c r="S263" s="626"/>
      <c r="T263" s="626"/>
      <c r="U263" s="626"/>
      <c r="V263" s="1160">
        <f t="shared" si="8"/>
        <v>0</v>
      </c>
      <c r="W263" s="536"/>
    </row>
    <row r="264" spans="1:23" s="612" customFormat="1" ht="18" customHeight="1" hidden="1">
      <c r="A264" s="625" t="s">
        <v>1304</v>
      </c>
      <c r="B264" s="684" t="s">
        <v>608</v>
      </c>
      <c r="C264" s="626"/>
      <c r="D264" s="626"/>
      <c r="E264" s="626"/>
      <c r="F264" s="626"/>
      <c r="G264" s="626"/>
      <c r="H264" s="626"/>
      <c r="I264" s="626"/>
      <c r="J264" s="626"/>
      <c r="K264" s="626"/>
      <c r="L264" s="626"/>
      <c r="M264" s="626"/>
      <c r="N264" s="626"/>
      <c r="O264" s="626"/>
      <c r="P264" s="626"/>
      <c r="Q264" s="626"/>
      <c r="R264" s="626"/>
      <c r="S264" s="626"/>
      <c r="T264" s="626"/>
      <c r="U264" s="626"/>
      <c r="V264" s="1160">
        <f t="shared" si="8"/>
        <v>0</v>
      </c>
      <c r="W264" s="536"/>
    </row>
    <row r="265" spans="1:23" s="612" customFormat="1" ht="18" customHeight="1" hidden="1">
      <c r="A265" s="627" t="s">
        <v>1305</v>
      </c>
      <c r="B265" s="1201" t="s">
        <v>613</v>
      </c>
      <c r="C265" s="628"/>
      <c r="D265" s="628"/>
      <c r="E265" s="628"/>
      <c r="F265" s="628"/>
      <c r="G265" s="628"/>
      <c r="H265" s="628"/>
      <c r="I265" s="628"/>
      <c r="J265" s="628"/>
      <c r="K265" s="628"/>
      <c r="L265" s="628"/>
      <c r="M265" s="628"/>
      <c r="N265" s="628"/>
      <c r="O265" s="628"/>
      <c r="P265" s="628"/>
      <c r="Q265" s="628"/>
      <c r="R265" s="628"/>
      <c r="S265" s="628"/>
      <c r="T265" s="628"/>
      <c r="U265" s="628"/>
      <c r="V265" s="1160">
        <f t="shared" si="8"/>
        <v>0</v>
      </c>
      <c r="W265" s="536"/>
    </row>
    <row r="266" spans="1:23" s="612" customFormat="1" ht="18" customHeight="1" hidden="1">
      <c r="A266" s="627" t="s">
        <v>1306</v>
      </c>
      <c r="B266" s="1201" t="s">
        <v>648</v>
      </c>
      <c r="C266" s="628"/>
      <c r="D266" s="628"/>
      <c r="E266" s="628"/>
      <c r="F266" s="628"/>
      <c r="G266" s="628"/>
      <c r="H266" s="628"/>
      <c r="I266" s="628"/>
      <c r="J266" s="628"/>
      <c r="K266" s="628"/>
      <c r="L266" s="628"/>
      <c r="M266" s="628"/>
      <c r="N266" s="628"/>
      <c r="O266" s="628"/>
      <c r="P266" s="628"/>
      <c r="Q266" s="628"/>
      <c r="R266" s="628"/>
      <c r="S266" s="628"/>
      <c r="T266" s="628"/>
      <c r="U266" s="628"/>
      <c r="V266" s="1160">
        <f t="shared" si="8"/>
        <v>0</v>
      </c>
      <c r="W266" s="536"/>
    </row>
    <row r="267" spans="1:23" s="612" customFormat="1" ht="18" customHeight="1" hidden="1">
      <c r="A267" s="629" t="s">
        <v>1307</v>
      </c>
      <c r="B267" s="633" t="s">
        <v>653</v>
      </c>
      <c r="C267" s="630"/>
      <c r="D267" s="630"/>
      <c r="E267" s="630"/>
      <c r="F267" s="630"/>
      <c r="G267" s="630"/>
      <c r="H267" s="630"/>
      <c r="I267" s="630"/>
      <c r="J267" s="630"/>
      <c r="K267" s="630"/>
      <c r="L267" s="630"/>
      <c r="M267" s="630"/>
      <c r="N267" s="630"/>
      <c r="O267" s="630"/>
      <c r="P267" s="630"/>
      <c r="Q267" s="630"/>
      <c r="R267" s="630"/>
      <c r="S267" s="630"/>
      <c r="T267" s="630"/>
      <c r="U267" s="630"/>
      <c r="V267" s="1160">
        <f t="shared" si="8"/>
        <v>0</v>
      </c>
      <c r="W267" s="536"/>
    </row>
    <row r="268" spans="1:23" s="612" customFormat="1" ht="18" customHeight="1" hidden="1">
      <c r="A268" s="629" t="s">
        <v>1308</v>
      </c>
      <c r="B268" s="633" t="s">
        <v>654</v>
      </c>
      <c r="C268" s="630"/>
      <c r="D268" s="630"/>
      <c r="E268" s="630"/>
      <c r="F268" s="630"/>
      <c r="G268" s="630"/>
      <c r="H268" s="630"/>
      <c r="I268" s="630"/>
      <c r="J268" s="630"/>
      <c r="K268" s="630"/>
      <c r="L268" s="630"/>
      <c r="M268" s="630"/>
      <c r="N268" s="630"/>
      <c r="O268" s="630"/>
      <c r="P268" s="630"/>
      <c r="Q268" s="630"/>
      <c r="R268" s="630"/>
      <c r="S268" s="630"/>
      <c r="T268" s="630"/>
      <c r="U268" s="630"/>
      <c r="V268" s="1160">
        <f t="shared" si="8"/>
        <v>0</v>
      </c>
      <c r="W268" s="536"/>
    </row>
    <row r="269" spans="1:23" s="612" customFormat="1" ht="18" customHeight="1" hidden="1">
      <c r="A269" s="627" t="s">
        <v>1309</v>
      </c>
      <c r="B269" s="1201" t="s">
        <v>657</v>
      </c>
      <c r="C269" s="628"/>
      <c r="D269" s="628"/>
      <c r="E269" s="628"/>
      <c r="F269" s="628"/>
      <c r="G269" s="628"/>
      <c r="H269" s="628"/>
      <c r="I269" s="628"/>
      <c r="J269" s="628"/>
      <c r="K269" s="628"/>
      <c r="L269" s="628"/>
      <c r="M269" s="628"/>
      <c r="N269" s="628"/>
      <c r="O269" s="628"/>
      <c r="P269" s="628"/>
      <c r="Q269" s="628"/>
      <c r="R269" s="628"/>
      <c r="S269" s="628"/>
      <c r="T269" s="628"/>
      <c r="U269" s="628"/>
      <c r="V269" s="1160">
        <f t="shared" si="8"/>
        <v>0</v>
      </c>
      <c r="W269" s="536"/>
    </row>
    <row r="270" spans="1:23" s="612" customFormat="1" ht="18" customHeight="1" hidden="1">
      <c r="A270" s="627" t="s">
        <v>1310</v>
      </c>
      <c r="B270" s="1201" t="s">
        <v>658</v>
      </c>
      <c r="C270" s="628"/>
      <c r="D270" s="628"/>
      <c r="E270" s="628"/>
      <c r="F270" s="628"/>
      <c r="G270" s="628"/>
      <c r="H270" s="628"/>
      <c r="I270" s="628"/>
      <c r="J270" s="628"/>
      <c r="K270" s="628"/>
      <c r="L270" s="628"/>
      <c r="M270" s="628"/>
      <c r="N270" s="628"/>
      <c r="O270" s="628"/>
      <c r="P270" s="628"/>
      <c r="Q270" s="628"/>
      <c r="R270" s="628"/>
      <c r="S270" s="628"/>
      <c r="T270" s="628"/>
      <c r="U270" s="628"/>
      <c r="V270" s="1160">
        <f aca="true" t="shared" si="12" ref="V270:V334">SUM(C270:U270)</f>
        <v>0</v>
      </c>
      <c r="W270" s="536"/>
    </row>
    <row r="271" spans="1:23" s="612" customFormat="1" ht="18" customHeight="1" hidden="1" thickBot="1">
      <c r="A271" s="627" t="s">
        <v>1311</v>
      </c>
      <c r="B271" s="1201" t="s">
        <v>659</v>
      </c>
      <c r="C271" s="628"/>
      <c r="D271" s="628"/>
      <c r="E271" s="628"/>
      <c r="F271" s="628"/>
      <c r="G271" s="628"/>
      <c r="H271" s="628"/>
      <c r="I271" s="628"/>
      <c r="J271" s="628"/>
      <c r="K271" s="628"/>
      <c r="L271" s="628"/>
      <c r="M271" s="628"/>
      <c r="N271" s="628"/>
      <c r="O271" s="628"/>
      <c r="P271" s="628"/>
      <c r="Q271" s="628"/>
      <c r="R271" s="628"/>
      <c r="S271" s="628"/>
      <c r="T271" s="628"/>
      <c r="U271" s="628"/>
      <c r="V271" s="1160">
        <f t="shared" si="12"/>
        <v>0</v>
      </c>
      <c r="W271" s="536"/>
    </row>
    <row r="272" spans="1:23" s="612" customFormat="1" ht="18" customHeight="1" hidden="1">
      <c r="A272" s="627" t="s">
        <v>1312</v>
      </c>
      <c r="B272" s="1201" t="s">
        <v>662</v>
      </c>
      <c r="C272" s="628"/>
      <c r="D272" s="628"/>
      <c r="E272" s="628"/>
      <c r="F272" s="628"/>
      <c r="G272" s="628"/>
      <c r="H272" s="628"/>
      <c r="I272" s="628"/>
      <c r="J272" s="628"/>
      <c r="K272" s="628"/>
      <c r="L272" s="628"/>
      <c r="M272" s="628"/>
      <c r="N272" s="628"/>
      <c r="O272" s="628"/>
      <c r="P272" s="628"/>
      <c r="Q272" s="628"/>
      <c r="R272" s="628"/>
      <c r="S272" s="628"/>
      <c r="T272" s="628"/>
      <c r="U272" s="628"/>
      <c r="V272" s="1160">
        <f t="shared" si="12"/>
        <v>0</v>
      </c>
      <c r="W272" s="536"/>
    </row>
    <row r="273" spans="1:23" s="631" customFormat="1" ht="18" customHeight="1" hidden="1">
      <c r="A273" s="629" t="s">
        <v>1313</v>
      </c>
      <c r="B273" s="634" t="s">
        <v>670</v>
      </c>
      <c r="C273" s="630"/>
      <c r="D273" s="630"/>
      <c r="E273" s="630"/>
      <c r="F273" s="630"/>
      <c r="G273" s="630"/>
      <c r="H273" s="630"/>
      <c r="I273" s="630"/>
      <c r="J273" s="630"/>
      <c r="K273" s="630"/>
      <c r="L273" s="630"/>
      <c r="M273" s="630"/>
      <c r="N273" s="630"/>
      <c r="O273" s="630"/>
      <c r="P273" s="630"/>
      <c r="Q273" s="630"/>
      <c r="R273" s="630"/>
      <c r="S273" s="630"/>
      <c r="T273" s="630"/>
      <c r="U273" s="630"/>
      <c r="V273" s="1160">
        <f t="shared" si="12"/>
        <v>0</v>
      </c>
      <c r="W273" s="536"/>
    </row>
    <row r="274" spans="1:23" s="631" customFormat="1" ht="18" customHeight="1" hidden="1">
      <c r="A274" s="629" t="s">
        <v>1314</v>
      </c>
      <c r="B274" s="634" t="s">
        <v>680</v>
      </c>
      <c r="C274" s="630"/>
      <c r="D274" s="630"/>
      <c r="E274" s="630"/>
      <c r="F274" s="630"/>
      <c r="G274" s="630"/>
      <c r="H274" s="630"/>
      <c r="I274" s="630"/>
      <c r="J274" s="630"/>
      <c r="K274" s="630"/>
      <c r="L274" s="630"/>
      <c r="M274" s="630"/>
      <c r="N274" s="630"/>
      <c r="O274" s="630"/>
      <c r="P274" s="630"/>
      <c r="Q274" s="630"/>
      <c r="R274" s="630"/>
      <c r="S274" s="630"/>
      <c r="T274" s="630"/>
      <c r="U274" s="630"/>
      <c r="V274" s="1160">
        <f t="shared" si="12"/>
        <v>0</v>
      </c>
      <c r="W274" s="536"/>
    </row>
    <row r="275" spans="1:23" s="632" customFormat="1" ht="18" customHeight="1" hidden="1">
      <c r="A275" s="627" t="s">
        <v>1315</v>
      </c>
      <c r="B275" s="1218" t="s">
        <v>709</v>
      </c>
      <c r="C275" s="628"/>
      <c r="D275" s="628"/>
      <c r="E275" s="628"/>
      <c r="F275" s="628"/>
      <c r="G275" s="628"/>
      <c r="H275" s="628"/>
      <c r="I275" s="628"/>
      <c r="J275" s="628"/>
      <c r="K275" s="628"/>
      <c r="L275" s="628"/>
      <c r="M275" s="628"/>
      <c r="N275" s="628"/>
      <c r="O275" s="628"/>
      <c r="P275" s="628"/>
      <c r="Q275" s="628"/>
      <c r="R275" s="628"/>
      <c r="S275" s="628"/>
      <c r="T275" s="628"/>
      <c r="U275" s="628"/>
      <c r="V275" s="1160">
        <f t="shared" si="12"/>
        <v>0</v>
      </c>
      <c r="W275" s="536"/>
    </row>
    <row r="276" spans="1:23" s="632" customFormat="1" ht="18" customHeight="1" hidden="1">
      <c r="A276" s="629" t="s">
        <v>1316</v>
      </c>
      <c r="B276" s="634" t="s">
        <v>710</v>
      </c>
      <c r="C276" s="630"/>
      <c r="D276" s="630"/>
      <c r="E276" s="630"/>
      <c r="F276" s="630"/>
      <c r="G276" s="630"/>
      <c r="H276" s="630"/>
      <c r="I276" s="630"/>
      <c r="J276" s="630"/>
      <c r="K276" s="630"/>
      <c r="L276" s="630"/>
      <c r="M276" s="630"/>
      <c r="N276" s="630"/>
      <c r="O276" s="630"/>
      <c r="P276" s="630"/>
      <c r="Q276" s="630"/>
      <c r="R276" s="630"/>
      <c r="S276" s="630"/>
      <c r="T276" s="630"/>
      <c r="U276" s="630"/>
      <c r="V276" s="1160">
        <f t="shared" si="12"/>
        <v>0</v>
      </c>
      <c r="W276" s="536"/>
    </row>
    <row r="277" spans="1:23" s="632" customFormat="1" ht="18" customHeight="1" hidden="1">
      <c r="A277" s="629" t="s">
        <v>1317</v>
      </c>
      <c r="B277" s="634" t="s">
        <v>711</v>
      </c>
      <c r="C277" s="630"/>
      <c r="D277" s="630"/>
      <c r="E277" s="630"/>
      <c r="F277" s="630"/>
      <c r="G277" s="630"/>
      <c r="H277" s="630"/>
      <c r="I277" s="630"/>
      <c r="J277" s="630"/>
      <c r="K277" s="630"/>
      <c r="L277" s="630"/>
      <c r="M277" s="630"/>
      <c r="N277" s="630"/>
      <c r="O277" s="630"/>
      <c r="P277" s="630"/>
      <c r="Q277" s="630"/>
      <c r="R277" s="630"/>
      <c r="S277" s="630"/>
      <c r="T277" s="630"/>
      <c r="U277" s="630"/>
      <c r="V277" s="1160">
        <f t="shared" si="12"/>
        <v>0</v>
      </c>
      <c r="W277" s="536"/>
    </row>
    <row r="278" spans="1:23" s="632" customFormat="1" ht="18" customHeight="1">
      <c r="A278" s="1190" t="s">
        <v>1318</v>
      </c>
      <c r="B278" s="633" t="s">
        <v>743</v>
      </c>
      <c r="C278" s="630"/>
      <c r="D278" s="630"/>
      <c r="E278" s="630"/>
      <c r="F278" s="630"/>
      <c r="G278" s="630"/>
      <c r="H278" s="630"/>
      <c r="I278" s="630"/>
      <c r="J278" s="630"/>
      <c r="K278" s="630"/>
      <c r="L278" s="630"/>
      <c r="M278" s="630"/>
      <c r="N278" s="630"/>
      <c r="O278" s="630"/>
      <c r="P278" s="630"/>
      <c r="Q278" s="630"/>
      <c r="R278" s="630">
        <v>1490</v>
      </c>
      <c r="S278" s="630"/>
      <c r="T278" s="630"/>
      <c r="U278" s="630"/>
      <c r="V278" s="1161">
        <f t="shared" si="12"/>
        <v>1490</v>
      </c>
      <c r="W278" s="536"/>
    </row>
    <row r="279" spans="1:23" s="632" customFormat="1" ht="18" customHeight="1" hidden="1">
      <c r="A279" s="1190" t="s">
        <v>1319</v>
      </c>
      <c r="B279" s="634" t="s">
        <v>715</v>
      </c>
      <c r="C279" s="630"/>
      <c r="D279" s="630"/>
      <c r="E279" s="630"/>
      <c r="F279" s="630"/>
      <c r="G279" s="630"/>
      <c r="H279" s="630"/>
      <c r="I279" s="630"/>
      <c r="J279" s="630"/>
      <c r="K279" s="630"/>
      <c r="L279" s="630"/>
      <c r="M279" s="630"/>
      <c r="N279" s="630"/>
      <c r="O279" s="630"/>
      <c r="P279" s="630"/>
      <c r="Q279" s="630"/>
      <c r="R279" s="630"/>
      <c r="S279" s="630"/>
      <c r="T279" s="630"/>
      <c r="U279" s="630"/>
      <c r="V279" s="1161">
        <f t="shared" si="12"/>
        <v>0</v>
      </c>
      <c r="W279" s="536"/>
    </row>
    <row r="280" spans="1:23" s="609" customFormat="1" ht="18" customHeight="1" hidden="1">
      <c r="A280" s="1190" t="s">
        <v>1320</v>
      </c>
      <c r="B280" s="634" t="s">
        <v>717</v>
      </c>
      <c r="C280" s="630"/>
      <c r="D280" s="630"/>
      <c r="E280" s="630"/>
      <c r="F280" s="630"/>
      <c r="G280" s="630"/>
      <c r="H280" s="630"/>
      <c r="I280" s="630"/>
      <c r="J280" s="630"/>
      <c r="K280" s="630"/>
      <c r="L280" s="630"/>
      <c r="M280" s="630"/>
      <c r="N280" s="630"/>
      <c r="O280" s="630"/>
      <c r="P280" s="630"/>
      <c r="Q280" s="630"/>
      <c r="R280" s="630"/>
      <c r="S280" s="630"/>
      <c r="T280" s="630"/>
      <c r="U280" s="630"/>
      <c r="V280" s="1161">
        <f t="shared" si="12"/>
        <v>0</v>
      </c>
      <c r="W280" s="536"/>
    </row>
    <row r="281" spans="1:23" s="609" customFormat="1" ht="18" customHeight="1" hidden="1">
      <c r="A281" s="1190" t="s">
        <v>1321</v>
      </c>
      <c r="B281" s="634" t="s">
        <v>718</v>
      </c>
      <c r="C281" s="630"/>
      <c r="D281" s="630"/>
      <c r="E281" s="630"/>
      <c r="F281" s="630"/>
      <c r="G281" s="630"/>
      <c r="H281" s="630"/>
      <c r="I281" s="630"/>
      <c r="J281" s="630"/>
      <c r="K281" s="630"/>
      <c r="L281" s="630"/>
      <c r="M281" s="630"/>
      <c r="N281" s="630"/>
      <c r="O281" s="630"/>
      <c r="P281" s="630"/>
      <c r="Q281" s="630"/>
      <c r="R281" s="630"/>
      <c r="S281" s="630"/>
      <c r="T281" s="630"/>
      <c r="U281" s="630"/>
      <c r="V281" s="1161">
        <f t="shared" si="12"/>
        <v>0</v>
      </c>
      <c r="W281" s="536"/>
    </row>
    <row r="282" spans="1:23" s="609" customFormat="1" ht="18" customHeight="1">
      <c r="A282" s="1190"/>
      <c r="B282" s="633" t="s">
        <v>1021</v>
      </c>
      <c r="C282" s="630"/>
      <c r="D282" s="630"/>
      <c r="E282" s="630"/>
      <c r="F282" s="630"/>
      <c r="G282" s="630"/>
      <c r="H282" s="630"/>
      <c r="I282" s="630"/>
      <c r="J282" s="630"/>
      <c r="K282" s="630"/>
      <c r="L282" s="630"/>
      <c r="M282" s="630"/>
      <c r="N282" s="630"/>
      <c r="O282" s="630"/>
      <c r="P282" s="630"/>
      <c r="Q282" s="630"/>
      <c r="R282" s="630">
        <v>900</v>
      </c>
      <c r="S282" s="630"/>
      <c r="T282" s="630"/>
      <c r="U282" s="630"/>
      <c r="V282" s="1161">
        <f t="shared" si="12"/>
        <v>900</v>
      </c>
      <c r="W282" s="536"/>
    </row>
    <row r="283" spans="1:23" s="609" customFormat="1" ht="18" customHeight="1">
      <c r="A283" s="1190" t="s">
        <v>781</v>
      </c>
      <c r="B283" s="634" t="s">
        <v>719</v>
      </c>
      <c r="C283" s="630"/>
      <c r="D283" s="630"/>
      <c r="E283" s="630"/>
      <c r="F283" s="630"/>
      <c r="G283" s="630"/>
      <c r="H283" s="630"/>
      <c r="I283" s="630"/>
      <c r="J283" s="630"/>
      <c r="K283" s="630"/>
      <c r="L283" s="630"/>
      <c r="M283" s="630"/>
      <c r="N283" s="630"/>
      <c r="O283" s="630"/>
      <c r="P283" s="630"/>
      <c r="Q283" s="630"/>
      <c r="R283" s="630">
        <v>11000</v>
      </c>
      <c r="S283" s="630"/>
      <c r="T283" s="630"/>
      <c r="U283" s="630"/>
      <c r="V283" s="1161">
        <f t="shared" si="12"/>
        <v>11000</v>
      </c>
      <c r="W283" s="536"/>
    </row>
    <row r="284" spans="1:23" s="609" customFormat="1" ht="18" customHeight="1" thickBot="1">
      <c r="A284" s="1190" t="s">
        <v>1322</v>
      </c>
      <c r="B284" s="633" t="s">
        <v>721</v>
      </c>
      <c r="C284" s="630"/>
      <c r="D284" s="630"/>
      <c r="E284" s="630"/>
      <c r="F284" s="630"/>
      <c r="G284" s="630"/>
      <c r="H284" s="630"/>
      <c r="I284" s="630"/>
      <c r="J284" s="630"/>
      <c r="K284" s="630"/>
      <c r="L284" s="630"/>
      <c r="M284" s="630"/>
      <c r="N284" s="630"/>
      <c r="O284" s="630"/>
      <c r="P284" s="630"/>
      <c r="Q284" s="630"/>
      <c r="R284" s="630">
        <v>100</v>
      </c>
      <c r="S284" s="630"/>
      <c r="T284" s="630"/>
      <c r="U284" s="630"/>
      <c r="V284" s="1161">
        <f t="shared" si="12"/>
        <v>100</v>
      </c>
      <c r="W284" s="536"/>
    </row>
    <row r="285" spans="1:23" s="609" customFormat="1" ht="18" customHeight="1" hidden="1">
      <c r="A285" s="627" t="s">
        <v>1323</v>
      </c>
      <c r="B285" s="1218" t="s">
        <v>722</v>
      </c>
      <c r="C285" s="628"/>
      <c r="D285" s="628"/>
      <c r="E285" s="628"/>
      <c r="F285" s="628"/>
      <c r="G285" s="628"/>
      <c r="H285" s="628"/>
      <c r="I285" s="628"/>
      <c r="J285" s="628"/>
      <c r="K285" s="628"/>
      <c r="L285" s="628"/>
      <c r="M285" s="628"/>
      <c r="N285" s="628"/>
      <c r="O285" s="628"/>
      <c r="P285" s="628"/>
      <c r="Q285" s="628"/>
      <c r="R285" s="628"/>
      <c r="S285" s="628"/>
      <c r="T285" s="628"/>
      <c r="U285" s="628"/>
      <c r="V285" s="1160">
        <f t="shared" si="12"/>
        <v>0</v>
      </c>
      <c r="W285" s="536"/>
    </row>
    <row r="286" spans="1:23" s="609" customFormat="1" ht="18" customHeight="1" hidden="1">
      <c r="A286" s="629" t="s">
        <v>1324</v>
      </c>
      <c r="B286" s="634" t="s">
        <v>723</v>
      </c>
      <c r="C286" s="630"/>
      <c r="D286" s="630"/>
      <c r="E286" s="630"/>
      <c r="F286" s="630"/>
      <c r="G286" s="630"/>
      <c r="H286" s="630"/>
      <c r="I286" s="630"/>
      <c r="J286" s="630"/>
      <c r="K286" s="630"/>
      <c r="L286" s="630"/>
      <c r="M286" s="630"/>
      <c r="N286" s="630"/>
      <c r="O286" s="630"/>
      <c r="P286" s="630"/>
      <c r="Q286" s="630"/>
      <c r="R286" s="630"/>
      <c r="S286" s="630"/>
      <c r="T286" s="630"/>
      <c r="U286" s="630"/>
      <c r="V286" s="1160">
        <f t="shared" si="12"/>
        <v>0</v>
      </c>
      <c r="W286" s="536"/>
    </row>
    <row r="287" spans="1:23" s="609" customFormat="1" ht="18" customHeight="1" hidden="1">
      <c r="A287" s="627" t="s">
        <v>1325</v>
      </c>
      <c r="B287" s="1218" t="s">
        <v>725</v>
      </c>
      <c r="C287" s="628"/>
      <c r="D287" s="628"/>
      <c r="E287" s="628"/>
      <c r="F287" s="628"/>
      <c r="G287" s="628"/>
      <c r="H287" s="628"/>
      <c r="I287" s="628"/>
      <c r="J287" s="628"/>
      <c r="K287" s="628"/>
      <c r="L287" s="628"/>
      <c r="M287" s="628"/>
      <c r="N287" s="628"/>
      <c r="O287" s="628"/>
      <c r="P287" s="628"/>
      <c r="Q287" s="628"/>
      <c r="R287" s="628"/>
      <c r="S287" s="628"/>
      <c r="T287" s="628"/>
      <c r="U287" s="628"/>
      <c r="V287" s="1160">
        <f t="shared" si="12"/>
        <v>0</v>
      </c>
      <c r="W287" s="536"/>
    </row>
    <row r="288" spans="1:23" s="609" customFormat="1" ht="18" customHeight="1" hidden="1" thickBot="1">
      <c r="A288" s="627" t="s">
        <v>1326</v>
      </c>
      <c r="B288" s="1218" t="s">
        <v>726</v>
      </c>
      <c r="C288" s="628"/>
      <c r="D288" s="628"/>
      <c r="E288" s="628"/>
      <c r="F288" s="628"/>
      <c r="G288" s="628"/>
      <c r="H288" s="628"/>
      <c r="I288" s="628"/>
      <c r="J288" s="628"/>
      <c r="K288" s="628"/>
      <c r="L288" s="628"/>
      <c r="M288" s="628"/>
      <c r="N288" s="628"/>
      <c r="O288" s="628"/>
      <c r="P288" s="628"/>
      <c r="Q288" s="628"/>
      <c r="R288" s="628"/>
      <c r="S288" s="628"/>
      <c r="T288" s="628"/>
      <c r="U288" s="628"/>
      <c r="V288" s="1160">
        <f t="shared" si="12"/>
        <v>0</v>
      </c>
      <c r="W288" s="536"/>
    </row>
    <row r="289" spans="1:23" s="609" customFormat="1" ht="18" customHeight="1" hidden="1" thickBot="1">
      <c r="A289" s="629" t="s">
        <v>1327</v>
      </c>
      <c r="B289" s="634" t="s">
        <v>727</v>
      </c>
      <c r="C289" s="630"/>
      <c r="D289" s="630"/>
      <c r="E289" s="630"/>
      <c r="F289" s="630"/>
      <c r="G289" s="630"/>
      <c r="H289" s="630"/>
      <c r="I289" s="630"/>
      <c r="J289" s="630"/>
      <c r="K289" s="630"/>
      <c r="L289" s="630"/>
      <c r="M289" s="630"/>
      <c r="N289" s="630"/>
      <c r="O289" s="630"/>
      <c r="P289" s="630"/>
      <c r="Q289" s="630"/>
      <c r="R289" s="630"/>
      <c r="S289" s="630"/>
      <c r="T289" s="630"/>
      <c r="U289" s="630"/>
      <c r="V289" s="1160">
        <f t="shared" si="12"/>
        <v>0</v>
      </c>
      <c r="W289" s="536"/>
    </row>
    <row r="290" spans="1:23" s="609" customFormat="1" ht="18" customHeight="1" hidden="1">
      <c r="A290" s="635" t="s">
        <v>1328</v>
      </c>
      <c r="B290" s="1219" t="s">
        <v>702</v>
      </c>
      <c r="C290" s="636"/>
      <c r="D290" s="636"/>
      <c r="E290" s="636"/>
      <c r="F290" s="636"/>
      <c r="G290" s="636"/>
      <c r="H290" s="636"/>
      <c r="I290" s="636"/>
      <c r="J290" s="636"/>
      <c r="K290" s="636"/>
      <c r="L290" s="636"/>
      <c r="M290" s="636"/>
      <c r="N290" s="636"/>
      <c r="O290" s="636"/>
      <c r="P290" s="636"/>
      <c r="Q290" s="636"/>
      <c r="R290" s="636"/>
      <c r="S290" s="636"/>
      <c r="T290" s="636"/>
      <c r="U290" s="636"/>
      <c r="V290" s="1160">
        <f t="shared" si="12"/>
        <v>0</v>
      </c>
      <c r="W290" s="536"/>
    </row>
    <row r="291" spans="1:23" s="609" customFormat="1" ht="18" customHeight="1" hidden="1" thickBot="1">
      <c r="A291" s="543"/>
      <c r="B291" s="1203" t="s">
        <v>695</v>
      </c>
      <c r="C291" s="545"/>
      <c r="D291" s="545"/>
      <c r="E291" s="545"/>
      <c r="F291" s="545"/>
      <c r="G291" s="545"/>
      <c r="H291" s="545"/>
      <c r="I291" s="545"/>
      <c r="J291" s="545"/>
      <c r="K291" s="545"/>
      <c r="L291" s="545"/>
      <c r="M291" s="545"/>
      <c r="N291" s="545"/>
      <c r="O291" s="545"/>
      <c r="P291" s="545"/>
      <c r="Q291" s="545"/>
      <c r="R291" s="545"/>
      <c r="S291" s="545"/>
      <c r="T291" s="545"/>
      <c r="U291" s="545"/>
      <c r="V291" s="1162">
        <f t="shared" si="12"/>
        <v>0</v>
      </c>
      <c r="W291" s="536"/>
    </row>
    <row r="292" spans="1:23" s="609" customFormat="1" ht="19.5" customHeight="1" thickBot="1">
      <c r="A292" s="637">
        <v>80120</v>
      </c>
      <c r="B292" s="598" t="s">
        <v>900</v>
      </c>
      <c r="C292" s="624">
        <f>SUM(C293:C330)</f>
        <v>0</v>
      </c>
      <c r="D292" s="624">
        <f>SUM(D293:D330)</f>
        <v>0</v>
      </c>
      <c r="E292" s="624">
        <f>SUM(E293:E330)</f>
        <v>0</v>
      </c>
      <c r="F292" s="624"/>
      <c r="G292" s="624"/>
      <c r="H292" s="624"/>
      <c r="I292" s="624"/>
      <c r="J292" s="624"/>
      <c r="K292" s="624"/>
      <c r="L292" s="624"/>
      <c r="M292" s="624">
        <f>SUM(M293:M330)</f>
        <v>3000</v>
      </c>
      <c r="N292" s="624"/>
      <c r="O292" s="624">
        <f>SUM(O293:O330)</f>
        <v>5000</v>
      </c>
      <c r="P292" s="624"/>
      <c r="Q292" s="624">
        <f>SUM(Q293:Q330)</f>
        <v>400</v>
      </c>
      <c r="R292" s="624"/>
      <c r="S292" s="624"/>
      <c r="T292" s="624"/>
      <c r="U292" s="624"/>
      <c r="V292" s="1158">
        <f t="shared" si="12"/>
        <v>8400</v>
      </c>
      <c r="W292" s="569"/>
    </row>
    <row r="293" spans="1:23" s="609" customFormat="1" ht="18" customHeight="1">
      <c r="A293" s="1191" t="s">
        <v>1329</v>
      </c>
      <c r="B293" s="638" t="s">
        <v>744</v>
      </c>
      <c r="C293" s="639"/>
      <c r="D293" s="639"/>
      <c r="E293" s="639"/>
      <c r="F293" s="639"/>
      <c r="G293" s="639"/>
      <c r="H293" s="639"/>
      <c r="I293" s="639"/>
      <c r="J293" s="639"/>
      <c r="K293" s="639"/>
      <c r="L293" s="639"/>
      <c r="M293" s="639"/>
      <c r="N293" s="639"/>
      <c r="O293" s="639"/>
      <c r="P293" s="639"/>
      <c r="Q293" s="639">
        <v>400</v>
      </c>
      <c r="R293" s="639"/>
      <c r="S293" s="639"/>
      <c r="T293" s="639"/>
      <c r="U293" s="639"/>
      <c r="V293" s="1164">
        <f t="shared" si="12"/>
        <v>400</v>
      </c>
      <c r="W293" s="536"/>
    </row>
    <row r="294" spans="1:23" s="609" customFormat="1" ht="18" customHeight="1" hidden="1">
      <c r="A294" s="1192" t="s">
        <v>1330</v>
      </c>
      <c r="B294" s="640" t="s">
        <v>745</v>
      </c>
      <c r="C294" s="630"/>
      <c r="D294" s="630"/>
      <c r="E294" s="630"/>
      <c r="F294" s="630"/>
      <c r="G294" s="630"/>
      <c r="H294" s="630"/>
      <c r="I294" s="630"/>
      <c r="J294" s="630"/>
      <c r="K294" s="630"/>
      <c r="L294" s="630"/>
      <c r="M294" s="630"/>
      <c r="N294" s="630"/>
      <c r="O294" s="630"/>
      <c r="P294" s="630"/>
      <c r="Q294" s="630"/>
      <c r="R294" s="630"/>
      <c r="S294" s="630"/>
      <c r="T294" s="630"/>
      <c r="U294" s="630"/>
      <c r="V294" s="1161">
        <f t="shared" si="12"/>
        <v>0</v>
      </c>
      <c r="W294" s="536"/>
    </row>
    <row r="295" spans="1:23" s="609" customFormat="1" ht="18" customHeight="1" hidden="1">
      <c r="A295" s="1192" t="s">
        <v>1331</v>
      </c>
      <c r="B295" s="640" t="s">
        <v>746</v>
      </c>
      <c r="C295" s="630"/>
      <c r="D295" s="630"/>
      <c r="E295" s="630"/>
      <c r="F295" s="630"/>
      <c r="G295" s="630"/>
      <c r="H295" s="630"/>
      <c r="I295" s="630"/>
      <c r="J295" s="630"/>
      <c r="K295" s="630"/>
      <c r="L295" s="630"/>
      <c r="M295" s="630"/>
      <c r="N295" s="630"/>
      <c r="O295" s="630"/>
      <c r="P295" s="630"/>
      <c r="Q295" s="630"/>
      <c r="R295" s="630"/>
      <c r="S295" s="630"/>
      <c r="T295" s="630"/>
      <c r="U295" s="630"/>
      <c r="V295" s="1161">
        <f t="shared" si="12"/>
        <v>0</v>
      </c>
      <c r="W295" s="536"/>
    </row>
    <row r="296" spans="1:23" s="609" customFormat="1" ht="18" customHeight="1" hidden="1">
      <c r="A296" s="1192" t="s">
        <v>1332</v>
      </c>
      <c r="B296" s="640" t="s">
        <v>747</v>
      </c>
      <c r="C296" s="630"/>
      <c r="D296" s="630"/>
      <c r="E296" s="630"/>
      <c r="F296" s="630"/>
      <c r="G296" s="630"/>
      <c r="H296" s="630"/>
      <c r="I296" s="630"/>
      <c r="J296" s="630"/>
      <c r="K296" s="630"/>
      <c r="L296" s="630"/>
      <c r="M296" s="630"/>
      <c r="N296" s="630"/>
      <c r="O296" s="630"/>
      <c r="P296" s="630"/>
      <c r="Q296" s="630"/>
      <c r="R296" s="630"/>
      <c r="S296" s="630"/>
      <c r="T296" s="630"/>
      <c r="U296" s="630"/>
      <c r="V296" s="1161">
        <f t="shared" si="12"/>
        <v>0</v>
      </c>
      <c r="W296" s="536"/>
    </row>
    <row r="297" spans="1:23" s="609" customFormat="1" ht="18" customHeight="1" hidden="1">
      <c r="A297" s="1192" t="s">
        <v>1333</v>
      </c>
      <c r="B297" s="641" t="s">
        <v>748</v>
      </c>
      <c r="C297" s="630"/>
      <c r="D297" s="630"/>
      <c r="E297" s="630"/>
      <c r="F297" s="630"/>
      <c r="G297" s="630"/>
      <c r="H297" s="630"/>
      <c r="I297" s="630"/>
      <c r="J297" s="630"/>
      <c r="K297" s="630"/>
      <c r="L297" s="630"/>
      <c r="M297" s="630"/>
      <c r="N297" s="630"/>
      <c r="O297" s="630"/>
      <c r="P297" s="630"/>
      <c r="Q297" s="630"/>
      <c r="R297" s="630"/>
      <c r="S297" s="630"/>
      <c r="T297" s="630"/>
      <c r="U297" s="630"/>
      <c r="V297" s="1161">
        <f t="shared" si="12"/>
        <v>0</v>
      </c>
      <c r="W297" s="536"/>
    </row>
    <row r="298" spans="1:23" s="609" customFormat="1" ht="18" customHeight="1" hidden="1">
      <c r="A298" s="1192" t="s">
        <v>1334</v>
      </c>
      <c r="B298" s="640" t="s">
        <v>749</v>
      </c>
      <c r="C298" s="630"/>
      <c r="D298" s="630"/>
      <c r="E298" s="630"/>
      <c r="F298" s="630"/>
      <c r="G298" s="630"/>
      <c r="H298" s="630"/>
      <c r="I298" s="630"/>
      <c r="J298" s="630"/>
      <c r="K298" s="630"/>
      <c r="L298" s="630"/>
      <c r="M298" s="630"/>
      <c r="N298" s="630"/>
      <c r="O298" s="630"/>
      <c r="P298" s="630"/>
      <c r="Q298" s="630"/>
      <c r="R298" s="630"/>
      <c r="S298" s="630"/>
      <c r="T298" s="630"/>
      <c r="U298" s="630"/>
      <c r="V298" s="1161">
        <f t="shared" si="12"/>
        <v>0</v>
      </c>
      <c r="W298" s="536"/>
    </row>
    <row r="299" spans="1:23" s="609" customFormat="1" ht="18" customHeight="1" hidden="1">
      <c r="A299" s="1192" t="s">
        <v>1335</v>
      </c>
      <c r="B299" s="640" t="s">
        <v>750</v>
      </c>
      <c r="C299" s="630"/>
      <c r="D299" s="630"/>
      <c r="E299" s="630"/>
      <c r="F299" s="630"/>
      <c r="G299" s="630"/>
      <c r="H299" s="630"/>
      <c r="I299" s="630"/>
      <c r="J299" s="630"/>
      <c r="K299" s="630"/>
      <c r="L299" s="630"/>
      <c r="M299" s="630"/>
      <c r="N299" s="630"/>
      <c r="O299" s="630"/>
      <c r="P299" s="630"/>
      <c r="Q299" s="630"/>
      <c r="R299" s="630"/>
      <c r="S299" s="630"/>
      <c r="T299" s="630"/>
      <c r="U299" s="630"/>
      <c r="V299" s="1161">
        <f t="shared" si="12"/>
        <v>0</v>
      </c>
      <c r="W299" s="536"/>
    </row>
    <row r="300" spans="1:23" s="609" customFormat="1" ht="18" customHeight="1">
      <c r="A300" s="1192" t="s">
        <v>1336</v>
      </c>
      <c r="B300" s="641" t="s">
        <v>751</v>
      </c>
      <c r="C300" s="630"/>
      <c r="D300" s="630"/>
      <c r="E300" s="630"/>
      <c r="F300" s="630"/>
      <c r="G300" s="630"/>
      <c r="H300" s="630"/>
      <c r="I300" s="630"/>
      <c r="J300" s="630"/>
      <c r="K300" s="630"/>
      <c r="L300" s="630"/>
      <c r="M300" s="630">
        <v>1000</v>
      </c>
      <c r="N300" s="630"/>
      <c r="O300" s="630"/>
      <c r="P300" s="630"/>
      <c r="Q300" s="630"/>
      <c r="R300" s="630"/>
      <c r="S300" s="630"/>
      <c r="T300" s="630"/>
      <c r="U300" s="630"/>
      <c r="V300" s="1161">
        <f t="shared" si="12"/>
        <v>1000</v>
      </c>
      <c r="W300" s="536"/>
    </row>
    <row r="301" spans="1:23" s="609" customFormat="1" ht="18" customHeight="1" hidden="1">
      <c r="A301" s="1192" t="s">
        <v>1337</v>
      </c>
      <c r="B301" s="640" t="s">
        <v>752</v>
      </c>
      <c r="C301" s="630"/>
      <c r="D301" s="630"/>
      <c r="E301" s="630"/>
      <c r="F301" s="630"/>
      <c r="G301" s="630"/>
      <c r="H301" s="630"/>
      <c r="I301" s="630"/>
      <c r="J301" s="630"/>
      <c r="K301" s="630"/>
      <c r="L301" s="630"/>
      <c r="M301" s="630"/>
      <c r="N301" s="630"/>
      <c r="O301" s="630"/>
      <c r="P301" s="630"/>
      <c r="Q301" s="630"/>
      <c r="R301" s="630"/>
      <c r="S301" s="630"/>
      <c r="T301" s="630"/>
      <c r="U301" s="630"/>
      <c r="V301" s="1161">
        <f t="shared" si="12"/>
        <v>0</v>
      </c>
      <c r="W301" s="536"/>
    </row>
    <row r="302" spans="1:23" s="609" customFormat="1" ht="18" customHeight="1" hidden="1">
      <c r="A302" s="1192" t="s">
        <v>1338</v>
      </c>
      <c r="B302" s="640" t="s">
        <v>782</v>
      </c>
      <c r="C302" s="630"/>
      <c r="D302" s="630"/>
      <c r="E302" s="630"/>
      <c r="F302" s="630"/>
      <c r="G302" s="630"/>
      <c r="H302" s="630"/>
      <c r="I302" s="630"/>
      <c r="J302" s="630"/>
      <c r="K302" s="630"/>
      <c r="L302" s="630"/>
      <c r="M302" s="630"/>
      <c r="N302" s="630"/>
      <c r="O302" s="630"/>
      <c r="P302" s="630"/>
      <c r="Q302" s="630"/>
      <c r="R302" s="630"/>
      <c r="S302" s="630"/>
      <c r="T302" s="630"/>
      <c r="U302" s="630"/>
      <c r="V302" s="1161">
        <f t="shared" si="12"/>
        <v>0</v>
      </c>
      <c r="W302" s="536"/>
    </row>
    <row r="303" spans="1:23" s="609" customFormat="1" ht="25.5" hidden="1">
      <c r="A303" s="1192" t="s">
        <v>1339</v>
      </c>
      <c r="B303" s="641" t="s">
        <v>754</v>
      </c>
      <c r="C303" s="630"/>
      <c r="D303" s="630"/>
      <c r="E303" s="630"/>
      <c r="F303" s="630"/>
      <c r="G303" s="630"/>
      <c r="H303" s="630"/>
      <c r="I303" s="630"/>
      <c r="J303" s="630"/>
      <c r="K303" s="630"/>
      <c r="L303" s="630"/>
      <c r="M303" s="630"/>
      <c r="N303" s="630"/>
      <c r="O303" s="630"/>
      <c r="P303" s="630"/>
      <c r="Q303" s="630"/>
      <c r="R303" s="630"/>
      <c r="S303" s="630"/>
      <c r="T303" s="630"/>
      <c r="U303" s="630"/>
      <c r="V303" s="1161">
        <f t="shared" si="12"/>
        <v>0</v>
      </c>
      <c r="W303" s="536"/>
    </row>
    <row r="304" spans="1:23" s="609" customFormat="1" ht="18" customHeight="1" hidden="1">
      <c r="A304" s="1192" t="s">
        <v>1340</v>
      </c>
      <c r="B304" s="640" t="s">
        <v>755</v>
      </c>
      <c r="C304" s="630"/>
      <c r="D304" s="630"/>
      <c r="E304" s="630"/>
      <c r="F304" s="630"/>
      <c r="G304" s="630"/>
      <c r="H304" s="630"/>
      <c r="I304" s="630"/>
      <c r="J304" s="630"/>
      <c r="K304" s="630"/>
      <c r="L304" s="630"/>
      <c r="M304" s="630"/>
      <c r="N304" s="630"/>
      <c r="O304" s="630"/>
      <c r="P304" s="630"/>
      <c r="Q304" s="630"/>
      <c r="R304" s="630"/>
      <c r="S304" s="630"/>
      <c r="T304" s="630"/>
      <c r="U304" s="630"/>
      <c r="V304" s="1161">
        <f t="shared" si="12"/>
        <v>0</v>
      </c>
      <c r="W304" s="536"/>
    </row>
    <row r="305" spans="1:23" s="609" customFormat="1" ht="18" customHeight="1">
      <c r="A305" s="1192" t="s">
        <v>1341</v>
      </c>
      <c r="B305" s="641" t="s">
        <v>1078</v>
      </c>
      <c r="C305" s="630"/>
      <c r="D305" s="630"/>
      <c r="E305" s="630"/>
      <c r="F305" s="630"/>
      <c r="G305" s="630"/>
      <c r="H305" s="630"/>
      <c r="I305" s="630"/>
      <c r="J305" s="630"/>
      <c r="K305" s="630"/>
      <c r="L305" s="630"/>
      <c r="M305" s="630"/>
      <c r="N305" s="630"/>
      <c r="O305" s="630">
        <v>5000</v>
      </c>
      <c r="P305" s="630"/>
      <c r="Q305" s="630"/>
      <c r="R305" s="630"/>
      <c r="S305" s="630"/>
      <c r="T305" s="630"/>
      <c r="U305" s="630"/>
      <c r="V305" s="1161">
        <f t="shared" si="12"/>
        <v>5000</v>
      </c>
      <c r="W305" s="536"/>
    </row>
    <row r="306" spans="1:23" s="609" customFormat="1" ht="18" customHeight="1" hidden="1">
      <c r="A306" s="1192" t="s">
        <v>1342</v>
      </c>
      <c r="B306" s="640" t="s">
        <v>756</v>
      </c>
      <c r="C306" s="630"/>
      <c r="D306" s="630"/>
      <c r="E306" s="630"/>
      <c r="F306" s="630"/>
      <c r="G306" s="630"/>
      <c r="H306" s="630"/>
      <c r="I306" s="630"/>
      <c r="J306" s="630"/>
      <c r="K306" s="630"/>
      <c r="L306" s="630"/>
      <c r="M306" s="630"/>
      <c r="N306" s="630"/>
      <c r="O306" s="630"/>
      <c r="P306" s="630"/>
      <c r="Q306" s="630"/>
      <c r="R306" s="630"/>
      <c r="S306" s="630"/>
      <c r="T306" s="630"/>
      <c r="U306" s="630"/>
      <c r="V306" s="1161">
        <f t="shared" si="12"/>
        <v>0</v>
      </c>
      <c r="W306" s="536"/>
    </row>
    <row r="307" spans="1:23" s="609" customFormat="1" ht="25.5" hidden="1">
      <c r="A307" s="1192" t="s">
        <v>1343</v>
      </c>
      <c r="B307" s="640" t="s">
        <v>758</v>
      </c>
      <c r="C307" s="630"/>
      <c r="D307" s="630"/>
      <c r="E307" s="630"/>
      <c r="F307" s="630"/>
      <c r="G307" s="630"/>
      <c r="H307" s="630"/>
      <c r="I307" s="630"/>
      <c r="J307" s="630"/>
      <c r="K307" s="630"/>
      <c r="L307" s="630"/>
      <c r="M307" s="630"/>
      <c r="N307" s="630"/>
      <c r="O307" s="630"/>
      <c r="P307" s="630"/>
      <c r="Q307" s="630"/>
      <c r="R307" s="630"/>
      <c r="S307" s="630"/>
      <c r="T307" s="630"/>
      <c r="U307" s="630"/>
      <c r="V307" s="1161">
        <f t="shared" si="12"/>
        <v>0</v>
      </c>
      <c r="W307" s="536"/>
    </row>
    <row r="308" spans="1:23" s="609" customFormat="1" ht="18" customHeight="1" hidden="1">
      <c r="A308" s="1192" t="s">
        <v>1344</v>
      </c>
      <c r="B308" s="640" t="s">
        <v>783</v>
      </c>
      <c r="C308" s="630"/>
      <c r="D308" s="630"/>
      <c r="E308" s="630"/>
      <c r="F308" s="630"/>
      <c r="G308" s="630"/>
      <c r="H308" s="630"/>
      <c r="I308" s="630"/>
      <c r="J308" s="630"/>
      <c r="K308" s="630"/>
      <c r="L308" s="630"/>
      <c r="M308" s="630"/>
      <c r="N308" s="630"/>
      <c r="O308" s="630"/>
      <c r="P308" s="630"/>
      <c r="Q308" s="630"/>
      <c r="R308" s="630"/>
      <c r="S308" s="630"/>
      <c r="T308" s="630"/>
      <c r="U308" s="630"/>
      <c r="V308" s="1161">
        <f t="shared" si="12"/>
        <v>0</v>
      </c>
      <c r="W308" s="536"/>
    </row>
    <row r="309" spans="1:23" s="609" customFormat="1" ht="18" customHeight="1" hidden="1">
      <c r="A309" s="1192" t="s">
        <v>1350</v>
      </c>
      <c r="B309" s="640" t="s">
        <v>759</v>
      </c>
      <c r="C309" s="630"/>
      <c r="D309" s="630"/>
      <c r="E309" s="630"/>
      <c r="F309" s="630"/>
      <c r="G309" s="630"/>
      <c r="H309" s="630"/>
      <c r="I309" s="630"/>
      <c r="J309" s="630"/>
      <c r="K309" s="630"/>
      <c r="L309" s="630"/>
      <c r="M309" s="630"/>
      <c r="N309" s="630"/>
      <c r="O309" s="630"/>
      <c r="P309" s="630"/>
      <c r="Q309" s="630"/>
      <c r="R309" s="630"/>
      <c r="S309" s="630"/>
      <c r="T309" s="630"/>
      <c r="U309" s="630"/>
      <c r="V309" s="1161">
        <f t="shared" si="12"/>
        <v>0</v>
      </c>
      <c r="W309" s="536"/>
    </row>
    <row r="310" spans="1:23" s="609" customFormat="1" ht="18" customHeight="1" hidden="1" thickBot="1">
      <c r="A310" s="1192" t="s">
        <v>1351</v>
      </c>
      <c r="B310" s="640" t="s">
        <v>760</v>
      </c>
      <c r="C310" s="630"/>
      <c r="D310" s="630"/>
      <c r="E310" s="630"/>
      <c r="F310" s="630"/>
      <c r="G310" s="630"/>
      <c r="H310" s="630"/>
      <c r="I310" s="630"/>
      <c r="J310" s="630"/>
      <c r="K310" s="630"/>
      <c r="L310" s="630"/>
      <c r="M310" s="630"/>
      <c r="N310" s="630"/>
      <c r="O310" s="630"/>
      <c r="P310" s="630"/>
      <c r="Q310" s="630"/>
      <c r="R310" s="630"/>
      <c r="S310" s="630"/>
      <c r="T310" s="630"/>
      <c r="U310" s="630"/>
      <c r="V310" s="1161">
        <f t="shared" si="12"/>
        <v>0</v>
      </c>
      <c r="W310" s="536"/>
    </row>
    <row r="311" spans="1:23" s="609" customFormat="1" ht="18" customHeight="1" thickBot="1">
      <c r="A311" s="1192" t="s">
        <v>1352</v>
      </c>
      <c r="B311" s="641" t="s">
        <v>1089</v>
      </c>
      <c r="C311" s="630"/>
      <c r="D311" s="630"/>
      <c r="E311" s="630"/>
      <c r="F311" s="630"/>
      <c r="G311" s="630"/>
      <c r="H311" s="630"/>
      <c r="I311" s="630"/>
      <c r="J311" s="630"/>
      <c r="K311" s="630"/>
      <c r="L311" s="630"/>
      <c r="M311" s="630">
        <v>2000</v>
      </c>
      <c r="N311" s="630"/>
      <c r="O311" s="630"/>
      <c r="P311" s="630"/>
      <c r="Q311" s="630"/>
      <c r="R311" s="630"/>
      <c r="S311" s="630"/>
      <c r="T311" s="630"/>
      <c r="U311" s="630"/>
      <c r="V311" s="1161">
        <f t="shared" si="12"/>
        <v>2000</v>
      </c>
      <c r="W311" s="536"/>
    </row>
    <row r="312" spans="1:23" s="609" customFormat="1" ht="26.25" hidden="1" thickBot="1">
      <c r="A312" s="642" t="s">
        <v>1353</v>
      </c>
      <c r="B312" s="1220" t="s">
        <v>784</v>
      </c>
      <c r="C312" s="643"/>
      <c r="D312" s="643"/>
      <c r="E312" s="643"/>
      <c r="F312" s="643"/>
      <c r="G312" s="643"/>
      <c r="H312" s="643"/>
      <c r="I312" s="643"/>
      <c r="J312" s="643"/>
      <c r="K312" s="643"/>
      <c r="L312" s="643"/>
      <c r="M312" s="643"/>
      <c r="N312" s="643"/>
      <c r="O312" s="643"/>
      <c r="P312" s="643"/>
      <c r="Q312" s="643"/>
      <c r="R312" s="643"/>
      <c r="S312" s="643"/>
      <c r="T312" s="643"/>
      <c r="U312" s="643"/>
      <c r="V312" s="1160">
        <f t="shared" si="12"/>
        <v>0</v>
      </c>
      <c r="W312" s="536"/>
    </row>
    <row r="313" spans="1:23" s="609" customFormat="1" ht="18" customHeight="1" hidden="1">
      <c r="A313" s="642" t="s">
        <v>1354</v>
      </c>
      <c r="B313" s="1220" t="s">
        <v>761</v>
      </c>
      <c r="C313" s="643"/>
      <c r="D313" s="643"/>
      <c r="E313" s="643"/>
      <c r="F313" s="643"/>
      <c r="G313" s="643"/>
      <c r="H313" s="643"/>
      <c r="I313" s="643"/>
      <c r="J313" s="643"/>
      <c r="K313" s="643"/>
      <c r="L313" s="643"/>
      <c r="M313" s="643"/>
      <c r="N313" s="643"/>
      <c r="O313" s="643"/>
      <c r="P313" s="643"/>
      <c r="Q313" s="643"/>
      <c r="R313" s="643"/>
      <c r="S313" s="643"/>
      <c r="T313" s="643"/>
      <c r="U313" s="643"/>
      <c r="V313" s="1160">
        <f t="shared" si="12"/>
        <v>0</v>
      </c>
      <c r="W313" s="536"/>
    </row>
    <row r="314" spans="1:23" s="609" customFormat="1" ht="18" customHeight="1" hidden="1">
      <c r="A314" s="613"/>
      <c r="B314" s="1221" t="s">
        <v>762</v>
      </c>
      <c r="C314" s="644"/>
      <c r="D314" s="644"/>
      <c r="E314" s="644"/>
      <c r="F314" s="644"/>
      <c r="G314" s="644"/>
      <c r="H314" s="644"/>
      <c r="I314" s="644"/>
      <c r="J314" s="644"/>
      <c r="K314" s="644"/>
      <c r="L314" s="644"/>
      <c r="M314" s="644"/>
      <c r="N314" s="644"/>
      <c r="O314" s="644"/>
      <c r="P314" s="644"/>
      <c r="Q314" s="644"/>
      <c r="R314" s="644"/>
      <c r="S314" s="644"/>
      <c r="T314" s="644"/>
      <c r="U314" s="644"/>
      <c r="V314" s="1160">
        <f t="shared" si="12"/>
        <v>0</v>
      </c>
      <c r="W314" s="536"/>
    </row>
    <row r="315" spans="1:23" s="609" customFormat="1" ht="18" customHeight="1" hidden="1" thickBot="1">
      <c r="A315" s="615"/>
      <c r="B315" s="1222" t="s">
        <v>763</v>
      </c>
      <c r="C315" s="628"/>
      <c r="D315" s="628"/>
      <c r="E315" s="628"/>
      <c r="F315" s="628"/>
      <c r="G315" s="628"/>
      <c r="H315" s="628"/>
      <c r="I315" s="628"/>
      <c r="J315" s="628"/>
      <c r="K315" s="628"/>
      <c r="L315" s="628"/>
      <c r="M315" s="628"/>
      <c r="N315" s="628"/>
      <c r="O315" s="628"/>
      <c r="P315" s="628"/>
      <c r="Q315" s="628"/>
      <c r="R315" s="628"/>
      <c r="S315" s="628"/>
      <c r="T315" s="628"/>
      <c r="U315" s="628"/>
      <c r="V315" s="1160">
        <f t="shared" si="12"/>
        <v>0</v>
      </c>
      <c r="W315" s="536"/>
    </row>
    <row r="316" spans="1:23" s="609" customFormat="1" ht="26.25" hidden="1" thickBot="1">
      <c r="A316" s="613"/>
      <c r="B316" s="1221" t="s">
        <v>764</v>
      </c>
      <c r="C316" s="644"/>
      <c r="D316" s="644"/>
      <c r="E316" s="644"/>
      <c r="F316" s="644"/>
      <c r="G316" s="644"/>
      <c r="H316" s="644"/>
      <c r="I316" s="644"/>
      <c r="J316" s="644"/>
      <c r="K316" s="644"/>
      <c r="L316" s="644"/>
      <c r="M316" s="644"/>
      <c r="N316" s="644"/>
      <c r="O316" s="644"/>
      <c r="P316" s="644"/>
      <c r="Q316" s="644"/>
      <c r="R316" s="644"/>
      <c r="S316" s="644"/>
      <c r="T316" s="644"/>
      <c r="U316" s="644"/>
      <c r="V316" s="1160">
        <f t="shared" si="12"/>
        <v>0</v>
      </c>
      <c r="W316" s="536"/>
    </row>
    <row r="317" spans="1:23" s="609" customFormat="1" ht="18" customHeight="1" hidden="1" thickBot="1">
      <c r="A317" s="615"/>
      <c r="B317" s="1223" t="s">
        <v>765</v>
      </c>
      <c r="C317" s="628"/>
      <c r="D317" s="628"/>
      <c r="E317" s="628"/>
      <c r="F317" s="628"/>
      <c r="G317" s="628"/>
      <c r="H317" s="628"/>
      <c r="I317" s="628"/>
      <c r="J317" s="628"/>
      <c r="K317" s="628"/>
      <c r="L317" s="628"/>
      <c r="M317" s="628"/>
      <c r="N317" s="628"/>
      <c r="O317" s="628"/>
      <c r="P317" s="628"/>
      <c r="Q317" s="628"/>
      <c r="R317" s="628"/>
      <c r="S317" s="628"/>
      <c r="T317" s="628"/>
      <c r="U317" s="628"/>
      <c r="V317" s="1160">
        <f t="shared" si="12"/>
        <v>0</v>
      </c>
      <c r="W317" s="536"/>
    </row>
    <row r="318" spans="1:23" s="609" customFormat="1" ht="26.25" hidden="1" thickBot="1">
      <c r="A318" s="615"/>
      <c r="B318" s="1222" t="s">
        <v>766</v>
      </c>
      <c r="C318" s="628"/>
      <c r="D318" s="628"/>
      <c r="E318" s="628"/>
      <c r="F318" s="628"/>
      <c r="G318" s="628"/>
      <c r="H318" s="628"/>
      <c r="I318" s="628"/>
      <c r="J318" s="628"/>
      <c r="K318" s="628"/>
      <c r="L318" s="628"/>
      <c r="M318" s="628"/>
      <c r="N318" s="628"/>
      <c r="O318" s="628"/>
      <c r="P318" s="628"/>
      <c r="Q318" s="628"/>
      <c r="R318" s="628"/>
      <c r="S318" s="628"/>
      <c r="T318" s="628"/>
      <c r="U318" s="628"/>
      <c r="V318" s="1160">
        <f t="shared" si="12"/>
        <v>0</v>
      </c>
      <c r="W318" s="536"/>
    </row>
    <row r="319" spans="1:23" s="609" customFormat="1" ht="18" customHeight="1" hidden="1" thickBot="1">
      <c r="A319" s="613"/>
      <c r="B319" s="1221" t="s">
        <v>767</v>
      </c>
      <c r="C319" s="644"/>
      <c r="D319" s="644"/>
      <c r="E319" s="644"/>
      <c r="F319" s="644"/>
      <c r="G319" s="644"/>
      <c r="H319" s="644"/>
      <c r="I319" s="644"/>
      <c r="J319" s="644"/>
      <c r="K319" s="644"/>
      <c r="L319" s="644"/>
      <c r="M319" s="644"/>
      <c r="N319" s="644"/>
      <c r="O319" s="644"/>
      <c r="P319" s="644"/>
      <c r="Q319" s="644"/>
      <c r="R319" s="644"/>
      <c r="S319" s="644"/>
      <c r="T319" s="644"/>
      <c r="U319" s="644"/>
      <c r="V319" s="1160">
        <f t="shared" si="12"/>
        <v>0</v>
      </c>
      <c r="W319" s="536"/>
    </row>
    <row r="320" spans="1:23" s="609" customFormat="1" ht="26.25" hidden="1" thickBot="1">
      <c r="A320" s="615"/>
      <c r="B320" s="1223" t="s">
        <v>768</v>
      </c>
      <c r="C320" s="628"/>
      <c r="D320" s="628"/>
      <c r="E320" s="628"/>
      <c r="F320" s="628"/>
      <c r="G320" s="628"/>
      <c r="H320" s="628"/>
      <c r="I320" s="628"/>
      <c r="J320" s="628"/>
      <c r="K320" s="628"/>
      <c r="L320" s="628"/>
      <c r="M320" s="628"/>
      <c r="N320" s="628"/>
      <c r="O320" s="628"/>
      <c r="P320" s="628"/>
      <c r="Q320" s="628"/>
      <c r="R320" s="628"/>
      <c r="S320" s="628"/>
      <c r="T320" s="628"/>
      <c r="U320" s="628"/>
      <c r="V320" s="1160">
        <f t="shared" si="12"/>
        <v>0</v>
      </c>
      <c r="W320" s="536"/>
    </row>
    <row r="321" spans="1:23" s="609" customFormat="1" ht="26.25" hidden="1" thickBot="1">
      <c r="A321" s="613"/>
      <c r="B321" s="1221" t="s">
        <v>769</v>
      </c>
      <c r="C321" s="644"/>
      <c r="D321" s="644"/>
      <c r="E321" s="644"/>
      <c r="F321" s="644"/>
      <c r="G321" s="644"/>
      <c r="H321" s="644"/>
      <c r="I321" s="644"/>
      <c r="J321" s="644"/>
      <c r="K321" s="644"/>
      <c r="L321" s="644"/>
      <c r="M321" s="644"/>
      <c r="N321" s="644"/>
      <c r="O321" s="644"/>
      <c r="P321" s="644"/>
      <c r="Q321" s="644"/>
      <c r="R321" s="644"/>
      <c r="S321" s="644"/>
      <c r="T321" s="644"/>
      <c r="U321" s="644"/>
      <c r="V321" s="1160">
        <f t="shared" si="12"/>
        <v>0</v>
      </c>
      <c r="W321" s="536"/>
    </row>
    <row r="322" spans="1:23" s="609" customFormat="1" ht="26.25" hidden="1" thickBot="1">
      <c r="A322" s="615"/>
      <c r="B322" s="1223" t="s">
        <v>785</v>
      </c>
      <c r="C322" s="628"/>
      <c r="D322" s="628"/>
      <c r="E322" s="628"/>
      <c r="F322" s="628"/>
      <c r="G322" s="628"/>
      <c r="H322" s="628"/>
      <c r="I322" s="628"/>
      <c r="J322" s="628"/>
      <c r="K322" s="628"/>
      <c r="L322" s="628"/>
      <c r="M322" s="628"/>
      <c r="N322" s="628"/>
      <c r="O322" s="628"/>
      <c r="P322" s="628"/>
      <c r="Q322" s="628"/>
      <c r="R322" s="628"/>
      <c r="S322" s="628"/>
      <c r="T322" s="628"/>
      <c r="U322" s="628"/>
      <c r="V322" s="1160">
        <f t="shared" si="12"/>
        <v>0</v>
      </c>
      <c r="W322" s="536"/>
    </row>
    <row r="323" spans="1:23" s="609" customFormat="1" ht="18" customHeight="1" hidden="1">
      <c r="A323" s="613"/>
      <c r="B323" s="1221" t="s">
        <v>771</v>
      </c>
      <c r="C323" s="644"/>
      <c r="D323" s="644"/>
      <c r="E323" s="644"/>
      <c r="F323" s="644"/>
      <c r="G323" s="644"/>
      <c r="H323" s="644"/>
      <c r="I323" s="644"/>
      <c r="J323" s="644"/>
      <c r="K323" s="644"/>
      <c r="L323" s="644"/>
      <c r="M323" s="644"/>
      <c r="N323" s="644"/>
      <c r="O323" s="644"/>
      <c r="P323" s="644"/>
      <c r="Q323" s="644"/>
      <c r="R323" s="644"/>
      <c r="S323" s="644"/>
      <c r="T323" s="644"/>
      <c r="U323" s="644"/>
      <c r="V323" s="1160">
        <f t="shared" si="12"/>
        <v>0</v>
      </c>
      <c r="W323" s="536"/>
    </row>
    <row r="324" spans="1:23" s="609" customFormat="1" ht="18" customHeight="1" hidden="1">
      <c r="A324" s="615"/>
      <c r="B324" s="1223" t="s">
        <v>772</v>
      </c>
      <c r="C324" s="628"/>
      <c r="D324" s="628"/>
      <c r="E324" s="628"/>
      <c r="F324" s="628"/>
      <c r="G324" s="628"/>
      <c r="H324" s="628"/>
      <c r="I324" s="628"/>
      <c r="J324" s="628"/>
      <c r="K324" s="628"/>
      <c r="L324" s="628"/>
      <c r="M324" s="628"/>
      <c r="N324" s="628"/>
      <c r="O324" s="628"/>
      <c r="P324" s="628"/>
      <c r="Q324" s="628"/>
      <c r="R324" s="628"/>
      <c r="S324" s="628"/>
      <c r="T324" s="628"/>
      <c r="U324" s="628"/>
      <c r="V324" s="1160">
        <f t="shared" si="12"/>
        <v>0</v>
      </c>
      <c r="W324" s="536"/>
    </row>
    <row r="325" spans="1:23" s="609" customFormat="1" ht="18" customHeight="1" hidden="1" thickBot="1">
      <c r="A325" s="613"/>
      <c r="B325" s="1221" t="s">
        <v>773</v>
      </c>
      <c r="C325" s="644"/>
      <c r="D325" s="644"/>
      <c r="E325" s="644"/>
      <c r="F325" s="644"/>
      <c r="G325" s="644"/>
      <c r="H325" s="644"/>
      <c r="I325" s="644"/>
      <c r="J325" s="644"/>
      <c r="K325" s="644"/>
      <c r="L325" s="644"/>
      <c r="M325" s="644"/>
      <c r="N325" s="644"/>
      <c r="O325" s="644"/>
      <c r="P325" s="644"/>
      <c r="Q325" s="644"/>
      <c r="R325" s="644"/>
      <c r="S325" s="644"/>
      <c r="T325" s="644"/>
      <c r="U325" s="644"/>
      <c r="V325" s="1160">
        <f t="shared" si="12"/>
        <v>0</v>
      </c>
      <c r="W325" s="536"/>
    </row>
    <row r="326" spans="1:23" s="609" customFormat="1" ht="26.25" hidden="1" thickBot="1">
      <c r="A326" s="615"/>
      <c r="B326" s="1222" t="s">
        <v>774</v>
      </c>
      <c r="C326" s="628"/>
      <c r="D326" s="628"/>
      <c r="E326" s="628"/>
      <c r="F326" s="628"/>
      <c r="G326" s="628"/>
      <c r="H326" s="628"/>
      <c r="I326" s="628"/>
      <c r="J326" s="628"/>
      <c r="K326" s="628"/>
      <c r="L326" s="628"/>
      <c r="M326" s="628"/>
      <c r="N326" s="628"/>
      <c r="O326" s="628"/>
      <c r="P326" s="628"/>
      <c r="Q326" s="628"/>
      <c r="R326" s="628"/>
      <c r="S326" s="628"/>
      <c r="T326" s="628"/>
      <c r="U326" s="628"/>
      <c r="V326" s="1160">
        <f t="shared" si="12"/>
        <v>0</v>
      </c>
      <c r="W326" s="536"/>
    </row>
    <row r="327" spans="1:23" s="609" customFormat="1" ht="26.25" hidden="1" thickBot="1">
      <c r="A327" s="613"/>
      <c r="B327" s="1224" t="s">
        <v>775</v>
      </c>
      <c r="C327" s="644"/>
      <c r="D327" s="644"/>
      <c r="E327" s="644"/>
      <c r="F327" s="644"/>
      <c r="G327" s="644"/>
      <c r="H327" s="644"/>
      <c r="I327" s="644"/>
      <c r="J327" s="644"/>
      <c r="K327" s="644"/>
      <c r="L327" s="644"/>
      <c r="M327" s="644"/>
      <c r="N327" s="644"/>
      <c r="O327" s="644"/>
      <c r="P327" s="644"/>
      <c r="Q327" s="644"/>
      <c r="R327" s="644"/>
      <c r="S327" s="644"/>
      <c r="T327" s="644"/>
      <c r="U327" s="644"/>
      <c r="V327" s="1160">
        <f t="shared" si="12"/>
        <v>0</v>
      </c>
      <c r="W327" s="536"/>
    </row>
    <row r="328" spans="1:23" s="609" customFormat="1" ht="18" customHeight="1" hidden="1" thickBot="1">
      <c r="A328" s="615"/>
      <c r="B328" s="1222" t="s">
        <v>776</v>
      </c>
      <c r="C328" s="628"/>
      <c r="D328" s="628"/>
      <c r="E328" s="628"/>
      <c r="F328" s="628"/>
      <c r="G328" s="628"/>
      <c r="H328" s="628"/>
      <c r="I328" s="628"/>
      <c r="J328" s="628"/>
      <c r="K328" s="628"/>
      <c r="L328" s="628"/>
      <c r="M328" s="628"/>
      <c r="N328" s="628"/>
      <c r="O328" s="628"/>
      <c r="P328" s="628"/>
      <c r="Q328" s="628"/>
      <c r="R328" s="628"/>
      <c r="S328" s="628"/>
      <c r="T328" s="628"/>
      <c r="U328" s="628"/>
      <c r="V328" s="1160">
        <f t="shared" si="12"/>
        <v>0</v>
      </c>
      <c r="W328" s="536"/>
    </row>
    <row r="329" spans="1:23" s="609" customFormat="1" ht="26.25" hidden="1" thickBot="1">
      <c r="A329" s="613"/>
      <c r="B329" s="1224" t="s">
        <v>777</v>
      </c>
      <c r="C329" s="644"/>
      <c r="D329" s="644"/>
      <c r="E329" s="644"/>
      <c r="F329" s="644"/>
      <c r="G329" s="644"/>
      <c r="H329" s="644"/>
      <c r="I329" s="644"/>
      <c r="J329" s="644"/>
      <c r="K329" s="644"/>
      <c r="L329" s="644"/>
      <c r="M329" s="644"/>
      <c r="N329" s="644"/>
      <c r="O329" s="644"/>
      <c r="P329" s="644"/>
      <c r="Q329" s="644"/>
      <c r="R329" s="644"/>
      <c r="S329" s="644"/>
      <c r="T329" s="644"/>
      <c r="U329" s="644"/>
      <c r="V329" s="1160">
        <f t="shared" si="12"/>
        <v>0</v>
      </c>
      <c r="W329" s="536"/>
    </row>
    <row r="330" spans="1:23" s="609" customFormat="1" ht="18" customHeight="1" hidden="1">
      <c r="A330" s="543"/>
      <c r="B330" s="1203" t="s">
        <v>695</v>
      </c>
      <c r="C330" s="545"/>
      <c r="D330" s="545"/>
      <c r="E330" s="545"/>
      <c r="F330" s="545"/>
      <c r="G330" s="545"/>
      <c r="H330" s="545"/>
      <c r="I330" s="545"/>
      <c r="J330" s="545"/>
      <c r="K330" s="545"/>
      <c r="L330" s="545"/>
      <c r="M330" s="545"/>
      <c r="N330" s="545"/>
      <c r="O330" s="545"/>
      <c r="P330" s="545"/>
      <c r="Q330" s="545"/>
      <c r="R330" s="545"/>
      <c r="S330" s="545"/>
      <c r="T330" s="545"/>
      <c r="U330" s="545"/>
      <c r="V330" s="1162">
        <f t="shared" si="12"/>
        <v>0</v>
      </c>
      <c r="W330" s="536"/>
    </row>
    <row r="331" spans="1:23" s="609" customFormat="1" ht="25.5" customHeight="1" thickBot="1">
      <c r="A331" s="645">
        <v>80121</v>
      </c>
      <c r="B331" s="908" t="s">
        <v>839</v>
      </c>
      <c r="C331" s="624">
        <f aca="true" t="shared" si="13" ref="C331:H331">SUM(C332:C334)</f>
        <v>0</v>
      </c>
      <c r="D331" s="624">
        <f t="shared" si="13"/>
        <v>0</v>
      </c>
      <c r="E331" s="624">
        <f t="shared" si="13"/>
        <v>0</v>
      </c>
      <c r="F331" s="624">
        <f t="shared" si="13"/>
        <v>100000</v>
      </c>
      <c r="G331" s="624">
        <f t="shared" si="13"/>
        <v>15000</v>
      </c>
      <c r="H331" s="624">
        <f t="shared" si="13"/>
        <v>2000</v>
      </c>
      <c r="I331" s="624"/>
      <c r="J331" s="624"/>
      <c r="K331" s="624"/>
      <c r="L331" s="624"/>
      <c r="M331" s="624"/>
      <c r="N331" s="624"/>
      <c r="O331" s="624"/>
      <c r="P331" s="624"/>
      <c r="Q331" s="624"/>
      <c r="R331" s="624"/>
      <c r="S331" s="624"/>
      <c r="T331" s="624"/>
      <c r="U331" s="624"/>
      <c r="V331" s="1158">
        <f t="shared" si="12"/>
        <v>117000</v>
      </c>
      <c r="W331" s="569"/>
    </row>
    <row r="332" spans="1:23" s="609" customFormat="1" ht="18" customHeight="1" thickBot="1">
      <c r="A332" s="600" t="s">
        <v>1355</v>
      </c>
      <c r="B332" s="685" t="s">
        <v>840</v>
      </c>
      <c r="C332" s="626"/>
      <c r="D332" s="626"/>
      <c r="E332" s="626"/>
      <c r="F332" s="626">
        <v>100000</v>
      </c>
      <c r="G332" s="626">
        <v>15000</v>
      </c>
      <c r="H332" s="626">
        <v>2000</v>
      </c>
      <c r="I332" s="626"/>
      <c r="J332" s="626"/>
      <c r="K332" s="626"/>
      <c r="L332" s="626"/>
      <c r="M332" s="626"/>
      <c r="N332" s="626"/>
      <c r="O332" s="626"/>
      <c r="P332" s="626"/>
      <c r="Q332" s="626"/>
      <c r="R332" s="626"/>
      <c r="S332" s="626"/>
      <c r="T332" s="626"/>
      <c r="U332" s="626"/>
      <c r="V332" s="1163">
        <f t="shared" si="12"/>
        <v>117000</v>
      </c>
      <c r="W332" s="536"/>
    </row>
    <row r="333" spans="1:23" s="609" customFormat="1" ht="26.25" hidden="1" thickBot="1">
      <c r="A333" s="646" t="s">
        <v>1356</v>
      </c>
      <c r="B333" s="1225" t="s">
        <v>703</v>
      </c>
      <c r="C333" s="647"/>
      <c r="D333" s="647"/>
      <c r="E333" s="647"/>
      <c r="F333" s="647"/>
      <c r="G333" s="647"/>
      <c r="H333" s="647"/>
      <c r="I333" s="647"/>
      <c r="J333" s="647"/>
      <c r="K333" s="647"/>
      <c r="L333" s="647"/>
      <c r="M333" s="647"/>
      <c r="N333" s="647"/>
      <c r="O333" s="647"/>
      <c r="P333" s="647"/>
      <c r="Q333" s="647"/>
      <c r="R333" s="647"/>
      <c r="S333" s="647"/>
      <c r="T333" s="647"/>
      <c r="U333" s="647"/>
      <c r="V333" s="1160">
        <f t="shared" si="12"/>
        <v>0</v>
      </c>
      <c r="W333" s="536"/>
    </row>
    <row r="334" spans="1:23" s="609" customFormat="1" ht="18" customHeight="1" hidden="1" thickBot="1">
      <c r="A334" s="543"/>
      <c r="B334" s="1203" t="s">
        <v>695</v>
      </c>
      <c r="C334" s="545"/>
      <c r="D334" s="545"/>
      <c r="E334" s="545"/>
      <c r="F334" s="545"/>
      <c r="G334" s="545"/>
      <c r="H334" s="545"/>
      <c r="I334" s="545"/>
      <c r="J334" s="545"/>
      <c r="K334" s="545"/>
      <c r="L334" s="545"/>
      <c r="M334" s="545"/>
      <c r="N334" s="545"/>
      <c r="O334" s="545"/>
      <c r="P334" s="545"/>
      <c r="Q334" s="545"/>
      <c r="R334" s="545"/>
      <c r="S334" s="545"/>
      <c r="T334" s="545"/>
      <c r="U334" s="545"/>
      <c r="V334" s="1162">
        <f t="shared" si="12"/>
        <v>0</v>
      </c>
      <c r="W334" s="536"/>
    </row>
    <row r="335" spans="1:23" s="609" customFormat="1" ht="19.5" customHeight="1" thickBot="1">
      <c r="A335" s="648">
        <v>80123</v>
      </c>
      <c r="B335" s="598" t="s">
        <v>841</v>
      </c>
      <c r="C335" s="624">
        <f>SUM(C336:C353)</f>
        <v>0</v>
      </c>
      <c r="D335" s="624">
        <f>SUM(D336:D353)</f>
        <v>0</v>
      </c>
      <c r="E335" s="624">
        <f>SUM(E336:E353)</f>
        <v>0</v>
      </c>
      <c r="F335" s="624"/>
      <c r="G335" s="624"/>
      <c r="H335" s="624"/>
      <c r="I335" s="624"/>
      <c r="J335" s="624"/>
      <c r="K335" s="624"/>
      <c r="L335" s="624"/>
      <c r="M335" s="624">
        <f>SUM(M336:M353)</f>
        <v>4000</v>
      </c>
      <c r="N335" s="624"/>
      <c r="O335" s="624"/>
      <c r="P335" s="624"/>
      <c r="Q335" s="624"/>
      <c r="R335" s="624">
        <f>SUM(R336:R353)</f>
        <v>3000</v>
      </c>
      <c r="S335" s="624"/>
      <c r="T335" s="624"/>
      <c r="U335" s="624"/>
      <c r="V335" s="1158">
        <f aca="true" t="shared" si="14" ref="V335:V373">SUM(C335:U335)</f>
        <v>7000</v>
      </c>
      <c r="W335" s="569"/>
    </row>
    <row r="336" spans="1:23" s="609" customFormat="1" ht="18" customHeight="1" hidden="1">
      <c r="A336" s="651" t="s">
        <v>1357</v>
      </c>
      <c r="B336" s="551" t="s">
        <v>842</v>
      </c>
      <c r="C336" s="649"/>
      <c r="D336" s="649"/>
      <c r="E336" s="649"/>
      <c r="F336" s="649"/>
      <c r="G336" s="649"/>
      <c r="H336" s="649"/>
      <c r="I336" s="649"/>
      <c r="J336" s="649"/>
      <c r="K336" s="649"/>
      <c r="L336" s="649"/>
      <c r="M336" s="649"/>
      <c r="N336" s="649"/>
      <c r="O336" s="649"/>
      <c r="P336" s="649"/>
      <c r="Q336" s="649"/>
      <c r="R336" s="649"/>
      <c r="S336" s="649"/>
      <c r="T336" s="649"/>
      <c r="U336" s="649"/>
      <c r="V336" s="1159">
        <f t="shared" si="14"/>
        <v>0</v>
      </c>
      <c r="W336" s="536"/>
    </row>
    <row r="337" spans="1:24" s="504" customFormat="1" ht="24" customHeight="1" hidden="1">
      <c r="A337" s="527" t="s">
        <v>1358</v>
      </c>
      <c r="B337" s="1226" t="s">
        <v>843</v>
      </c>
      <c r="C337" s="529"/>
      <c r="D337" s="529"/>
      <c r="E337" s="529"/>
      <c r="F337" s="529"/>
      <c r="G337" s="529"/>
      <c r="H337" s="529"/>
      <c r="I337" s="529"/>
      <c r="J337" s="529"/>
      <c r="K337" s="529"/>
      <c r="L337" s="529"/>
      <c r="M337" s="529"/>
      <c r="N337" s="529"/>
      <c r="O337" s="529"/>
      <c r="P337" s="529"/>
      <c r="Q337" s="529"/>
      <c r="R337" s="529"/>
      <c r="S337" s="529"/>
      <c r="T337" s="529"/>
      <c r="U337" s="529"/>
      <c r="V337" s="1160">
        <f t="shared" si="14"/>
        <v>0</v>
      </c>
      <c r="W337" s="536"/>
      <c r="X337" s="508"/>
    </row>
    <row r="338" spans="1:23" s="609" customFormat="1" ht="18" customHeight="1" hidden="1">
      <c r="A338" s="651" t="s">
        <v>1359</v>
      </c>
      <c r="B338" s="555" t="s">
        <v>844</v>
      </c>
      <c r="C338" s="650"/>
      <c r="D338" s="650"/>
      <c r="E338" s="650"/>
      <c r="F338" s="650"/>
      <c r="G338" s="650"/>
      <c r="H338" s="650"/>
      <c r="I338" s="650"/>
      <c r="J338" s="650"/>
      <c r="K338" s="650"/>
      <c r="L338" s="650"/>
      <c r="M338" s="650"/>
      <c r="N338" s="650"/>
      <c r="O338" s="650"/>
      <c r="P338" s="650"/>
      <c r="Q338" s="650"/>
      <c r="R338" s="650"/>
      <c r="S338" s="650"/>
      <c r="T338" s="650"/>
      <c r="U338" s="650"/>
      <c r="V338" s="1160">
        <f t="shared" si="14"/>
        <v>0</v>
      </c>
      <c r="W338" s="536"/>
    </row>
    <row r="339" spans="1:23" s="609" customFormat="1" ht="18" customHeight="1" hidden="1">
      <c r="A339" s="651" t="s">
        <v>1360</v>
      </c>
      <c r="B339" s="555" t="s">
        <v>845</v>
      </c>
      <c r="C339" s="650"/>
      <c r="D339" s="650"/>
      <c r="E339" s="650"/>
      <c r="F339" s="650"/>
      <c r="G339" s="650"/>
      <c r="H339" s="650"/>
      <c r="I339" s="650"/>
      <c r="J339" s="650"/>
      <c r="K339" s="650"/>
      <c r="L339" s="650"/>
      <c r="M339" s="650"/>
      <c r="N339" s="650"/>
      <c r="O339" s="650"/>
      <c r="P339" s="650"/>
      <c r="Q339" s="650"/>
      <c r="R339" s="650"/>
      <c r="S339" s="650"/>
      <c r="T339" s="650"/>
      <c r="U339" s="650"/>
      <c r="V339" s="1160">
        <f t="shared" si="14"/>
        <v>0</v>
      </c>
      <c r="W339" s="536"/>
    </row>
    <row r="340" spans="1:24" s="504" customFormat="1" ht="18" customHeight="1" hidden="1">
      <c r="A340" s="527" t="s">
        <v>1361</v>
      </c>
      <c r="B340" s="1198" t="s">
        <v>846</v>
      </c>
      <c r="C340" s="529"/>
      <c r="D340" s="529"/>
      <c r="E340" s="529"/>
      <c r="F340" s="529"/>
      <c r="G340" s="529"/>
      <c r="H340" s="529"/>
      <c r="I340" s="529"/>
      <c r="J340" s="529"/>
      <c r="K340" s="529"/>
      <c r="L340" s="529"/>
      <c r="M340" s="529"/>
      <c r="N340" s="529"/>
      <c r="O340" s="529"/>
      <c r="P340" s="529"/>
      <c r="Q340" s="529"/>
      <c r="R340" s="529"/>
      <c r="S340" s="529"/>
      <c r="T340" s="529"/>
      <c r="U340" s="529"/>
      <c r="V340" s="1160">
        <f t="shared" si="14"/>
        <v>0</v>
      </c>
      <c r="W340" s="536"/>
      <c r="X340" s="508"/>
    </row>
    <row r="341" spans="1:23" s="609" customFormat="1" ht="27" customHeight="1">
      <c r="A341" s="651" t="s">
        <v>1362</v>
      </c>
      <c r="B341" s="652" t="s">
        <v>819</v>
      </c>
      <c r="C341" s="650"/>
      <c r="D341" s="650"/>
      <c r="E341" s="650"/>
      <c r="F341" s="650"/>
      <c r="G341" s="650"/>
      <c r="H341" s="650"/>
      <c r="I341" s="650"/>
      <c r="J341" s="650"/>
      <c r="K341" s="650"/>
      <c r="L341" s="650"/>
      <c r="M341" s="650">
        <v>2000</v>
      </c>
      <c r="N341" s="650"/>
      <c r="O341" s="650"/>
      <c r="P341" s="650"/>
      <c r="Q341" s="650"/>
      <c r="R341" s="650"/>
      <c r="S341" s="650"/>
      <c r="T341" s="650"/>
      <c r="U341" s="650"/>
      <c r="V341" s="1161">
        <f t="shared" si="14"/>
        <v>2000</v>
      </c>
      <c r="W341" s="536"/>
    </row>
    <row r="342" spans="1:24" s="504" customFormat="1" ht="18" customHeight="1" hidden="1">
      <c r="A342" s="881" t="s">
        <v>1363</v>
      </c>
      <c r="B342" s="634" t="s">
        <v>847</v>
      </c>
      <c r="C342" s="534"/>
      <c r="D342" s="534"/>
      <c r="E342" s="534"/>
      <c r="F342" s="534"/>
      <c r="G342" s="534"/>
      <c r="H342" s="534"/>
      <c r="I342" s="534"/>
      <c r="J342" s="534"/>
      <c r="K342" s="534"/>
      <c r="L342" s="534"/>
      <c r="M342" s="534"/>
      <c r="N342" s="534"/>
      <c r="O342" s="534"/>
      <c r="P342" s="534"/>
      <c r="Q342" s="534"/>
      <c r="R342" s="534"/>
      <c r="S342" s="534"/>
      <c r="T342" s="534"/>
      <c r="U342" s="534"/>
      <c r="V342" s="1161">
        <f t="shared" si="14"/>
        <v>0</v>
      </c>
      <c r="W342" s="536"/>
      <c r="X342" s="508"/>
    </row>
    <row r="343" spans="1:23" s="609" customFormat="1" ht="18" customHeight="1" hidden="1">
      <c r="A343" s="651" t="s">
        <v>1364</v>
      </c>
      <c r="B343" s="555" t="s">
        <v>901</v>
      </c>
      <c r="C343" s="650"/>
      <c r="D343" s="650"/>
      <c r="E343" s="650"/>
      <c r="F343" s="650"/>
      <c r="G343" s="650"/>
      <c r="H343" s="650"/>
      <c r="I343" s="650"/>
      <c r="J343" s="650"/>
      <c r="K343" s="650"/>
      <c r="L343" s="650"/>
      <c r="M343" s="650"/>
      <c r="N343" s="650"/>
      <c r="O343" s="650"/>
      <c r="P343" s="650"/>
      <c r="Q343" s="650"/>
      <c r="R343" s="650"/>
      <c r="S343" s="650"/>
      <c r="T343" s="650"/>
      <c r="U343" s="650"/>
      <c r="V343" s="1161">
        <f t="shared" si="14"/>
        <v>0</v>
      </c>
      <c r="W343" s="536"/>
    </row>
    <row r="344" spans="1:24" s="504" customFormat="1" ht="18" customHeight="1" hidden="1">
      <c r="A344" s="881" t="s">
        <v>1365</v>
      </c>
      <c r="B344" s="634" t="s">
        <v>849</v>
      </c>
      <c r="C344" s="534"/>
      <c r="D344" s="534"/>
      <c r="E344" s="534"/>
      <c r="F344" s="534"/>
      <c r="G344" s="534"/>
      <c r="H344" s="534"/>
      <c r="I344" s="534"/>
      <c r="J344" s="534"/>
      <c r="K344" s="534"/>
      <c r="L344" s="534"/>
      <c r="M344" s="534"/>
      <c r="N344" s="534"/>
      <c r="O344" s="534"/>
      <c r="P344" s="534"/>
      <c r="Q344" s="534"/>
      <c r="R344" s="534"/>
      <c r="S344" s="534"/>
      <c r="T344" s="534"/>
      <c r="U344" s="534"/>
      <c r="V344" s="1161">
        <f t="shared" si="14"/>
        <v>0</v>
      </c>
      <c r="W344" s="536"/>
      <c r="X344" s="508"/>
    </row>
    <row r="345" spans="1:23" s="609" customFormat="1" ht="30" customHeight="1" thickBot="1">
      <c r="A345" s="651" t="s">
        <v>1366</v>
      </c>
      <c r="B345" s="652" t="s">
        <v>820</v>
      </c>
      <c r="C345" s="650"/>
      <c r="D345" s="650"/>
      <c r="E345" s="650"/>
      <c r="F345" s="650"/>
      <c r="G345" s="650"/>
      <c r="H345" s="650"/>
      <c r="I345" s="650"/>
      <c r="J345" s="650"/>
      <c r="K345" s="650"/>
      <c r="L345" s="650"/>
      <c r="M345" s="650">
        <v>2000</v>
      </c>
      <c r="N345" s="650"/>
      <c r="O345" s="650"/>
      <c r="P345" s="650"/>
      <c r="Q345" s="650"/>
      <c r="R345" s="650">
        <v>3000</v>
      </c>
      <c r="S345" s="650"/>
      <c r="T345" s="650"/>
      <c r="U345" s="650"/>
      <c r="V345" s="1161">
        <f t="shared" si="14"/>
        <v>5000</v>
      </c>
      <c r="W345" s="536"/>
    </row>
    <row r="346" spans="1:23" s="609" customFormat="1" ht="18" customHeight="1" hidden="1">
      <c r="A346" s="651" t="s">
        <v>1367</v>
      </c>
      <c r="B346" s="555" t="s">
        <v>786</v>
      </c>
      <c r="C346" s="650"/>
      <c r="D346" s="650"/>
      <c r="E346" s="650"/>
      <c r="F346" s="650"/>
      <c r="G346" s="650"/>
      <c r="H346" s="650"/>
      <c r="I346" s="650"/>
      <c r="J346" s="650"/>
      <c r="K346" s="650"/>
      <c r="L346" s="650"/>
      <c r="M346" s="650"/>
      <c r="N346" s="650"/>
      <c r="O346" s="650"/>
      <c r="P346" s="650"/>
      <c r="Q346" s="650"/>
      <c r="R346" s="650"/>
      <c r="S346" s="650"/>
      <c r="T346" s="650"/>
      <c r="U346" s="650"/>
      <c r="V346" s="1160">
        <f t="shared" si="14"/>
        <v>0</v>
      </c>
      <c r="W346" s="536"/>
    </row>
    <row r="347" spans="1:23" s="609" customFormat="1" ht="18" customHeight="1" hidden="1">
      <c r="A347" s="651" t="s">
        <v>1368</v>
      </c>
      <c r="B347" s="555" t="s">
        <v>787</v>
      </c>
      <c r="C347" s="650"/>
      <c r="D347" s="650"/>
      <c r="E347" s="650"/>
      <c r="F347" s="650"/>
      <c r="G347" s="650"/>
      <c r="H347" s="650"/>
      <c r="I347" s="650"/>
      <c r="J347" s="650"/>
      <c r="K347" s="650"/>
      <c r="L347" s="650"/>
      <c r="M347" s="650"/>
      <c r="N347" s="650"/>
      <c r="O347" s="650"/>
      <c r="P347" s="650"/>
      <c r="Q347" s="650"/>
      <c r="R347" s="650"/>
      <c r="S347" s="650"/>
      <c r="T347" s="650"/>
      <c r="U347" s="650"/>
      <c r="V347" s="1160">
        <f t="shared" si="14"/>
        <v>0</v>
      </c>
      <c r="W347" s="536"/>
    </row>
    <row r="348" spans="1:23" s="609" customFormat="1" ht="25.5" customHeight="1" hidden="1">
      <c r="A348" s="651" t="s">
        <v>1369</v>
      </c>
      <c r="B348" s="652" t="s">
        <v>788</v>
      </c>
      <c r="C348" s="650"/>
      <c r="D348" s="650"/>
      <c r="E348" s="650"/>
      <c r="F348" s="650"/>
      <c r="G348" s="650"/>
      <c r="H348" s="650"/>
      <c r="I348" s="650"/>
      <c r="J348" s="650"/>
      <c r="K348" s="650"/>
      <c r="L348" s="650"/>
      <c r="M348" s="650"/>
      <c r="N348" s="650"/>
      <c r="O348" s="650"/>
      <c r="P348" s="650"/>
      <c r="Q348" s="650"/>
      <c r="R348" s="650"/>
      <c r="S348" s="650"/>
      <c r="T348" s="650"/>
      <c r="U348" s="650"/>
      <c r="V348" s="1160">
        <f t="shared" si="14"/>
        <v>0</v>
      </c>
      <c r="W348" s="536"/>
    </row>
    <row r="349" spans="1:23" s="609" customFormat="1" ht="18" customHeight="1" hidden="1">
      <c r="A349" s="651" t="s">
        <v>1370</v>
      </c>
      <c r="B349" s="555" t="s">
        <v>902</v>
      </c>
      <c r="C349" s="650"/>
      <c r="D349" s="650"/>
      <c r="E349" s="650"/>
      <c r="F349" s="650"/>
      <c r="G349" s="650"/>
      <c r="H349" s="650"/>
      <c r="I349" s="650"/>
      <c r="J349" s="650"/>
      <c r="K349" s="650"/>
      <c r="L349" s="650"/>
      <c r="M349" s="650"/>
      <c r="N349" s="650"/>
      <c r="O349" s="650"/>
      <c r="P349" s="650"/>
      <c r="Q349" s="650"/>
      <c r="R349" s="650"/>
      <c r="S349" s="650"/>
      <c r="T349" s="650"/>
      <c r="U349" s="650"/>
      <c r="V349" s="1160">
        <f t="shared" si="14"/>
        <v>0</v>
      </c>
      <c r="W349" s="536"/>
    </row>
    <row r="350" spans="1:24" s="504" customFormat="1" ht="18" customHeight="1" hidden="1" thickBot="1">
      <c r="A350" s="527" t="s">
        <v>1371</v>
      </c>
      <c r="B350" s="1198" t="s">
        <v>789</v>
      </c>
      <c r="C350" s="529"/>
      <c r="D350" s="529"/>
      <c r="E350" s="529"/>
      <c r="F350" s="529"/>
      <c r="G350" s="529"/>
      <c r="H350" s="529"/>
      <c r="I350" s="529"/>
      <c r="J350" s="529"/>
      <c r="K350" s="529"/>
      <c r="L350" s="529"/>
      <c r="M350" s="529"/>
      <c r="N350" s="529"/>
      <c r="O350" s="529"/>
      <c r="P350" s="529"/>
      <c r="Q350" s="529"/>
      <c r="R350" s="529"/>
      <c r="S350" s="529"/>
      <c r="T350" s="529"/>
      <c r="U350" s="529"/>
      <c r="V350" s="1160">
        <f t="shared" si="14"/>
        <v>0</v>
      </c>
      <c r="W350" s="536"/>
      <c r="X350" s="508"/>
    </row>
    <row r="351" spans="1:23" s="609" customFormat="1" ht="18" customHeight="1" hidden="1">
      <c r="A351" s="651" t="s">
        <v>1372</v>
      </c>
      <c r="B351" s="555" t="s">
        <v>790</v>
      </c>
      <c r="C351" s="650"/>
      <c r="D351" s="650"/>
      <c r="E351" s="650"/>
      <c r="F351" s="650"/>
      <c r="G351" s="650"/>
      <c r="H351" s="650"/>
      <c r="I351" s="650"/>
      <c r="J351" s="650"/>
      <c r="K351" s="650"/>
      <c r="L351" s="650"/>
      <c r="M351" s="650"/>
      <c r="N351" s="650"/>
      <c r="O351" s="650"/>
      <c r="P351" s="650"/>
      <c r="Q351" s="650"/>
      <c r="R351" s="650"/>
      <c r="S351" s="650"/>
      <c r="T351" s="650"/>
      <c r="U351" s="650"/>
      <c r="V351" s="1160">
        <f t="shared" si="14"/>
        <v>0</v>
      </c>
      <c r="W351" s="536"/>
    </row>
    <row r="352" spans="1:23" s="609" customFormat="1" ht="18" customHeight="1" hidden="1" thickBot="1">
      <c r="A352" s="653"/>
      <c r="B352" s="1227" t="s">
        <v>850</v>
      </c>
      <c r="C352" s="654"/>
      <c r="D352" s="654"/>
      <c r="E352" s="654"/>
      <c r="F352" s="654"/>
      <c r="G352" s="654"/>
      <c r="H352" s="654"/>
      <c r="I352" s="654"/>
      <c r="J352" s="654"/>
      <c r="K352" s="654"/>
      <c r="L352" s="654"/>
      <c r="M352" s="654"/>
      <c r="N352" s="654"/>
      <c r="O352" s="654"/>
      <c r="P352" s="654"/>
      <c r="Q352" s="654"/>
      <c r="R352" s="654"/>
      <c r="S352" s="654"/>
      <c r="T352" s="654"/>
      <c r="U352" s="654"/>
      <c r="V352" s="1160">
        <f t="shared" si="14"/>
        <v>0</v>
      </c>
      <c r="W352" s="536"/>
    </row>
    <row r="353" spans="1:23" s="609" customFormat="1" ht="18" customHeight="1" hidden="1" thickBot="1">
      <c r="A353" s="543"/>
      <c r="B353" s="1203" t="s">
        <v>695</v>
      </c>
      <c r="C353" s="655"/>
      <c r="D353" s="655"/>
      <c r="E353" s="655"/>
      <c r="F353" s="655"/>
      <c r="G353" s="655"/>
      <c r="H353" s="655"/>
      <c r="I353" s="655"/>
      <c r="J353" s="655"/>
      <c r="K353" s="655"/>
      <c r="L353" s="655"/>
      <c r="M353" s="655"/>
      <c r="N353" s="655"/>
      <c r="O353" s="655"/>
      <c r="P353" s="655"/>
      <c r="Q353" s="655"/>
      <c r="R353" s="655"/>
      <c r="S353" s="655"/>
      <c r="T353" s="655"/>
      <c r="U353" s="655"/>
      <c r="V353" s="1160">
        <f t="shared" si="14"/>
        <v>0</v>
      </c>
      <c r="W353" s="536"/>
    </row>
    <row r="354" spans="1:23" s="609" customFormat="1" ht="18" customHeight="1" hidden="1" thickBot="1">
      <c r="A354" s="645">
        <v>80124</v>
      </c>
      <c r="B354" s="1228" t="s">
        <v>851</v>
      </c>
      <c r="C354" s="656">
        <f>SUM(C355:C356)</f>
        <v>0</v>
      </c>
      <c r="D354" s="656">
        <f aca="true" t="shared" si="15" ref="D354:U354">SUM(D355:D356)</f>
        <v>0</v>
      </c>
      <c r="E354" s="656">
        <f t="shared" si="15"/>
        <v>0</v>
      </c>
      <c r="F354" s="656">
        <f t="shared" si="15"/>
        <v>0</v>
      </c>
      <c r="G354" s="656">
        <f t="shared" si="15"/>
        <v>0</v>
      </c>
      <c r="H354" s="656">
        <f t="shared" si="15"/>
        <v>0</v>
      </c>
      <c r="I354" s="656">
        <f>SUM(I355:I356)</f>
        <v>0</v>
      </c>
      <c r="J354" s="656">
        <f>SUM(J355:J356)</f>
        <v>0</v>
      </c>
      <c r="K354" s="656">
        <f>SUM(K355:K356)</f>
        <v>0</v>
      </c>
      <c r="L354" s="656">
        <f t="shared" si="15"/>
        <v>0</v>
      </c>
      <c r="M354" s="656">
        <f t="shared" si="15"/>
        <v>0</v>
      </c>
      <c r="N354" s="656">
        <f t="shared" si="15"/>
        <v>0</v>
      </c>
      <c r="O354" s="656">
        <f t="shared" si="15"/>
        <v>0</v>
      </c>
      <c r="P354" s="656">
        <f t="shared" si="15"/>
        <v>0</v>
      </c>
      <c r="Q354" s="656">
        <f t="shared" si="15"/>
        <v>0</v>
      </c>
      <c r="R354" s="656">
        <f t="shared" si="15"/>
        <v>0</v>
      </c>
      <c r="S354" s="656">
        <f t="shared" si="15"/>
        <v>0</v>
      </c>
      <c r="T354" s="656">
        <f t="shared" si="15"/>
        <v>0</v>
      </c>
      <c r="U354" s="656">
        <f t="shared" si="15"/>
        <v>0</v>
      </c>
      <c r="V354" s="1160">
        <f t="shared" si="14"/>
        <v>0</v>
      </c>
      <c r="W354" s="536"/>
    </row>
    <row r="355" spans="1:23" s="609" customFormat="1" ht="51.75" hidden="1" thickBot="1">
      <c r="A355" s="651" t="s">
        <v>1373</v>
      </c>
      <c r="B355" s="652" t="s">
        <v>853</v>
      </c>
      <c r="C355" s="657"/>
      <c r="D355" s="657"/>
      <c r="E355" s="657"/>
      <c r="F355" s="657"/>
      <c r="G355" s="657"/>
      <c r="H355" s="657"/>
      <c r="I355" s="657"/>
      <c r="J355" s="657"/>
      <c r="K355" s="657"/>
      <c r="L355" s="657"/>
      <c r="M355" s="657"/>
      <c r="N355" s="657"/>
      <c r="O355" s="657"/>
      <c r="P355" s="657"/>
      <c r="Q355" s="657"/>
      <c r="R355" s="657"/>
      <c r="S355" s="657"/>
      <c r="T355" s="657"/>
      <c r="U355" s="657"/>
      <c r="V355" s="1160">
        <f t="shared" si="14"/>
        <v>0</v>
      </c>
      <c r="W355" s="536"/>
    </row>
    <row r="356" spans="1:23" s="609" customFormat="1" ht="18" customHeight="1" hidden="1" thickBot="1">
      <c r="A356" s="543"/>
      <c r="B356" s="1203" t="s">
        <v>695</v>
      </c>
      <c r="C356" s="596"/>
      <c r="D356" s="596"/>
      <c r="E356" s="596"/>
      <c r="F356" s="596"/>
      <c r="G356" s="596"/>
      <c r="H356" s="596"/>
      <c r="I356" s="596"/>
      <c r="J356" s="596"/>
      <c r="K356" s="596"/>
      <c r="L356" s="596"/>
      <c r="M356" s="596"/>
      <c r="N356" s="596"/>
      <c r="O356" s="596"/>
      <c r="P356" s="596"/>
      <c r="Q356" s="596"/>
      <c r="R356" s="596"/>
      <c r="S356" s="596"/>
      <c r="T356" s="596"/>
      <c r="U356" s="596"/>
      <c r="V356" s="1162">
        <f t="shared" si="14"/>
        <v>0</v>
      </c>
      <c r="W356" s="536"/>
    </row>
    <row r="357" spans="1:23" s="609" customFormat="1" ht="18" customHeight="1" thickBot="1">
      <c r="A357" s="1193"/>
      <c r="B357" s="658" t="s">
        <v>821</v>
      </c>
      <c r="C357" s="659"/>
      <c r="D357" s="659"/>
      <c r="E357" s="659"/>
      <c r="F357" s="659"/>
      <c r="G357" s="660">
        <f>G358</f>
        <v>-2000</v>
      </c>
      <c r="H357" s="659"/>
      <c r="I357" s="659"/>
      <c r="J357" s="659"/>
      <c r="K357" s="659"/>
      <c r="L357" s="659"/>
      <c r="M357" s="659"/>
      <c r="N357" s="659"/>
      <c r="O357" s="659"/>
      <c r="P357" s="659"/>
      <c r="Q357" s="659"/>
      <c r="R357" s="659"/>
      <c r="S357" s="659"/>
      <c r="T357" s="659"/>
      <c r="U357" s="659"/>
      <c r="V357" s="720">
        <f>SUM(F357:T357)</f>
        <v>-2000</v>
      </c>
      <c r="W357" s="569"/>
    </row>
    <row r="358" spans="1:23" s="609" customFormat="1" ht="53.25" customHeight="1" thickBot="1">
      <c r="A358" s="661"/>
      <c r="B358" s="662" t="s">
        <v>822</v>
      </c>
      <c r="C358" s="663"/>
      <c r="D358" s="663"/>
      <c r="E358" s="663"/>
      <c r="F358" s="663"/>
      <c r="G358" s="663">
        <v>-2000</v>
      </c>
      <c r="H358" s="663"/>
      <c r="I358" s="663"/>
      <c r="J358" s="663"/>
      <c r="K358" s="663"/>
      <c r="L358" s="663"/>
      <c r="M358" s="663"/>
      <c r="N358" s="663"/>
      <c r="O358" s="663"/>
      <c r="P358" s="663"/>
      <c r="Q358" s="663"/>
      <c r="R358" s="663"/>
      <c r="S358" s="663"/>
      <c r="T358" s="663"/>
      <c r="U358" s="663"/>
      <c r="V358" s="1165">
        <f>SUM(F358:T358)</f>
        <v>-2000</v>
      </c>
      <c r="W358" s="569"/>
    </row>
    <row r="359" spans="1:23" s="609" customFormat="1" ht="19.5" customHeight="1" thickBot="1">
      <c r="A359" s="1194">
        <v>80130</v>
      </c>
      <c r="B359" s="598" t="s">
        <v>854</v>
      </c>
      <c r="C359" s="624">
        <f aca="true" t="shared" si="16" ref="C359:T359">SUM(C360:C373)</f>
        <v>0</v>
      </c>
      <c r="D359" s="624">
        <f t="shared" si="16"/>
        <v>0</v>
      </c>
      <c r="E359" s="624">
        <f t="shared" si="16"/>
        <v>0</v>
      </c>
      <c r="F359" s="624">
        <f t="shared" si="16"/>
        <v>-256000</v>
      </c>
      <c r="G359" s="624">
        <f t="shared" si="16"/>
        <v>-34800</v>
      </c>
      <c r="H359" s="624">
        <f t="shared" si="16"/>
        <v>-4500</v>
      </c>
      <c r="I359" s="624">
        <f t="shared" si="16"/>
        <v>3300</v>
      </c>
      <c r="J359" s="624">
        <f t="shared" si="16"/>
        <v>0</v>
      </c>
      <c r="K359" s="624"/>
      <c r="L359" s="624"/>
      <c r="M359" s="624">
        <f t="shared" si="16"/>
        <v>9000</v>
      </c>
      <c r="N359" s="624"/>
      <c r="O359" s="624">
        <f t="shared" si="16"/>
        <v>10000</v>
      </c>
      <c r="P359" s="624">
        <f t="shared" si="16"/>
        <v>5000</v>
      </c>
      <c r="Q359" s="624"/>
      <c r="R359" s="624"/>
      <c r="S359" s="624"/>
      <c r="T359" s="624">
        <f t="shared" si="16"/>
        <v>-9500</v>
      </c>
      <c r="U359" s="624"/>
      <c r="V359" s="1158">
        <f t="shared" si="14"/>
        <v>-277500</v>
      </c>
      <c r="W359" s="569"/>
    </row>
    <row r="360" spans="1:23" s="609" customFormat="1" ht="18" customHeight="1" hidden="1">
      <c r="A360" s="664" t="s">
        <v>1374</v>
      </c>
      <c r="B360" s="689" t="s">
        <v>855</v>
      </c>
      <c r="C360" s="626"/>
      <c r="D360" s="626"/>
      <c r="E360" s="626"/>
      <c r="F360" s="626"/>
      <c r="G360" s="626"/>
      <c r="H360" s="626"/>
      <c r="I360" s="626"/>
      <c r="J360" s="626"/>
      <c r="K360" s="626"/>
      <c r="L360" s="626"/>
      <c r="M360" s="626"/>
      <c r="N360" s="626"/>
      <c r="O360" s="626"/>
      <c r="P360" s="626"/>
      <c r="Q360" s="626"/>
      <c r="R360" s="626"/>
      <c r="S360" s="626"/>
      <c r="T360" s="626"/>
      <c r="U360" s="626"/>
      <c r="V360" s="1159">
        <f t="shared" si="14"/>
        <v>0</v>
      </c>
      <c r="W360" s="536"/>
    </row>
    <row r="361" spans="1:23" s="609" customFormat="1" ht="18" customHeight="1" hidden="1">
      <c r="A361" s="665" t="s">
        <v>1375</v>
      </c>
      <c r="B361" s="1229" t="s">
        <v>856</v>
      </c>
      <c r="C361" s="666"/>
      <c r="D361" s="666"/>
      <c r="E361" s="666"/>
      <c r="F361" s="666"/>
      <c r="G361" s="666"/>
      <c r="H361" s="666"/>
      <c r="I361" s="666"/>
      <c r="J361" s="666"/>
      <c r="K361" s="666"/>
      <c r="L361" s="666"/>
      <c r="M361" s="666"/>
      <c r="N361" s="666"/>
      <c r="O361" s="666"/>
      <c r="P361" s="666"/>
      <c r="Q361" s="666"/>
      <c r="R361" s="666"/>
      <c r="S361" s="666"/>
      <c r="T361" s="666"/>
      <c r="U361" s="666"/>
      <c r="V361" s="1160">
        <f t="shared" si="14"/>
        <v>0</v>
      </c>
      <c r="W361" s="536"/>
    </row>
    <row r="362" spans="1:23" s="609" customFormat="1" ht="18" customHeight="1" hidden="1">
      <c r="A362" s="664" t="s">
        <v>1376</v>
      </c>
      <c r="B362" s="689" t="s">
        <v>857</v>
      </c>
      <c r="C362" s="626"/>
      <c r="D362" s="626"/>
      <c r="E362" s="626"/>
      <c r="F362" s="626"/>
      <c r="G362" s="626"/>
      <c r="H362" s="626"/>
      <c r="I362" s="626"/>
      <c r="J362" s="626"/>
      <c r="K362" s="626"/>
      <c r="L362" s="626"/>
      <c r="M362" s="626"/>
      <c r="N362" s="626"/>
      <c r="O362" s="626"/>
      <c r="P362" s="626"/>
      <c r="Q362" s="626"/>
      <c r="R362" s="626"/>
      <c r="S362" s="626"/>
      <c r="T362" s="626"/>
      <c r="U362" s="626"/>
      <c r="V362" s="1160">
        <f t="shared" si="14"/>
        <v>0</v>
      </c>
      <c r="W362" s="536"/>
    </row>
    <row r="363" spans="1:23" s="609" customFormat="1" ht="18" customHeight="1">
      <c r="A363" s="664"/>
      <c r="B363" s="689" t="s">
        <v>1073</v>
      </c>
      <c r="C363" s="626"/>
      <c r="D363" s="626"/>
      <c r="E363" s="626"/>
      <c r="F363" s="626">
        <v>-109000</v>
      </c>
      <c r="G363" s="626">
        <v>-10000</v>
      </c>
      <c r="H363" s="626">
        <v>-1000</v>
      </c>
      <c r="I363" s="626"/>
      <c r="J363" s="626"/>
      <c r="K363" s="626"/>
      <c r="L363" s="626"/>
      <c r="M363" s="626"/>
      <c r="N363" s="626"/>
      <c r="O363" s="626"/>
      <c r="P363" s="626"/>
      <c r="Q363" s="626"/>
      <c r="R363" s="626"/>
      <c r="S363" s="626"/>
      <c r="T363" s="626"/>
      <c r="U363" s="626"/>
      <c r="V363" s="1161">
        <f t="shared" si="14"/>
        <v>-120000</v>
      </c>
      <c r="W363" s="536"/>
    </row>
    <row r="364" spans="1:23" s="609" customFormat="1" ht="18" customHeight="1">
      <c r="A364" s="665" t="s">
        <v>1377</v>
      </c>
      <c r="B364" s="689" t="s">
        <v>858</v>
      </c>
      <c r="C364" s="626"/>
      <c r="D364" s="626"/>
      <c r="E364" s="626"/>
      <c r="F364" s="626"/>
      <c r="G364" s="626"/>
      <c r="H364" s="626"/>
      <c r="I364" s="626">
        <v>3300</v>
      </c>
      <c r="J364" s="626"/>
      <c r="K364" s="626"/>
      <c r="L364" s="626"/>
      <c r="M364" s="626"/>
      <c r="N364" s="626"/>
      <c r="O364" s="626"/>
      <c r="P364" s="626"/>
      <c r="Q364" s="626"/>
      <c r="R364" s="626"/>
      <c r="S364" s="626"/>
      <c r="T364" s="626"/>
      <c r="U364" s="626"/>
      <c r="V364" s="1161">
        <f t="shared" si="14"/>
        <v>3300</v>
      </c>
      <c r="W364" s="536"/>
    </row>
    <row r="365" spans="1:23" s="609" customFormat="1" ht="18" customHeight="1" hidden="1">
      <c r="A365" s="664" t="s">
        <v>1378</v>
      </c>
      <c r="B365" s="689" t="s">
        <v>859</v>
      </c>
      <c r="C365" s="626"/>
      <c r="D365" s="626"/>
      <c r="E365" s="626"/>
      <c r="F365" s="626"/>
      <c r="G365" s="626"/>
      <c r="H365" s="626"/>
      <c r="I365" s="626"/>
      <c r="J365" s="626"/>
      <c r="K365" s="626"/>
      <c r="L365" s="626"/>
      <c r="M365" s="626"/>
      <c r="N365" s="626"/>
      <c r="O365" s="626"/>
      <c r="P365" s="626"/>
      <c r="Q365" s="626"/>
      <c r="R365" s="626"/>
      <c r="S365" s="626"/>
      <c r="T365" s="626"/>
      <c r="U365" s="626"/>
      <c r="V365" s="1161">
        <f t="shared" si="14"/>
        <v>0</v>
      </c>
      <c r="W365" s="536"/>
    </row>
    <row r="366" spans="1:23" s="609" customFormat="1" ht="18" customHeight="1">
      <c r="A366" s="665" t="s">
        <v>1379</v>
      </c>
      <c r="B366" s="689" t="s">
        <v>860</v>
      </c>
      <c r="C366" s="626"/>
      <c r="D366" s="626"/>
      <c r="E366" s="626"/>
      <c r="F366" s="626"/>
      <c r="G366" s="626"/>
      <c r="H366" s="626"/>
      <c r="I366" s="626"/>
      <c r="J366" s="626"/>
      <c r="K366" s="626"/>
      <c r="L366" s="626"/>
      <c r="M366" s="626"/>
      <c r="N366" s="626"/>
      <c r="O366" s="626">
        <v>10000</v>
      </c>
      <c r="P366" s="626"/>
      <c r="Q366" s="626"/>
      <c r="R366" s="626"/>
      <c r="S366" s="626"/>
      <c r="T366" s="626"/>
      <c r="U366" s="626"/>
      <c r="V366" s="1161">
        <f t="shared" si="14"/>
        <v>10000</v>
      </c>
      <c r="W366" s="536"/>
    </row>
    <row r="367" spans="1:23" s="609" customFormat="1" ht="18" customHeight="1">
      <c r="A367" s="665"/>
      <c r="B367" s="689" t="s">
        <v>791</v>
      </c>
      <c r="C367" s="626"/>
      <c r="D367" s="626"/>
      <c r="E367" s="626"/>
      <c r="F367" s="626">
        <v>-147000</v>
      </c>
      <c r="G367" s="626">
        <v>-24800</v>
      </c>
      <c r="H367" s="626">
        <v>-3500</v>
      </c>
      <c r="I367" s="626"/>
      <c r="J367" s="626"/>
      <c r="K367" s="626"/>
      <c r="L367" s="626"/>
      <c r="M367" s="626"/>
      <c r="N367" s="626"/>
      <c r="O367" s="626"/>
      <c r="P367" s="626"/>
      <c r="Q367" s="626"/>
      <c r="R367" s="626"/>
      <c r="S367" s="626"/>
      <c r="T367" s="626">
        <v>-9500</v>
      </c>
      <c r="U367" s="626"/>
      <c r="V367" s="1161">
        <f t="shared" si="14"/>
        <v>-184800</v>
      </c>
      <c r="W367" s="536"/>
    </row>
    <row r="368" spans="1:23" s="535" customFormat="1" ht="18" customHeight="1">
      <c r="A368" s="664" t="s">
        <v>1380</v>
      </c>
      <c r="B368" s="689" t="s">
        <v>861</v>
      </c>
      <c r="C368" s="626"/>
      <c r="D368" s="626"/>
      <c r="E368" s="626"/>
      <c r="F368" s="626"/>
      <c r="G368" s="626"/>
      <c r="H368" s="626"/>
      <c r="I368" s="626"/>
      <c r="J368" s="626"/>
      <c r="K368" s="626"/>
      <c r="L368" s="626"/>
      <c r="M368" s="626"/>
      <c r="N368" s="626"/>
      <c r="O368" s="626"/>
      <c r="P368" s="626">
        <v>5000</v>
      </c>
      <c r="Q368" s="626"/>
      <c r="R368" s="626"/>
      <c r="S368" s="626"/>
      <c r="T368" s="626"/>
      <c r="U368" s="626"/>
      <c r="V368" s="1161">
        <f t="shared" si="14"/>
        <v>5000</v>
      </c>
      <c r="W368" s="536"/>
    </row>
    <row r="369" spans="1:23" s="508" customFormat="1" ht="18" customHeight="1" hidden="1">
      <c r="A369" s="664" t="s">
        <v>1381</v>
      </c>
      <c r="B369" s="689" t="s">
        <v>862</v>
      </c>
      <c r="C369" s="626"/>
      <c r="D369" s="626"/>
      <c r="E369" s="626"/>
      <c r="F369" s="626"/>
      <c r="G369" s="626"/>
      <c r="H369" s="626"/>
      <c r="I369" s="626"/>
      <c r="J369" s="626"/>
      <c r="K369" s="626"/>
      <c r="L369" s="626"/>
      <c r="M369" s="626"/>
      <c r="N369" s="626"/>
      <c r="O369" s="626"/>
      <c r="P369" s="626"/>
      <c r="Q369" s="626"/>
      <c r="R369" s="626"/>
      <c r="S369" s="626"/>
      <c r="T369" s="626"/>
      <c r="U369" s="626"/>
      <c r="V369" s="1161">
        <f t="shared" si="14"/>
        <v>0</v>
      </c>
      <c r="W369" s="536"/>
    </row>
    <row r="370" spans="1:23" s="508" customFormat="1" ht="18" customHeight="1" hidden="1">
      <c r="A370" s="664" t="s">
        <v>1382</v>
      </c>
      <c r="B370" s="689" t="s">
        <v>863</v>
      </c>
      <c r="C370" s="626"/>
      <c r="D370" s="626"/>
      <c r="E370" s="626"/>
      <c r="F370" s="626"/>
      <c r="G370" s="626"/>
      <c r="H370" s="626"/>
      <c r="I370" s="626"/>
      <c r="J370" s="626"/>
      <c r="K370" s="626"/>
      <c r="L370" s="626"/>
      <c r="M370" s="626"/>
      <c r="N370" s="626"/>
      <c r="O370" s="626"/>
      <c r="P370" s="626"/>
      <c r="Q370" s="626"/>
      <c r="R370" s="626"/>
      <c r="S370" s="626"/>
      <c r="T370" s="626"/>
      <c r="U370" s="626"/>
      <c r="V370" s="1161">
        <f t="shared" si="14"/>
        <v>0</v>
      </c>
      <c r="W370" s="536"/>
    </row>
    <row r="371" spans="1:23" s="508" customFormat="1" ht="18" customHeight="1">
      <c r="A371" s="664" t="s">
        <v>1383</v>
      </c>
      <c r="B371" s="691" t="s">
        <v>864</v>
      </c>
      <c r="C371" s="630"/>
      <c r="D371" s="630"/>
      <c r="E371" s="630"/>
      <c r="F371" s="630"/>
      <c r="G371" s="630"/>
      <c r="H371" s="630"/>
      <c r="I371" s="630"/>
      <c r="J371" s="630"/>
      <c r="K371" s="630"/>
      <c r="L371" s="630"/>
      <c r="M371" s="630">
        <v>3000</v>
      </c>
      <c r="N371" s="630"/>
      <c r="O371" s="630"/>
      <c r="P371" s="630"/>
      <c r="Q371" s="630"/>
      <c r="R371" s="630"/>
      <c r="S371" s="630"/>
      <c r="T371" s="630"/>
      <c r="U371" s="630"/>
      <c r="V371" s="1161">
        <f t="shared" si="14"/>
        <v>3000</v>
      </c>
      <c r="W371" s="536"/>
    </row>
    <row r="372" spans="1:23" s="508" customFormat="1" ht="18" customHeight="1" hidden="1">
      <c r="A372" s="664" t="s">
        <v>1384</v>
      </c>
      <c r="B372" s="689" t="s">
        <v>865</v>
      </c>
      <c r="C372" s="626"/>
      <c r="D372" s="626"/>
      <c r="E372" s="626"/>
      <c r="F372" s="626"/>
      <c r="G372" s="626"/>
      <c r="H372" s="626"/>
      <c r="I372" s="626"/>
      <c r="J372" s="626"/>
      <c r="K372" s="626"/>
      <c r="L372" s="626"/>
      <c r="M372" s="626"/>
      <c r="N372" s="626"/>
      <c r="O372" s="626"/>
      <c r="P372" s="626"/>
      <c r="Q372" s="626"/>
      <c r="R372" s="626"/>
      <c r="S372" s="626"/>
      <c r="T372" s="626"/>
      <c r="U372" s="626"/>
      <c r="V372" s="1161">
        <f t="shared" si="14"/>
        <v>0</v>
      </c>
      <c r="W372" s="536"/>
    </row>
    <row r="373" spans="1:23" s="668" customFormat="1" ht="18" customHeight="1" thickBot="1">
      <c r="A373" s="664" t="s">
        <v>1385</v>
      </c>
      <c r="B373" s="1230" t="s">
        <v>866</v>
      </c>
      <c r="C373" s="667"/>
      <c r="D373" s="667"/>
      <c r="E373" s="667"/>
      <c r="F373" s="667"/>
      <c r="G373" s="667"/>
      <c r="H373" s="667"/>
      <c r="I373" s="667"/>
      <c r="J373" s="667"/>
      <c r="K373" s="667"/>
      <c r="L373" s="667"/>
      <c r="M373" s="667">
        <v>6000</v>
      </c>
      <c r="N373" s="667"/>
      <c r="O373" s="667"/>
      <c r="P373" s="667"/>
      <c r="Q373" s="667"/>
      <c r="R373" s="667"/>
      <c r="S373" s="667"/>
      <c r="T373" s="667"/>
      <c r="U373" s="667"/>
      <c r="V373" s="1157">
        <f t="shared" si="14"/>
        <v>6000</v>
      </c>
      <c r="W373" s="536"/>
    </row>
    <row r="374" spans="1:23" s="668" customFormat="1" ht="18" customHeight="1" thickBot="1">
      <c r="A374" s="664"/>
      <c r="B374" s="1231" t="s">
        <v>792</v>
      </c>
      <c r="C374" s="624"/>
      <c r="D374" s="624"/>
      <c r="E374" s="624"/>
      <c r="F374" s="624">
        <f>F375</f>
        <v>-100000</v>
      </c>
      <c r="G374" s="624">
        <f>G375</f>
        <v>-15000</v>
      </c>
      <c r="H374" s="624">
        <f>H375</f>
        <v>-2000</v>
      </c>
      <c r="I374" s="624"/>
      <c r="J374" s="624"/>
      <c r="K374" s="624"/>
      <c r="L374" s="624"/>
      <c r="M374" s="624"/>
      <c r="N374" s="624"/>
      <c r="O374" s="624"/>
      <c r="P374" s="624"/>
      <c r="Q374" s="624"/>
      <c r="R374" s="624"/>
      <c r="S374" s="624"/>
      <c r="T374" s="624"/>
      <c r="U374" s="624"/>
      <c r="V374" s="720">
        <f>SUM(F374:T374)</f>
        <v>-117000</v>
      </c>
      <c r="W374" s="536"/>
    </row>
    <row r="375" spans="1:23" s="668" customFormat="1" ht="18" customHeight="1" thickBot="1">
      <c r="A375" s="664"/>
      <c r="B375" s="1232" t="s">
        <v>1073</v>
      </c>
      <c r="C375" s="669"/>
      <c r="D375" s="669"/>
      <c r="E375" s="669"/>
      <c r="F375" s="669">
        <v>-100000</v>
      </c>
      <c r="G375" s="669">
        <v>-15000</v>
      </c>
      <c r="H375" s="669">
        <v>-2000</v>
      </c>
      <c r="I375" s="669"/>
      <c r="J375" s="669"/>
      <c r="K375" s="669"/>
      <c r="L375" s="669"/>
      <c r="M375" s="669"/>
      <c r="N375" s="669"/>
      <c r="O375" s="669"/>
      <c r="P375" s="669"/>
      <c r="Q375" s="669"/>
      <c r="R375" s="669"/>
      <c r="S375" s="669"/>
      <c r="T375" s="669"/>
      <c r="U375" s="669"/>
      <c r="V375" s="1370">
        <f>SUM(F375:T375)</f>
        <v>-117000</v>
      </c>
      <c r="W375" s="536"/>
    </row>
    <row r="376" spans="1:23" s="674" customFormat="1" ht="18" customHeight="1" thickBot="1">
      <c r="A376" s="670">
        <v>80195</v>
      </c>
      <c r="B376" s="578" t="s">
        <v>793</v>
      </c>
      <c r="C376" s="671">
        <f>SUM(C378:C521)</f>
        <v>0</v>
      </c>
      <c r="D376" s="671">
        <f>SUM(D378:D521)</f>
        <v>0</v>
      </c>
      <c r="E376" s="671">
        <f>SUM(E378:E521)</f>
        <v>0</v>
      </c>
      <c r="F376" s="671"/>
      <c r="G376" s="671"/>
      <c r="H376" s="671"/>
      <c r="I376" s="671"/>
      <c r="J376" s="671"/>
      <c r="K376" s="671"/>
      <c r="L376" s="671"/>
      <c r="M376" s="671"/>
      <c r="N376" s="671"/>
      <c r="O376" s="671"/>
      <c r="P376" s="671"/>
      <c r="Q376" s="671"/>
      <c r="R376" s="671"/>
      <c r="S376" s="671"/>
      <c r="T376" s="671">
        <f>SUM(T378:T521)</f>
        <v>290671</v>
      </c>
      <c r="U376" s="672"/>
      <c r="V376" s="1166">
        <f aca="true" t="shared" si="17" ref="V376:V427">SUM(C376:U376)</f>
        <v>290671</v>
      </c>
      <c r="W376" s="673"/>
    </row>
    <row r="377" spans="1:23" s="674" customFormat="1" ht="26.25" customHeight="1">
      <c r="A377" s="675"/>
      <c r="B377" s="676" t="s">
        <v>1007</v>
      </c>
      <c r="C377" s="677"/>
      <c r="D377" s="677"/>
      <c r="E377" s="677"/>
      <c r="F377" s="677"/>
      <c r="G377" s="677"/>
      <c r="H377" s="677"/>
      <c r="I377" s="677"/>
      <c r="J377" s="677"/>
      <c r="K377" s="677"/>
      <c r="L377" s="677"/>
      <c r="M377" s="677"/>
      <c r="N377" s="677"/>
      <c r="O377" s="677"/>
      <c r="P377" s="677"/>
      <c r="Q377" s="677"/>
      <c r="R377" s="677"/>
      <c r="S377" s="677"/>
      <c r="T377" s="677">
        <f>SUM(T378:T461)+W461</f>
        <v>290671</v>
      </c>
      <c r="U377" s="678"/>
      <c r="V377" s="1371">
        <f t="shared" si="17"/>
        <v>290671</v>
      </c>
      <c r="W377" s="673"/>
    </row>
    <row r="378" spans="1:23" s="674" customFormat="1" ht="18" customHeight="1">
      <c r="A378" s="679" t="s">
        <v>1390</v>
      </c>
      <c r="B378" s="680" t="s">
        <v>603</v>
      </c>
      <c r="C378" s="681"/>
      <c r="D378" s="681"/>
      <c r="E378" s="681"/>
      <c r="F378" s="681"/>
      <c r="G378" s="681"/>
      <c r="H378" s="681"/>
      <c r="I378" s="681"/>
      <c r="J378" s="681"/>
      <c r="K378" s="681"/>
      <c r="L378" s="681"/>
      <c r="M378" s="681"/>
      <c r="N378" s="681"/>
      <c r="O378" s="681"/>
      <c r="P378" s="681"/>
      <c r="Q378" s="681"/>
      <c r="R378" s="681"/>
      <c r="S378" s="681"/>
      <c r="T378" s="681">
        <v>2882</v>
      </c>
      <c r="U378" s="681"/>
      <c r="V378" s="1163">
        <f t="shared" si="17"/>
        <v>2882</v>
      </c>
      <c r="W378" s="673"/>
    </row>
    <row r="379" spans="1:23" s="674" customFormat="1" ht="18" customHeight="1">
      <c r="A379" s="682" t="s">
        <v>1391</v>
      </c>
      <c r="B379" s="634" t="s">
        <v>604</v>
      </c>
      <c r="C379" s="683"/>
      <c r="D379" s="683"/>
      <c r="E379" s="683"/>
      <c r="F379" s="683"/>
      <c r="G379" s="683"/>
      <c r="H379" s="683"/>
      <c r="I379" s="683"/>
      <c r="J379" s="683"/>
      <c r="K379" s="683"/>
      <c r="L379" s="683"/>
      <c r="M379" s="683"/>
      <c r="N379" s="683"/>
      <c r="O379" s="683"/>
      <c r="P379" s="683"/>
      <c r="Q379" s="683"/>
      <c r="R379" s="683"/>
      <c r="S379" s="683"/>
      <c r="T379" s="683">
        <v>3088</v>
      </c>
      <c r="U379" s="683"/>
      <c r="V379" s="1161">
        <f t="shared" si="17"/>
        <v>3088</v>
      </c>
      <c r="W379" s="673"/>
    </row>
    <row r="380" spans="1:23" s="674" customFormat="1" ht="18" customHeight="1">
      <c r="A380" s="682" t="s">
        <v>1392</v>
      </c>
      <c r="B380" s="634" t="s">
        <v>605</v>
      </c>
      <c r="C380" s="683"/>
      <c r="D380" s="683"/>
      <c r="E380" s="683"/>
      <c r="F380" s="683"/>
      <c r="G380" s="683"/>
      <c r="H380" s="683"/>
      <c r="I380" s="683"/>
      <c r="J380" s="683"/>
      <c r="K380" s="683"/>
      <c r="L380" s="683"/>
      <c r="M380" s="683"/>
      <c r="N380" s="683"/>
      <c r="O380" s="683"/>
      <c r="P380" s="683"/>
      <c r="Q380" s="683"/>
      <c r="R380" s="683"/>
      <c r="S380" s="683"/>
      <c r="T380" s="683">
        <v>2573</v>
      </c>
      <c r="U380" s="683"/>
      <c r="V380" s="1161">
        <f t="shared" si="17"/>
        <v>2573</v>
      </c>
      <c r="W380" s="673"/>
    </row>
    <row r="381" spans="1:23" s="674" customFormat="1" ht="18" customHeight="1">
      <c r="A381" s="682" t="s">
        <v>1393</v>
      </c>
      <c r="B381" s="634" t="s">
        <v>607</v>
      </c>
      <c r="C381" s="683"/>
      <c r="D381" s="683"/>
      <c r="E381" s="683"/>
      <c r="F381" s="683"/>
      <c r="G381" s="683"/>
      <c r="H381" s="683"/>
      <c r="I381" s="683"/>
      <c r="J381" s="683"/>
      <c r="K381" s="683"/>
      <c r="L381" s="683"/>
      <c r="M381" s="683"/>
      <c r="N381" s="683"/>
      <c r="O381" s="683"/>
      <c r="P381" s="683"/>
      <c r="Q381" s="683"/>
      <c r="R381" s="683"/>
      <c r="S381" s="683"/>
      <c r="T381" s="683">
        <v>2470</v>
      </c>
      <c r="U381" s="683"/>
      <c r="V381" s="1161">
        <f t="shared" si="17"/>
        <v>2470</v>
      </c>
      <c r="W381" s="673"/>
    </row>
    <row r="382" spans="1:23" s="674" customFormat="1" ht="18" customHeight="1">
      <c r="A382" s="682" t="s">
        <v>1394</v>
      </c>
      <c r="B382" s="634" t="s">
        <v>608</v>
      </c>
      <c r="C382" s="683"/>
      <c r="D382" s="683"/>
      <c r="E382" s="683"/>
      <c r="F382" s="683"/>
      <c r="G382" s="683"/>
      <c r="H382" s="683"/>
      <c r="I382" s="683"/>
      <c r="J382" s="683"/>
      <c r="K382" s="683"/>
      <c r="L382" s="683"/>
      <c r="M382" s="683"/>
      <c r="N382" s="683"/>
      <c r="O382" s="683"/>
      <c r="P382" s="683"/>
      <c r="Q382" s="683"/>
      <c r="R382" s="683"/>
      <c r="S382" s="683"/>
      <c r="T382" s="683">
        <v>4117</v>
      </c>
      <c r="U382" s="683"/>
      <c r="V382" s="1161">
        <f t="shared" si="17"/>
        <v>4117</v>
      </c>
      <c r="W382" s="673"/>
    </row>
    <row r="383" spans="1:23" s="674" customFormat="1" ht="18" customHeight="1">
      <c r="A383" s="682" t="s">
        <v>1395</v>
      </c>
      <c r="B383" s="634" t="s">
        <v>610</v>
      </c>
      <c r="C383" s="683"/>
      <c r="D383" s="683"/>
      <c r="E383" s="683"/>
      <c r="F383" s="683"/>
      <c r="G383" s="683"/>
      <c r="H383" s="683"/>
      <c r="I383" s="683"/>
      <c r="J383" s="683"/>
      <c r="K383" s="683"/>
      <c r="L383" s="683"/>
      <c r="M383" s="683"/>
      <c r="N383" s="683"/>
      <c r="O383" s="683"/>
      <c r="P383" s="683"/>
      <c r="Q383" s="683"/>
      <c r="R383" s="683"/>
      <c r="S383" s="683"/>
      <c r="T383" s="683">
        <v>3705</v>
      </c>
      <c r="U383" s="683"/>
      <c r="V383" s="1161">
        <f t="shared" si="17"/>
        <v>3705</v>
      </c>
      <c r="W383" s="673"/>
    </row>
    <row r="384" spans="1:23" s="674" customFormat="1" ht="18" customHeight="1">
      <c r="A384" s="682" t="s">
        <v>1396</v>
      </c>
      <c r="B384" s="633" t="s">
        <v>613</v>
      </c>
      <c r="C384" s="683"/>
      <c r="D384" s="683"/>
      <c r="E384" s="683"/>
      <c r="F384" s="683"/>
      <c r="G384" s="683"/>
      <c r="H384" s="683"/>
      <c r="I384" s="683"/>
      <c r="J384" s="683"/>
      <c r="K384" s="683"/>
      <c r="L384" s="683"/>
      <c r="M384" s="683"/>
      <c r="N384" s="683"/>
      <c r="O384" s="683"/>
      <c r="P384" s="683"/>
      <c r="Q384" s="683"/>
      <c r="R384" s="683"/>
      <c r="S384" s="683"/>
      <c r="T384" s="683">
        <v>1647</v>
      </c>
      <c r="U384" s="683"/>
      <c r="V384" s="1161">
        <f t="shared" si="17"/>
        <v>1647</v>
      </c>
      <c r="W384" s="673"/>
    </row>
    <row r="385" spans="1:23" s="674" customFormat="1" ht="18" customHeight="1">
      <c r="A385" s="682" t="s">
        <v>1397</v>
      </c>
      <c r="B385" s="633" t="s">
        <v>618</v>
      </c>
      <c r="C385" s="683"/>
      <c r="D385" s="683"/>
      <c r="E385" s="683"/>
      <c r="F385" s="683"/>
      <c r="G385" s="683"/>
      <c r="H385" s="683"/>
      <c r="I385" s="683"/>
      <c r="J385" s="683"/>
      <c r="K385" s="683"/>
      <c r="L385" s="683"/>
      <c r="M385" s="683"/>
      <c r="N385" s="683"/>
      <c r="O385" s="683"/>
      <c r="P385" s="683"/>
      <c r="Q385" s="683"/>
      <c r="R385" s="683"/>
      <c r="S385" s="683"/>
      <c r="T385" s="683">
        <v>1235</v>
      </c>
      <c r="U385" s="683"/>
      <c r="V385" s="1161">
        <f t="shared" si="17"/>
        <v>1235</v>
      </c>
      <c r="W385" s="673"/>
    </row>
    <row r="386" spans="1:23" s="674" customFormat="1" ht="18" customHeight="1">
      <c r="A386" s="682" t="s">
        <v>1398</v>
      </c>
      <c r="B386" s="633" t="s">
        <v>648</v>
      </c>
      <c r="C386" s="683"/>
      <c r="D386" s="683"/>
      <c r="E386" s="683"/>
      <c r="F386" s="683"/>
      <c r="G386" s="683"/>
      <c r="H386" s="683"/>
      <c r="I386" s="683"/>
      <c r="J386" s="683"/>
      <c r="K386" s="683"/>
      <c r="L386" s="683"/>
      <c r="M386" s="683"/>
      <c r="N386" s="683"/>
      <c r="O386" s="683"/>
      <c r="P386" s="683"/>
      <c r="Q386" s="683"/>
      <c r="R386" s="683"/>
      <c r="S386" s="683"/>
      <c r="T386" s="683">
        <v>3294</v>
      </c>
      <c r="U386" s="683"/>
      <c r="V386" s="1161">
        <f t="shared" si="17"/>
        <v>3294</v>
      </c>
      <c r="W386" s="673"/>
    </row>
    <row r="387" spans="1:23" s="674" customFormat="1" ht="18" customHeight="1">
      <c r="A387" s="682" t="s">
        <v>1399</v>
      </c>
      <c r="B387" s="633" t="s">
        <v>650</v>
      </c>
      <c r="C387" s="683"/>
      <c r="D387" s="683"/>
      <c r="E387" s="683"/>
      <c r="F387" s="683"/>
      <c r="G387" s="683"/>
      <c r="H387" s="683"/>
      <c r="I387" s="683"/>
      <c r="J387" s="683"/>
      <c r="K387" s="683"/>
      <c r="L387" s="683"/>
      <c r="M387" s="683"/>
      <c r="N387" s="683"/>
      <c r="O387" s="683"/>
      <c r="P387" s="683"/>
      <c r="Q387" s="683"/>
      <c r="R387" s="683"/>
      <c r="S387" s="683"/>
      <c r="T387" s="683">
        <v>2985</v>
      </c>
      <c r="U387" s="683"/>
      <c r="V387" s="1161">
        <f t="shared" si="17"/>
        <v>2985</v>
      </c>
      <c r="W387" s="673"/>
    </row>
    <row r="388" spans="1:23" s="674" customFormat="1" ht="18" customHeight="1">
      <c r="A388" s="682" t="s">
        <v>1400</v>
      </c>
      <c r="B388" s="633" t="s">
        <v>651</v>
      </c>
      <c r="C388" s="683"/>
      <c r="D388" s="683"/>
      <c r="E388" s="683"/>
      <c r="F388" s="683"/>
      <c r="G388" s="683"/>
      <c r="H388" s="683"/>
      <c r="I388" s="683"/>
      <c r="J388" s="683"/>
      <c r="K388" s="683"/>
      <c r="L388" s="683"/>
      <c r="M388" s="683"/>
      <c r="N388" s="683"/>
      <c r="O388" s="683"/>
      <c r="P388" s="683"/>
      <c r="Q388" s="683"/>
      <c r="R388" s="683"/>
      <c r="S388" s="683"/>
      <c r="T388" s="683">
        <v>2779</v>
      </c>
      <c r="U388" s="683"/>
      <c r="V388" s="1161">
        <f t="shared" si="17"/>
        <v>2779</v>
      </c>
      <c r="W388" s="673"/>
    </row>
    <row r="389" spans="1:23" s="674" customFormat="1" ht="18" customHeight="1">
      <c r="A389" s="682" t="s">
        <v>1401</v>
      </c>
      <c r="B389" s="633" t="s">
        <v>652</v>
      </c>
      <c r="C389" s="683"/>
      <c r="D389" s="683"/>
      <c r="E389" s="683"/>
      <c r="F389" s="683"/>
      <c r="G389" s="683"/>
      <c r="H389" s="683"/>
      <c r="I389" s="683"/>
      <c r="J389" s="683"/>
      <c r="K389" s="683"/>
      <c r="L389" s="683"/>
      <c r="M389" s="683"/>
      <c r="N389" s="683"/>
      <c r="O389" s="683"/>
      <c r="P389" s="683"/>
      <c r="Q389" s="683"/>
      <c r="R389" s="683"/>
      <c r="S389" s="683"/>
      <c r="T389" s="683">
        <v>2882</v>
      </c>
      <c r="U389" s="683"/>
      <c r="V389" s="1161">
        <f t="shared" si="17"/>
        <v>2882</v>
      </c>
      <c r="W389" s="673"/>
    </row>
    <row r="390" spans="1:23" s="674" customFormat="1" ht="18" customHeight="1">
      <c r="A390" s="682" t="s">
        <v>1402</v>
      </c>
      <c r="B390" s="633" t="s">
        <v>653</v>
      </c>
      <c r="C390" s="683"/>
      <c r="D390" s="683"/>
      <c r="E390" s="683"/>
      <c r="F390" s="683"/>
      <c r="G390" s="683"/>
      <c r="H390" s="683"/>
      <c r="I390" s="683"/>
      <c r="J390" s="683"/>
      <c r="K390" s="683"/>
      <c r="L390" s="683"/>
      <c r="M390" s="683"/>
      <c r="N390" s="683"/>
      <c r="O390" s="683"/>
      <c r="P390" s="683"/>
      <c r="Q390" s="683"/>
      <c r="R390" s="683"/>
      <c r="S390" s="683"/>
      <c r="T390" s="683">
        <v>1955</v>
      </c>
      <c r="U390" s="683"/>
      <c r="V390" s="1161">
        <f t="shared" si="17"/>
        <v>1955</v>
      </c>
      <c r="W390" s="673"/>
    </row>
    <row r="391" spans="1:23" s="674" customFormat="1" ht="18" customHeight="1">
      <c r="A391" s="682" t="s">
        <v>1403</v>
      </c>
      <c r="B391" s="633" t="s">
        <v>654</v>
      </c>
      <c r="C391" s="683"/>
      <c r="D391" s="683"/>
      <c r="E391" s="683"/>
      <c r="F391" s="683"/>
      <c r="G391" s="683"/>
      <c r="H391" s="683"/>
      <c r="I391" s="683"/>
      <c r="J391" s="683"/>
      <c r="K391" s="683"/>
      <c r="L391" s="683"/>
      <c r="M391" s="683"/>
      <c r="N391" s="683"/>
      <c r="O391" s="683"/>
      <c r="P391" s="683"/>
      <c r="Q391" s="683"/>
      <c r="R391" s="683"/>
      <c r="S391" s="683"/>
      <c r="T391" s="683">
        <v>2470</v>
      </c>
      <c r="U391" s="683"/>
      <c r="V391" s="1161">
        <f t="shared" si="17"/>
        <v>2470</v>
      </c>
      <c r="W391" s="673"/>
    </row>
    <row r="392" spans="1:23" s="674" customFormat="1" ht="18" customHeight="1">
      <c r="A392" s="682" t="s">
        <v>1404</v>
      </c>
      <c r="B392" s="633" t="s">
        <v>655</v>
      </c>
      <c r="C392" s="683"/>
      <c r="D392" s="683"/>
      <c r="E392" s="683"/>
      <c r="F392" s="683"/>
      <c r="G392" s="683"/>
      <c r="H392" s="683"/>
      <c r="I392" s="683"/>
      <c r="J392" s="683"/>
      <c r="K392" s="683"/>
      <c r="L392" s="683"/>
      <c r="M392" s="683"/>
      <c r="N392" s="683"/>
      <c r="O392" s="683"/>
      <c r="P392" s="683"/>
      <c r="Q392" s="683"/>
      <c r="R392" s="683"/>
      <c r="S392" s="683"/>
      <c r="T392" s="683">
        <v>3397</v>
      </c>
      <c r="U392" s="683"/>
      <c r="V392" s="1161">
        <f t="shared" si="17"/>
        <v>3397</v>
      </c>
      <c r="W392" s="673"/>
    </row>
    <row r="393" spans="1:23" s="674" customFormat="1" ht="18" customHeight="1">
      <c r="A393" s="682" t="s">
        <v>1405</v>
      </c>
      <c r="B393" s="633" t="s">
        <v>656</v>
      </c>
      <c r="C393" s="683"/>
      <c r="D393" s="683"/>
      <c r="E393" s="683"/>
      <c r="F393" s="683"/>
      <c r="G393" s="683"/>
      <c r="H393" s="683"/>
      <c r="I393" s="683"/>
      <c r="J393" s="683"/>
      <c r="K393" s="683"/>
      <c r="L393" s="683"/>
      <c r="M393" s="683"/>
      <c r="N393" s="683"/>
      <c r="O393" s="683"/>
      <c r="P393" s="683"/>
      <c r="Q393" s="683"/>
      <c r="R393" s="683"/>
      <c r="S393" s="683"/>
      <c r="T393" s="683">
        <v>5044</v>
      </c>
      <c r="U393" s="683"/>
      <c r="V393" s="1161">
        <f t="shared" si="17"/>
        <v>5044</v>
      </c>
      <c r="W393" s="673"/>
    </row>
    <row r="394" spans="1:23" s="674" customFormat="1" ht="18" customHeight="1">
      <c r="A394" s="682" t="s">
        <v>1406</v>
      </c>
      <c r="B394" s="633" t="s">
        <v>657</v>
      </c>
      <c r="C394" s="683"/>
      <c r="D394" s="683"/>
      <c r="E394" s="683"/>
      <c r="F394" s="683"/>
      <c r="G394" s="683"/>
      <c r="H394" s="683"/>
      <c r="I394" s="683"/>
      <c r="J394" s="683"/>
      <c r="K394" s="683"/>
      <c r="L394" s="683"/>
      <c r="M394" s="683"/>
      <c r="N394" s="683"/>
      <c r="O394" s="683"/>
      <c r="P394" s="683"/>
      <c r="Q394" s="683"/>
      <c r="R394" s="683"/>
      <c r="S394" s="683"/>
      <c r="T394" s="683">
        <v>2058</v>
      </c>
      <c r="U394" s="683"/>
      <c r="V394" s="1161">
        <f t="shared" si="17"/>
        <v>2058</v>
      </c>
      <c r="W394" s="673"/>
    </row>
    <row r="395" spans="1:23" s="674" customFormat="1" ht="18" customHeight="1">
      <c r="A395" s="682" t="s">
        <v>1407</v>
      </c>
      <c r="B395" s="633" t="s">
        <v>658</v>
      </c>
      <c r="C395" s="683"/>
      <c r="D395" s="683"/>
      <c r="E395" s="683"/>
      <c r="F395" s="683"/>
      <c r="G395" s="683"/>
      <c r="H395" s="683"/>
      <c r="I395" s="683"/>
      <c r="J395" s="683"/>
      <c r="K395" s="683"/>
      <c r="L395" s="683"/>
      <c r="M395" s="683"/>
      <c r="N395" s="683"/>
      <c r="O395" s="683"/>
      <c r="P395" s="683"/>
      <c r="Q395" s="683"/>
      <c r="R395" s="683"/>
      <c r="S395" s="683"/>
      <c r="T395" s="683">
        <v>2264</v>
      </c>
      <c r="U395" s="683"/>
      <c r="V395" s="1161">
        <f t="shared" si="17"/>
        <v>2264</v>
      </c>
      <c r="W395" s="673"/>
    </row>
    <row r="396" spans="1:23" s="674" customFormat="1" ht="18" customHeight="1">
      <c r="A396" s="682" t="s">
        <v>1408</v>
      </c>
      <c r="B396" s="633" t="s">
        <v>660</v>
      </c>
      <c r="C396" s="683"/>
      <c r="D396" s="683"/>
      <c r="E396" s="683"/>
      <c r="F396" s="683"/>
      <c r="G396" s="683"/>
      <c r="H396" s="683"/>
      <c r="I396" s="683"/>
      <c r="J396" s="683"/>
      <c r="K396" s="683"/>
      <c r="L396" s="683"/>
      <c r="M396" s="683"/>
      <c r="N396" s="683"/>
      <c r="O396" s="683"/>
      <c r="P396" s="683"/>
      <c r="Q396" s="683"/>
      <c r="R396" s="683"/>
      <c r="S396" s="683"/>
      <c r="T396" s="683">
        <v>2779</v>
      </c>
      <c r="U396" s="683"/>
      <c r="V396" s="1161">
        <f t="shared" si="17"/>
        <v>2779</v>
      </c>
      <c r="W396" s="673"/>
    </row>
    <row r="397" spans="1:23" s="674" customFormat="1" ht="18" customHeight="1">
      <c r="A397" s="682" t="s">
        <v>1409</v>
      </c>
      <c r="B397" s="633" t="s">
        <v>669</v>
      </c>
      <c r="C397" s="683"/>
      <c r="D397" s="683"/>
      <c r="E397" s="683"/>
      <c r="F397" s="683"/>
      <c r="G397" s="683"/>
      <c r="H397" s="683"/>
      <c r="I397" s="683"/>
      <c r="J397" s="683"/>
      <c r="K397" s="683"/>
      <c r="L397" s="683"/>
      <c r="M397" s="683"/>
      <c r="N397" s="683"/>
      <c r="O397" s="683"/>
      <c r="P397" s="683"/>
      <c r="Q397" s="683"/>
      <c r="R397" s="683"/>
      <c r="S397" s="683"/>
      <c r="T397" s="683">
        <v>2882</v>
      </c>
      <c r="U397" s="683"/>
      <c r="V397" s="1161">
        <f t="shared" si="17"/>
        <v>2882</v>
      </c>
      <c r="W397" s="673"/>
    </row>
    <row r="398" spans="1:23" s="674" customFormat="1" ht="18" customHeight="1">
      <c r="A398" s="682" t="s">
        <v>1410</v>
      </c>
      <c r="B398" s="633" t="s">
        <v>670</v>
      </c>
      <c r="C398" s="683"/>
      <c r="D398" s="683"/>
      <c r="E398" s="683"/>
      <c r="F398" s="683"/>
      <c r="G398" s="683"/>
      <c r="H398" s="683"/>
      <c r="I398" s="683"/>
      <c r="J398" s="683"/>
      <c r="K398" s="683"/>
      <c r="L398" s="683"/>
      <c r="M398" s="683"/>
      <c r="N398" s="683"/>
      <c r="O398" s="683"/>
      <c r="P398" s="683"/>
      <c r="Q398" s="683"/>
      <c r="R398" s="683"/>
      <c r="S398" s="683"/>
      <c r="T398" s="683">
        <v>515</v>
      </c>
      <c r="U398" s="683"/>
      <c r="V398" s="1161">
        <f t="shared" si="17"/>
        <v>515</v>
      </c>
      <c r="W398" s="673"/>
    </row>
    <row r="399" spans="1:23" s="674" customFormat="1" ht="18" customHeight="1">
      <c r="A399" s="682" t="s">
        <v>1411</v>
      </c>
      <c r="B399" s="633" t="s">
        <v>671</v>
      </c>
      <c r="C399" s="683"/>
      <c r="D399" s="683"/>
      <c r="E399" s="683"/>
      <c r="F399" s="683"/>
      <c r="G399" s="683"/>
      <c r="H399" s="683"/>
      <c r="I399" s="683"/>
      <c r="J399" s="683"/>
      <c r="K399" s="683"/>
      <c r="L399" s="683"/>
      <c r="M399" s="683"/>
      <c r="N399" s="683"/>
      <c r="O399" s="683"/>
      <c r="P399" s="683"/>
      <c r="Q399" s="683"/>
      <c r="R399" s="683"/>
      <c r="S399" s="683"/>
      <c r="T399" s="683">
        <v>2882</v>
      </c>
      <c r="U399" s="683"/>
      <c r="V399" s="1161">
        <f t="shared" si="17"/>
        <v>2882</v>
      </c>
      <c r="W399" s="673"/>
    </row>
    <row r="400" spans="1:23" s="674" customFormat="1" ht="18" customHeight="1">
      <c r="A400" s="682" t="s">
        <v>1412</v>
      </c>
      <c r="B400" s="633" t="s">
        <v>672</v>
      </c>
      <c r="C400" s="683"/>
      <c r="D400" s="683"/>
      <c r="E400" s="683"/>
      <c r="F400" s="683"/>
      <c r="G400" s="683"/>
      <c r="H400" s="683"/>
      <c r="I400" s="683"/>
      <c r="J400" s="683"/>
      <c r="K400" s="683"/>
      <c r="L400" s="683"/>
      <c r="M400" s="683"/>
      <c r="N400" s="683"/>
      <c r="O400" s="683"/>
      <c r="P400" s="683"/>
      <c r="Q400" s="683"/>
      <c r="R400" s="683"/>
      <c r="S400" s="683"/>
      <c r="T400" s="683">
        <v>3808</v>
      </c>
      <c r="U400" s="683"/>
      <c r="V400" s="1161">
        <f t="shared" si="17"/>
        <v>3808</v>
      </c>
      <c r="W400" s="673"/>
    </row>
    <row r="401" spans="1:23" s="674" customFormat="1" ht="18" customHeight="1">
      <c r="A401" s="682" t="s">
        <v>1413</v>
      </c>
      <c r="B401" s="633" t="s">
        <v>673</v>
      </c>
      <c r="C401" s="683"/>
      <c r="D401" s="683"/>
      <c r="E401" s="683"/>
      <c r="F401" s="683"/>
      <c r="G401" s="683"/>
      <c r="H401" s="683"/>
      <c r="I401" s="683"/>
      <c r="J401" s="683"/>
      <c r="K401" s="683"/>
      <c r="L401" s="683"/>
      <c r="M401" s="683"/>
      <c r="N401" s="683"/>
      <c r="O401" s="683"/>
      <c r="P401" s="683"/>
      <c r="Q401" s="683"/>
      <c r="R401" s="683"/>
      <c r="S401" s="683"/>
      <c r="T401" s="683">
        <v>2367</v>
      </c>
      <c r="U401" s="683"/>
      <c r="V401" s="1161">
        <f t="shared" si="17"/>
        <v>2367</v>
      </c>
      <c r="W401" s="673"/>
    </row>
    <row r="402" spans="1:23" s="674" customFormat="1" ht="18" customHeight="1">
      <c r="A402" s="682" t="s">
        <v>1414</v>
      </c>
      <c r="B402" s="633" t="s">
        <v>675</v>
      </c>
      <c r="C402" s="683"/>
      <c r="D402" s="683"/>
      <c r="E402" s="683"/>
      <c r="F402" s="683"/>
      <c r="G402" s="683"/>
      <c r="H402" s="683"/>
      <c r="I402" s="683"/>
      <c r="J402" s="683"/>
      <c r="K402" s="683"/>
      <c r="L402" s="683"/>
      <c r="M402" s="683"/>
      <c r="N402" s="683"/>
      <c r="O402" s="683"/>
      <c r="P402" s="683"/>
      <c r="Q402" s="683"/>
      <c r="R402" s="683"/>
      <c r="S402" s="683"/>
      <c r="T402" s="683">
        <v>2882</v>
      </c>
      <c r="U402" s="683"/>
      <c r="V402" s="1161">
        <f t="shared" si="17"/>
        <v>2882</v>
      </c>
      <c r="W402" s="673"/>
    </row>
    <row r="403" spans="1:23" s="674" customFormat="1" ht="18" customHeight="1">
      <c r="A403" s="682" t="s">
        <v>1415</v>
      </c>
      <c r="B403" s="633" t="s">
        <v>676</v>
      </c>
      <c r="C403" s="683"/>
      <c r="D403" s="683"/>
      <c r="E403" s="683"/>
      <c r="F403" s="683"/>
      <c r="G403" s="683"/>
      <c r="H403" s="683"/>
      <c r="I403" s="683"/>
      <c r="J403" s="683"/>
      <c r="K403" s="683"/>
      <c r="L403" s="683"/>
      <c r="M403" s="683"/>
      <c r="N403" s="683"/>
      <c r="O403" s="683"/>
      <c r="P403" s="683"/>
      <c r="Q403" s="683"/>
      <c r="R403" s="683"/>
      <c r="S403" s="683"/>
      <c r="T403" s="683">
        <v>1647</v>
      </c>
      <c r="U403" s="683"/>
      <c r="V403" s="1161">
        <f t="shared" si="17"/>
        <v>1647</v>
      </c>
      <c r="W403" s="673"/>
    </row>
    <row r="404" spans="1:23" s="674" customFormat="1" ht="18" customHeight="1">
      <c r="A404" s="682" t="s">
        <v>1416</v>
      </c>
      <c r="B404" s="633" t="s">
        <v>677</v>
      </c>
      <c r="C404" s="683"/>
      <c r="D404" s="683"/>
      <c r="E404" s="683"/>
      <c r="F404" s="683"/>
      <c r="G404" s="683"/>
      <c r="H404" s="683"/>
      <c r="I404" s="683"/>
      <c r="J404" s="683"/>
      <c r="K404" s="683"/>
      <c r="L404" s="683"/>
      <c r="M404" s="683"/>
      <c r="N404" s="683"/>
      <c r="O404" s="683"/>
      <c r="P404" s="683"/>
      <c r="Q404" s="683"/>
      <c r="R404" s="683"/>
      <c r="S404" s="683"/>
      <c r="T404" s="683">
        <v>927</v>
      </c>
      <c r="U404" s="683"/>
      <c r="V404" s="1161">
        <f t="shared" si="17"/>
        <v>927</v>
      </c>
      <c r="W404" s="673"/>
    </row>
    <row r="405" spans="1:23" s="674" customFormat="1" ht="18" customHeight="1">
      <c r="A405" s="682" t="s">
        <v>1417</v>
      </c>
      <c r="B405" s="633" t="s">
        <v>678</v>
      </c>
      <c r="C405" s="683"/>
      <c r="D405" s="683"/>
      <c r="E405" s="683"/>
      <c r="F405" s="683"/>
      <c r="G405" s="683"/>
      <c r="H405" s="683"/>
      <c r="I405" s="683"/>
      <c r="J405" s="683"/>
      <c r="K405" s="683"/>
      <c r="L405" s="683"/>
      <c r="M405" s="683"/>
      <c r="N405" s="683"/>
      <c r="O405" s="683"/>
      <c r="P405" s="683"/>
      <c r="Q405" s="683"/>
      <c r="R405" s="683"/>
      <c r="S405" s="683"/>
      <c r="T405" s="683">
        <v>103</v>
      </c>
      <c r="U405" s="683"/>
      <c r="V405" s="1161">
        <f t="shared" si="17"/>
        <v>103</v>
      </c>
      <c r="W405" s="673"/>
    </row>
    <row r="406" spans="1:23" s="674" customFormat="1" ht="18" customHeight="1">
      <c r="A406" s="682"/>
      <c r="B406" s="684" t="s">
        <v>823</v>
      </c>
      <c r="C406" s="683"/>
      <c r="D406" s="683"/>
      <c r="E406" s="683"/>
      <c r="F406" s="683"/>
      <c r="G406" s="683"/>
      <c r="H406" s="683"/>
      <c r="I406" s="683"/>
      <c r="J406" s="683"/>
      <c r="K406" s="683"/>
      <c r="L406" s="683"/>
      <c r="M406" s="683"/>
      <c r="N406" s="683"/>
      <c r="O406" s="683"/>
      <c r="P406" s="683"/>
      <c r="Q406" s="683"/>
      <c r="R406" s="683"/>
      <c r="S406" s="683"/>
      <c r="T406" s="683">
        <v>206</v>
      </c>
      <c r="U406" s="683"/>
      <c r="V406" s="1161">
        <f t="shared" si="17"/>
        <v>206</v>
      </c>
      <c r="W406" s="673"/>
    </row>
    <row r="407" spans="1:23" s="674" customFormat="1" ht="18" customHeight="1">
      <c r="A407" s="682" t="s">
        <v>1449</v>
      </c>
      <c r="B407" s="685" t="s">
        <v>709</v>
      </c>
      <c r="C407" s="683"/>
      <c r="D407" s="683"/>
      <c r="E407" s="683"/>
      <c r="F407" s="683"/>
      <c r="G407" s="683"/>
      <c r="H407" s="683"/>
      <c r="I407" s="683"/>
      <c r="J407" s="683"/>
      <c r="K407" s="683"/>
      <c r="L407" s="683"/>
      <c r="M407" s="683"/>
      <c r="N407" s="683"/>
      <c r="O407" s="683"/>
      <c r="P407" s="683"/>
      <c r="Q407" s="683"/>
      <c r="R407" s="683"/>
      <c r="S407" s="683"/>
      <c r="T407" s="683">
        <v>3705</v>
      </c>
      <c r="U407" s="683"/>
      <c r="V407" s="1161">
        <f t="shared" si="17"/>
        <v>3705</v>
      </c>
      <c r="W407" s="673"/>
    </row>
    <row r="408" spans="1:23" s="674" customFormat="1" ht="18" customHeight="1">
      <c r="A408" s="682"/>
      <c r="B408" s="685" t="s">
        <v>710</v>
      </c>
      <c r="C408" s="683"/>
      <c r="D408" s="683"/>
      <c r="E408" s="683"/>
      <c r="F408" s="683"/>
      <c r="G408" s="683"/>
      <c r="H408" s="683"/>
      <c r="I408" s="683"/>
      <c r="J408" s="683"/>
      <c r="K408" s="683"/>
      <c r="L408" s="683"/>
      <c r="M408" s="683"/>
      <c r="N408" s="683"/>
      <c r="O408" s="683"/>
      <c r="P408" s="683"/>
      <c r="Q408" s="683"/>
      <c r="R408" s="683"/>
      <c r="S408" s="683"/>
      <c r="T408" s="683">
        <v>3397</v>
      </c>
      <c r="U408" s="683"/>
      <c r="V408" s="1161">
        <f t="shared" si="17"/>
        <v>3397</v>
      </c>
      <c r="W408" s="673"/>
    </row>
    <row r="409" spans="1:23" s="674" customFormat="1" ht="18" customHeight="1">
      <c r="A409" s="682" t="s">
        <v>1452</v>
      </c>
      <c r="B409" s="685" t="s">
        <v>713</v>
      </c>
      <c r="C409" s="683"/>
      <c r="D409" s="683"/>
      <c r="E409" s="683"/>
      <c r="F409" s="683"/>
      <c r="G409" s="683"/>
      <c r="H409" s="683"/>
      <c r="I409" s="683"/>
      <c r="J409" s="683"/>
      <c r="K409" s="683"/>
      <c r="L409" s="683"/>
      <c r="M409" s="683"/>
      <c r="N409" s="683"/>
      <c r="O409" s="683"/>
      <c r="P409" s="683"/>
      <c r="Q409" s="683"/>
      <c r="R409" s="683"/>
      <c r="S409" s="683"/>
      <c r="T409" s="683">
        <v>3603</v>
      </c>
      <c r="U409" s="683"/>
      <c r="V409" s="1161">
        <f t="shared" si="17"/>
        <v>3603</v>
      </c>
      <c r="W409" s="673"/>
    </row>
    <row r="410" spans="1:23" s="674" customFormat="1" ht="18" customHeight="1">
      <c r="A410" s="682" t="s">
        <v>1453</v>
      </c>
      <c r="B410" s="685" t="s">
        <v>715</v>
      </c>
      <c r="C410" s="683"/>
      <c r="D410" s="683"/>
      <c r="E410" s="683"/>
      <c r="F410" s="683"/>
      <c r="G410" s="683"/>
      <c r="H410" s="683"/>
      <c r="I410" s="683"/>
      <c r="J410" s="683"/>
      <c r="K410" s="683"/>
      <c r="L410" s="683"/>
      <c r="M410" s="683"/>
      <c r="N410" s="683"/>
      <c r="O410" s="683"/>
      <c r="P410" s="683"/>
      <c r="Q410" s="683"/>
      <c r="R410" s="683"/>
      <c r="S410" s="683"/>
      <c r="T410" s="683">
        <v>618</v>
      </c>
      <c r="U410" s="683"/>
      <c r="V410" s="1161">
        <f t="shared" si="17"/>
        <v>618</v>
      </c>
      <c r="W410" s="673"/>
    </row>
    <row r="411" spans="1:23" s="674" customFormat="1" ht="18" customHeight="1">
      <c r="A411" s="682" t="s">
        <v>1454</v>
      </c>
      <c r="B411" s="685" t="s">
        <v>717</v>
      </c>
      <c r="C411" s="683"/>
      <c r="D411" s="683"/>
      <c r="E411" s="683"/>
      <c r="F411" s="683"/>
      <c r="G411" s="683"/>
      <c r="H411" s="683"/>
      <c r="I411" s="683"/>
      <c r="J411" s="683"/>
      <c r="K411" s="683"/>
      <c r="L411" s="683"/>
      <c r="M411" s="683"/>
      <c r="N411" s="683"/>
      <c r="O411" s="683"/>
      <c r="P411" s="683"/>
      <c r="Q411" s="683"/>
      <c r="R411" s="683"/>
      <c r="S411" s="683"/>
      <c r="T411" s="683">
        <v>3191</v>
      </c>
      <c r="U411" s="683"/>
      <c r="V411" s="1161">
        <f t="shared" si="17"/>
        <v>3191</v>
      </c>
      <c r="W411" s="673"/>
    </row>
    <row r="412" spans="1:23" s="674" customFormat="1" ht="18" customHeight="1">
      <c r="A412" s="682" t="s">
        <v>1455</v>
      </c>
      <c r="B412" s="685" t="s">
        <v>718</v>
      </c>
      <c r="C412" s="683"/>
      <c r="D412" s="683"/>
      <c r="E412" s="683"/>
      <c r="F412" s="683"/>
      <c r="G412" s="683"/>
      <c r="H412" s="683"/>
      <c r="I412" s="683"/>
      <c r="J412" s="683"/>
      <c r="K412" s="683"/>
      <c r="L412" s="683"/>
      <c r="M412" s="683"/>
      <c r="N412" s="683"/>
      <c r="O412" s="683"/>
      <c r="P412" s="683"/>
      <c r="Q412" s="683"/>
      <c r="R412" s="683"/>
      <c r="S412" s="683"/>
      <c r="T412" s="683">
        <v>4117</v>
      </c>
      <c r="U412" s="683"/>
      <c r="V412" s="1161">
        <f t="shared" si="17"/>
        <v>4117</v>
      </c>
      <c r="W412" s="673"/>
    </row>
    <row r="413" spans="1:23" s="674" customFormat="1" ht="18" customHeight="1">
      <c r="A413" s="682" t="s">
        <v>1456</v>
      </c>
      <c r="B413" s="685" t="s">
        <v>720</v>
      </c>
      <c r="C413" s="683"/>
      <c r="D413" s="683"/>
      <c r="E413" s="683"/>
      <c r="F413" s="683"/>
      <c r="G413" s="683"/>
      <c r="H413" s="683"/>
      <c r="I413" s="683"/>
      <c r="J413" s="683"/>
      <c r="K413" s="683"/>
      <c r="L413" s="683"/>
      <c r="M413" s="683"/>
      <c r="N413" s="683"/>
      <c r="O413" s="683"/>
      <c r="P413" s="683"/>
      <c r="Q413" s="683"/>
      <c r="R413" s="683"/>
      <c r="S413" s="683"/>
      <c r="T413" s="683">
        <v>3911</v>
      </c>
      <c r="U413" s="683"/>
      <c r="V413" s="1161">
        <f t="shared" si="17"/>
        <v>3911</v>
      </c>
      <c r="W413" s="673"/>
    </row>
    <row r="414" spans="1:23" s="674" customFormat="1" ht="18" customHeight="1">
      <c r="A414" s="682" t="s">
        <v>1457</v>
      </c>
      <c r="B414" s="685" t="s">
        <v>721</v>
      </c>
      <c r="C414" s="683"/>
      <c r="D414" s="683"/>
      <c r="E414" s="683"/>
      <c r="F414" s="683"/>
      <c r="G414" s="683"/>
      <c r="H414" s="683"/>
      <c r="I414" s="683"/>
      <c r="J414" s="683"/>
      <c r="K414" s="683"/>
      <c r="L414" s="683"/>
      <c r="M414" s="683"/>
      <c r="N414" s="683"/>
      <c r="O414" s="683"/>
      <c r="P414" s="683"/>
      <c r="Q414" s="683"/>
      <c r="R414" s="683"/>
      <c r="S414" s="683"/>
      <c r="T414" s="683">
        <v>2573</v>
      </c>
      <c r="U414" s="683"/>
      <c r="V414" s="1161">
        <f t="shared" si="17"/>
        <v>2573</v>
      </c>
      <c r="W414" s="673"/>
    </row>
    <row r="415" spans="1:23" s="674" customFormat="1" ht="18" customHeight="1">
      <c r="A415" s="682"/>
      <c r="B415" s="685" t="s">
        <v>722</v>
      </c>
      <c r="C415" s="683"/>
      <c r="D415" s="683"/>
      <c r="E415" s="683"/>
      <c r="F415" s="683"/>
      <c r="G415" s="683"/>
      <c r="H415" s="683"/>
      <c r="I415" s="683"/>
      <c r="J415" s="683"/>
      <c r="K415" s="683"/>
      <c r="L415" s="683"/>
      <c r="M415" s="683"/>
      <c r="N415" s="683"/>
      <c r="O415" s="683"/>
      <c r="P415" s="683"/>
      <c r="Q415" s="683"/>
      <c r="R415" s="683"/>
      <c r="S415" s="683"/>
      <c r="T415" s="683">
        <v>3088</v>
      </c>
      <c r="U415" s="683"/>
      <c r="V415" s="1161">
        <f t="shared" si="17"/>
        <v>3088</v>
      </c>
      <c r="W415" s="673"/>
    </row>
    <row r="416" spans="1:23" s="674" customFormat="1" ht="18" customHeight="1">
      <c r="A416" s="682"/>
      <c r="B416" s="685" t="s">
        <v>723</v>
      </c>
      <c r="C416" s="683"/>
      <c r="D416" s="683"/>
      <c r="E416" s="683"/>
      <c r="F416" s="683"/>
      <c r="G416" s="683"/>
      <c r="H416" s="683"/>
      <c r="I416" s="683"/>
      <c r="J416" s="683"/>
      <c r="K416" s="683"/>
      <c r="L416" s="683"/>
      <c r="M416" s="683"/>
      <c r="N416" s="683"/>
      <c r="O416" s="683"/>
      <c r="P416" s="683"/>
      <c r="Q416" s="683"/>
      <c r="R416" s="683"/>
      <c r="S416" s="683"/>
      <c r="T416" s="683">
        <v>4014</v>
      </c>
      <c r="U416" s="683"/>
      <c r="V416" s="1161">
        <f t="shared" si="17"/>
        <v>4014</v>
      </c>
      <c r="W416" s="673"/>
    </row>
    <row r="417" spans="1:23" s="674" customFormat="1" ht="18" customHeight="1">
      <c r="A417" s="682"/>
      <c r="B417" s="685" t="s">
        <v>724</v>
      </c>
      <c r="C417" s="683"/>
      <c r="D417" s="683"/>
      <c r="E417" s="683"/>
      <c r="F417" s="683"/>
      <c r="G417" s="683"/>
      <c r="H417" s="683"/>
      <c r="I417" s="683"/>
      <c r="J417" s="683"/>
      <c r="K417" s="683"/>
      <c r="L417" s="683"/>
      <c r="M417" s="683"/>
      <c r="N417" s="683"/>
      <c r="O417" s="683"/>
      <c r="P417" s="683"/>
      <c r="Q417" s="683"/>
      <c r="R417" s="683"/>
      <c r="S417" s="683"/>
      <c r="T417" s="683">
        <v>3602</v>
      </c>
      <c r="U417" s="683"/>
      <c r="V417" s="1161">
        <f t="shared" si="17"/>
        <v>3602</v>
      </c>
      <c r="W417" s="673"/>
    </row>
    <row r="418" spans="1:23" s="674" customFormat="1" ht="18" customHeight="1">
      <c r="A418" s="682" t="s">
        <v>1458</v>
      </c>
      <c r="B418" s="685" t="s">
        <v>725</v>
      </c>
      <c r="C418" s="683"/>
      <c r="D418" s="683"/>
      <c r="E418" s="683"/>
      <c r="F418" s="683"/>
      <c r="G418" s="683"/>
      <c r="H418" s="683"/>
      <c r="I418" s="683"/>
      <c r="J418" s="683"/>
      <c r="K418" s="683"/>
      <c r="L418" s="683"/>
      <c r="M418" s="683"/>
      <c r="N418" s="683"/>
      <c r="O418" s="683"/>
      <c r="P418" s="683"/>
      <c r="Q418" s="683"/>
      <c r="R418" s="683"/>
      <c r="S418" s="683"/>
      <c r="T418" s="683">
        <v>2676</v>
      </c>
      <c r="U418" s="683"/>
      <c r="V418" s="1161">
        <f t="shared" si="17"/>
        <v>2676</v>
      </c>
      <c r="W418" s="673"/>
    </row>
    <row r="419" spans="1:23" s="674" customFormat="1" ht="18" customHeight="1">
      <c r="A419" s="682"/>
      <c r="B419" s="685" t="s">
        <v>726</v>
      </c>
      <c r="C419" s="683"/>
      <c r="D419" s="683"/>
      <c r="E419" s="683"/>
      <c r="F419" s="683"/>
      <c r="G419" s="683"/>
      <c r="H419" s="683"/>
      <c r="I419" s="683"/>
      <c r="J419" s="683"/>
      <c r="K419" s="683"/>
      <c r="L419" s="683"/>
      <c r="M419" s="683"/>
      <c r="N419" s="683"/>
      <c r="O419" s="683"/>
      <c r="P419" s="683"/>
      <c r="Q419" s="683"/>
      <c r="R419" s="683"/>
      <c r="S419" s="683"/>
      <c r="T419" s="683">
        <v>3911</v>
      </c>
      <c r="U419" s="683"/>
      <c r="V419" s="1161">
        <f t="shared" si="17"/>
        <v>3911</v>
      </c>
      <c r="W419" s="673"/>
    </row>
    <row r="420" spans="1:23" s="674" customFormat="1" ht="18" customHeight="1">
      <c r="A420" s="682" t="s">
        <v>1459</v>
      </c>
      <c r="B420" s="685" t="s">
        <v>727</v>
      </c>
      <c r="C420" s="683"/>
      <c r="D420" s="683"/>
      <c r="E420" s="683"/>
      <c r="F420" s="683"/>
      <c r="G420" s="683"/>
      <c r="H420" s="683"/>
      <c r="I420" s="683"/>
      <c r="J420" s="683"/>
      <c r="K420" s="683"/>
      <c r="L420" s="683"/>
      <c r="M420" s="683"/>
      <c r="N420" s="683"/>
      <c r="O420" s="683"/>
      <c r="P420" s="683"/>
      <c r="Q420" s="683"/>
      <c r="R420" s="683"/>
      <c r="S420" s="683"/>
      <c r="T420" s="683">
        <v>2470</v>
      </c>
      <c r="U420" s="683"/>
      <c r="V420" s="1161">
        <f t="shared" si="17"/>
        <v>2470</v>
      </c>
      <c r="W420" s="673"/>
    </row>
    <row r="421" spans="1:23" s="674" customFormat="1" ht="18" customHeight="1">
      <c r="A421" s="682" t="s">
        <v>1460</v>
      </c>
      <c r="B421" s="686" t="s">
        <v>744</v>
      </c>
      <c r="C421" s="683"/>
      <c r="D421" s="683"/>
      <c r="E421" s="683"/>
      <c r="F421" s="683"/>
      <c r="G421" s="683"/>
      <c r="H421" s="683"/>
      <c r="I421" s="683"/>
      <c r="J421" s="683"/>
      <c r="K421" s="683"/>
      <c r="L421" s="683"/>
      <c r="M421" s="683"/>
      <c r="N421" s="683"/>
      <c r="O421" s="683"/>
      <c r="P421" s="683"/>
      <c r="Q421" s="683"/>
      <c r="R421" s="683"/>
      <c r="S421" s="683"/>
      <c r="T421" s="683">
        <v>3294</v>
      </c>
      <c r="U421" s="683"/>
      <c r="V421" s="1161">
        <f t="shared" si="17"/>
        <v>3294</v>
      </c>
      <c r="W421" s="673"/>
    </row>
    <row r="422" spans="1:23" s="674" customFormat="1" ht="18" customHeight="1">
      <c r="A422" s="682" t="s">
        <v>1461</v>
      </c>
      <c r="B422" s="640" t="s">
        <v>745</v>
      </c>
      <c r="C422" s="683"/>
      <c r="D422" s="683"/>
      <c r="E422" s="683"/>
      <c r="F422" s="683"/>
      <c r="G422" s="683"/>
      <c r="H422" s="683"/>
      <c r="I422" s="683"/>
      <c r="J422" s="683"/>
      <c r="K422" s="683"/>
      <c r="L422" s="683"/>
      <c r="M422" s="683"/>
      <c r="N422" s="683"/>
      <c r="O422" s="683"/>
      <c r="P422" s="683"/>
      <c r="Q422" s="683"/>
      <c r="R422" s="683"/>
      <c r="S422" s="683"/>
      <c r="T422" s="683">
        <v>3397</v>
      </c>
      <c r="U422" s="683"/>
      <c r="V422" s="1161">
        <f t="shared" si="17"/>
        <v>3397</v>
      </c>
      <c r="W422" s="673"/>
    </row>
    <row r="423" spans="1:23" s="674" customFormat="1" ht="18" customHeight="1">
      <c r="A423" s="682" t="s">
        <v>1462</v>
      </c>
      <c r="B423" s="640" t="s">
        <v>746</v>
      </c>
      <c r="C423" s="683"/>
      <c r="D423" s="683"/>
      <c r="E423" s="683"/>
      <c r="F423" s="683"/>
      <c r="G423" s="683"/>
      <c r="H423" s="683"/>
      <c r="I423" s="683"/>
      <c r="J423" s="683"/>
      <c r="K423" s="683"/>
      <c r="L423" s="683"/>
      <c r="M423" s="683"/>
      <c r="N423" s="683"/>
      <c r="O423" s="683"/>
      <c r="P423" s="683"/>
      <c r="Q423" s="683"/>
      <c r="R423" s="683"/>
      <c r="S423" s="683"/>
      <c r="T423" s="683">
        <v>3088</v>
      </c>
      <c r="U423" s="683"/>
      <c r="V423" s="1161">
        <f t="shared" si="17"/>
        <v>3088</v>
      </c>
      <c r="W423" s="673"/>
    </row>
    <row r="424" spans="1:23" s="674" customFormat="1" ht="18" customHeight="1">
      <c r="A424" s="682" t="s">
        <v>1463</v>
      </c>
      <c r="B424" s="640" t="s">
        <v>747</v>
      </c>
      <c r="C424" s="683"/>
      <c r="D424" s="683"/>
      <c r="E424" s="683"/>
      <c r="F424" s="683"/>
      <c r="G424" s="683"/>
      <c r="H424" s="683"/>
      <c r="I424" s="683"/>
      <c r="J424" s="683"/>
      <c r="K424" s="683"/>
      <c r="L424" s="683"/>
      <c r="M424" s="683"/>
      <c r="N424" s="683"/>
      <c r="O424" s="683"/>
      <c r="P424" s="683"/>
      <c r="Q424" s="683"/>
      <c r="R424" s="683"/>
      <c r="S424" s="683"/>
      <c r="T424" s="683">
        <v>1441</v>
      </c>
      <c r="U424" s="683"/>
      <c r="V424" s="1161">
        <f t="shared" si="17"/>
        <v>1441</v>
      </c>
      <c r="W424" s="673"/>
    </row>
    <row r="425" spans="1:23" s="674" customFormat="1" ht="18" customHeight="1">
      <c r="A425" s="682" t="s">
        <v>1464</v>
      </c>
      <c r="B425" s="641" t="s">
        <v>748</v>
      </c>
      <c r="C425" s="683"/>
      <c r="D425" s="683"/>
      <c r="E425" s="683"/>
      <c r="F425" s="683"/>
      <c r="G425" s="683"/>
      <c r="H425" s="683"/>
      <c r="I425" s="683"/>
      <c r="J425" s="683"/>
      <c r="K425" s="683"/>
      <c r="L425" s="683"/>
      <c r="M425" s="683"/>
      <c r="N425" s="683"/>
      <c r="O425" s="683"/>
      <c r="P425" s="683"/>
      <c r="Q425" s="683"/>
      <c r="R425" s="683"/>
      <c r="S425" s="683"/>
      <c r="T425" s="683">
        <v>4117</v>
      </c>
      <c r="U425" s="683"/>
      <c r="V425" s="1161">
        <f t="shared" si="17"/>
        <v>4117</v>
      </c>
      <c r="W425" s="673"/>
    </row>
    <row r="426" spans="1:23" s="674" customFormat="1" ht="18" customHeight="1">
      <c r="A426" s="682" t="s">
        <v>1465</v>
      </c>
      <c r="B426" s="640" t="s">
        <v>749</v>
      </c>
      <c r="C426" s="683"/>
      <c r="D426" s="683"/>
      <c r="E426" s="683"/>
      <c r="F426" s="683"/>
      <c r="G426" s="683"/>
      <c r="H426" s="683"/>
      <c r="I426" s="683"/>
      <c r="J426" s="683"/>
      <c r="K426" s="683"/>
      <c r="L426" s="683"/>
      <c r="M426" s="683"/>
      <c r="N426" s="683"/>
      <c r="O426" s="683"/>
      <c r="P426" s="683"/>
      <c r="Q426" s="683"/>
      <c r="R426" s="683"/>
      <c r="S426" s="683"/>
      <c r="T426" s="683">
        <v>2676</v>
      </c>
      <c r="U426" s="683"/>
      <c r="V426" s="1161">
        <f t="shared" si="17"/>
        <v>2676</v>
      </c>
      <c r="W426" s="673"/>
    </row>
    <row r="427" spans="1:23" s="674" customFormat="1" ht="18" customHeight="1">
      <c r="A427" s="682" t="s">
        <v>1466</v>
      </c>
      <c r="B427" s="640" t="s">
        <v>750</v>
      </c>
      <c r="C427" s="683"/>
      <c r="D427" s="683"/>
      <c r="E427" s="683"/>
      <c r="F427" s="683"/>
      <c r="G427" s="683"/>
      <c r="H427" s="683"/>
      <c r="I427" s="683"/>
      <c r="J427" s="683"/>
      <c r="K427" s="683"/>
      <c r="L427" s="683"/>
      <c r="M427" s="683"/>
      <c r="N427" s="683"/>
      <c r="O427" s="683"/>
      <c r="P427" s="683"/>
      <c r="Q427" s="683"/>
      <c r="R427" s="683"/>
      <c r="S427" s="683"/>
      <c r="T427" s="683">
        <v>2058</v>
      </c>
      <c r="U427" s="683"/>
      <c r="V427" s="1161">
        <f t="shared" si="17"/>
        <v>2058</v>
      </c>
      <c r="W427" s="673"/>
    </row>
    <row r="428" spans="1:23" s="674" customFormat="1" ht="18" customHeight="1">
      <c r="A428" s="682" t="s">
        <v>1467</v>
      </c>
      <c r="B428" s="641" t="s">
        <v>751</v>
      </c>
      <c r="C428" s="683"/>
      <c r="D428" s="683"/>
      <c r="E428" s="683"/>
      <c r="F428" s="683"/>
      <c r="G428" s="683"/>
      <c r="H428" s="683"/>
      <c r="I428" s="683"/>
      <c r="J428" s="683"/>
      <c r="K428" s="683"/>
      <c r="L428" s="683"/>
      <c r="M428" s="683"/>
      <c r="N428" s="683"/>
      <c r="O428" s="683"/>
      <c r="P428" s="683"/>
      <c r="Q428" s="683"/>
      <c r="R428" s="683"/>
      <c r="S428" s="683"/>
      <c r="T428" s="683">
        <v>2161</v>
      </c>
      <c r="U428" s="683"/>
      <c r="V428" s="1161">
        <f aca="true" t="shared" si="18" ref="V428:V491">SUM(C428:U428)</f>
        <v>2161</v>
      </c>
      <c r="W428" s="673"/>
    </row>
    <row r="429" spans="1:23" s="674" customFormat="1" ht="18" customHeight="1">
      <c r="A429" s="682" t="s">
        <v>1468</v>
      </c>
      <c r="B429" s="640" t="s">
        <v>752</v>
      </c>
      <c r="C429" s="683"/>
      <c r="D429" s="683"/>
      <c r="E429" s="683"/>
      <c r="F429" s="683"/>
      <c r="G429" s="683"/>
      <c r="H429" s="683"/>
      <c r="I429" s="683"/>
      <c r="J429" s="683"/>
      <c r="K429" s="683"/>
      <c r="L429" s="683"/>
      <c r="M429" s="683"/>
      <c r="N429" s="683"/>
      <c r="O429" s="683"/>
      <c r="P429" s="683"/>
      <c r="Q429" s="683"/>
      <c r="R429" s="683"/>
      <c r="S429" s="683"/>
      <c r="T429" s="683">
        <v>2676</v>
      </c>
      <c r="U429" s="683"/>
      <c r="V429" s="1161">
        <f t="shared" si="18"/>
        <v>2676</v>
      </c>
      <c r="W429" s="673"/>
    </row>
    <row r="430" spans="1:23" s="674" customFormat="1" ht="18" customHeight="1">
      <c r="A430" s="682" t="s">
        <v>1469</v>
      </c>
      <c r="B430" s="687" t="s">
        <v>968</v>
      </c>
      <c r="C430" s="683"/>
      <c r="D430" s="683"/>
      <c r="E430" s="683"/>
      <c r="F430" s="683"/>
      <c r="G430" s="683"/>
      <c r="H430" s="683"/>
      <c r="I430" s="683"/>
      <c r="J430" s="683"/>
      <c r="K430" s="683"/>
      <c r="L430" s="683"/>
      <c r="M430" s="683"/>
      <c r="N430" s="683"/>
      <c r="O430" s="683"/>
      <c r="P430" s="683"/>
      <c r="Q430" s="683"/>
      <c r="R430" s="683"/>
      <c r="S430" s="683"/>
      <c r="T430" s="683">
        <v>1133</v>
      </c>
      <c r="U430" s="683"/>
      <c r="V430" s="1161">
        <f t="shared" si="18"/>
        <v>1133</v>
      </c>
      <c r="W430" s="673"/>
    </row>
    <row r="431" spans="1:23" s="674" customFormat="1" ht="18" customHeight="1">
      <c r="A431" s="682" t="s">
        <v>1470</v>
      </c>
      <c r="B431" s="687" t="s">
        <v>969</v>
      </c>
      <c r="C431" s="683"/>
      <c r="D431" s="683"/>
      <c r="E431" s="683"/>
      <c r="F431" s="683"/>
      <c r="G431" s="683"/>
      <c r="H431" s="683"/>
      <c r="I431" s="683"/>
      <c r="J431" s="683"/>
      <c r="K431" s="683"/>
      <c r="L431" s="683"/>
      <c r="M431" s="683"/>
      <c r="N431" s="683"/>
      <c r="O431" s="683"/>
      <c r="P431" s="683"/>
      <c r="Q431" s="683"/>
      <c r="R431" s="683"/>
      <c r="S431" s="683"/>
      <c r="T431" s="683">
        <v>1955</v>
      </c>
      <c r="U431" s="683"/>
      <c r="V431" s="1161">
        <f t="shared" si="18"/>
        <v>1955</v>
      </c>
      <c r="W431" s="673"/>
    </row>
    <row r="432" spans="1:23" s="674" customFormat="1" ht="18" customHeight="1">
      <c r="A432" s="682" t="s">
        <v>1471</v>
      </c>
      <c r="B432" s="687" t="s">
        <v>970</v>
      </c>
      <c r="C432" s="683"/>
      <c r="D432" s="683"/>
      <c r="E432" s="683"/>
      <c r="F432" s="683"/>
      <c r="G432" s="683"/>
      <c r="H432" s="683"/>
      <c r="I432" s="683"/>
      <c r="J432" s="683"/>
      <c r="K432" s="683"/>
      <c r="L432" s="683"/>
      <c r="M432" s="683"/>
      <c r="N432" s="683"/>
      <c r="O432" s="683"/>
      <c r="P432" s="683"/>
      <c r="Q432" s="683"/>
      <c r="R432" s="683"/>
      <c r="S432" s="683"/>
      <c r="T432" s="683">
        <v>412</v>
      </c>
      <c r="U432" s="683"/>
      <c r="V432" s="1161">
        <f t="shared" si="18"/>
        <v>412</v>
      </c>
      <c r="W432" s="673"/>
    </row>
    <row r="433" spans="1:23" s="674" customFormat="1" ht="18" customHeight="1">
      <c r="A433" s="682" t="s">
        <v>1472</v>
      </c>
      <c r="B433" s="687" t="s">
        <v>971</v>
      </c>
      <c r="C433" s="683"/>
      <c r="D433" s="683"/>
      <c r="E433" s="683"/>
      <c r="F433" s="683"/>
      <c r="G433" s="683"/>
      <c r="H433" s="683"/>
      <c r="I433" s="683"/>
      <c r="J433" s="683"/>
      <c r="K433" s="683"/>
      <c r="L433" s="683"/>
      <c r="M433" s="683"/>
      <c r="N433" s="683"/>
      <c r="O433" s="683"/>
      <c r="P433" s="683"/>
      <c r="Q433" s="683"/>
      <c r="R433" s="683"/>
      <c r="S433" s="683"/>
      <c r="T433" s="683">
        <v>7102</v>
      </c>
      <c r="U433" s="683"/>
      <c r="V433" s="1161">
        <f t="shared" si="18"/>
        <v>7102</v>
      </c>
      <c r="W433" s="673"/>
    </row>
    <row r="434" spans="1:23" s="674" customFormat="1" ht="18" customHeight="1">
      <c r="A434" s="682" t="s">
        <v>1473</v>
      </c>
      <c r="B434" s="687" t="s">
        <v>972</v>
      </c>
      <c r="C434" s="683"/>
      <c r="D434" s="683"/>
      <c r="E434" s="683"/>
      <c r="F434" s="683"/>
      <c r="G434" s="683"/>
      <c r="H434" s="683"/>
      <c r="I434" s="683"/>
      <c r="J434" s="683"/>
      <c r="K434" s="683"/>
      <c r="L434" s="683"/>
      <c r="M434" s="683"/>
      <c r="N434" s="683"/>
      <c r="O434" s="683"/>
      <c r="P434" s="683"/>
      <c r="Q434" s="683"/>
      <c r="R434" s="683"/>
      <c r="S434" s="683"/>
      <c r="T434" s="683">
        <v>2161</v>
      </c>
      <c r="U434" s="683"/>
      <c r="V434" s="1161">
        <f t="shared" si="18"/>
        <v>2161</v>
      </c>
      <c r="W434" s="673"/>
    </row>
    <row r="435" spans="1:23" s="674" customFormat="1" ht="18" customHeight="1">
      <c r="A435" s="682" t="s">
        <v>1474</v>
      </c>
      <c r="B435" s="688" t="s">
        <v>862</v>
      </c>
      <c r="C435" s="683"/>
      <c r="D435" s="683"/>
      <c r="E435" s="683"/>
      <c r="F435" s="683"/>
      <c r="G435" s="683"/>
      <c r="H435" s="683"/>
      <c r="I435" s="683"/>
      <c r="J435" s="683"/>
      <c r="K435" s="683"/>
      <c r="L435" s="683"/>
      <c r="M435" s="683"/>
      <c r="N435" s="683"/>
      <c r="O435" s="683"/>
      <c r="P435" s="683"/>
      <c r="Q435" s="683"/>
      <c r="R435" s="683"/>
      <c r="S435" s="683"/>
      <c r="T435" s="683">
        <v>3911</v>
      </c>
      <c r="U435" s="683"/>
      <c r="V435" s="1161">
        <f t="shared" si="18"/>
        <v>3911</v>
      </c>
      <c r="W435" s="673"/>
    </row>
    <row r="436" spans="1:23" s="674" customFormat="1" ht="18" customHeight="1">
      <c r="A436" s="682" t="s">
        <v>1475</v>
      </c>
      <c r="B436" s="688" t="s">
        <v>975</v>
      </c>
      <c r="C436" s="683"/>
      <c r="D436" s="683"/>
      <c r="E436" s="683"/>
      <c r="F436" s="683"/>
      <c r="G436" s="683"/>
      <c r="H436" s="683"/>
      <c r="I436" s="683"/>
      <c r="J436" s="683"/>
      <c r="K436" s="683"/>
      <c r="L436" s="683"/>
      <c r="M436" s="683"/>
      <c r="N436" s="683"/>
      <c r="O436" s="683"/>
      <c r="P436" s="683"/>
      <c r="Q436" s="683"/>
      <c r="R436" s="683"/>
      <c r="S436" s="683"/>
      <c r="T436" s="683">
        <v>1441</v>
      </c>
      <c r="U436" s="683"/>
      <c r="V436" s="1161">
        <f t="shared" si="18"/>
        <v>1441</v>
      </c>
      <c r="W436" s="673"/>
    </row>
    <row r="437" spans="1:23" s="674" customFormat="1" ht="18" customHeight="1">
      <c r="A437" s="682" t="s">
        <v>1476</v>
      </c>
      <c r="B437" s="688" t="s">
        <v>976</v>
      </c>
      <c r="C437" s="683"/>
      <c r="D437" s="683"/>
      <c r="E437" s="683"/>
      <c r="F437" s="683"/>
      <c r="G437" s="683"/>
      <c r="H437" s="683"/>
      <c r="I437" s="683"/>
      <c r="J437" s="683"/>
      <c r="K437" s="683"/>
      <c r="L437" s="683"/>
      <c r="M437" s="683"/>
      <c r="N437" s="683"/>
      <c r="O437" s="683"/>
      <c r="P437" s="683"/>
      <c r="Q437" s="683"/>
      <c r="R437" s="683"/>
      <c r="S437" s="683"/>
      <c r="T437" s="683">
        <v>4838</v>
      </c>
      <c r="U437" s="683"/>
      <c r="V437" s="1161">
        <f t="shared" si="18"/>
        <v>4838</v>
      </c>
      <c r="W437" s="673"/>
    </row>
    <row r="438" spans="1:23" s="674" customFormat="1" ht="18" customHeight="1">
      <c r="A438" s="682" t="s">
        <v>1477</v>
      </c>
      <c r="B438" s="688" t="s">
        <v>977</v>
      </c>
      <c r="C438" s="683"/>
      <c r="D438" s="683"/>
      <c r="E438" s="683"/>
      <c r="F438" s="683"/>
      <c r="G438" s="683"/>
      <c r="H438" s="683"/>
      <c r="I438" s="683"/>
      <c r="J438" s="683"/>
      <c r="K438" s="683"/>
      <c r="L438" s="683"/>
      <c r="M438" s="683"/>
      <c r="N438" s="683"/>
      <c r="O438" s="683"/>
      <c r="P438" s="683"/>
      <c r="Q438" s="683"/>
      <c r="R438" s="683"/>
      <c r="S438" s="683"/>
      <c r="T438" s="683">
        <v>4117</v>
      </c>
      <c r="U438" s="683"/>
      <c r="V438" s="1161">
        <f t="shared" si="18"/>
        <v>4117</v>
      </c>
      <c r="W438" s="673"/>
    </row>
    <row r="439" spans="1:23" s="674" customFormat="1" ht="18" customHeight="1">
      <c r="A439" s="682" t="s">
        <v>1478</v>
      </c>
      <c r="B439" s="688" t="s">
        <v>978</v>
      </c>
      <c r="C439" s="683"/>
      <c r="D439" s="683"/>
      <c r="E439" s="683"/>
      <c r="F439" s="683"/>
      <c r="G439" s="683"/>
      <c r="H439" s="683"/>
      <c r="I439" s="683"/>
      <c r="J439" s="683"/>
      <c r="K439" s="683"/>
      <c r="L439" s="683"/>
      <c r="M439" s="683"/>
      <c r="N439" s="683"/>
      <c r="O439" s="683"/>
      <c r="P439" s="683"/>
      <c r="Q439" s="683"/>
      <c r="R439" s="683"/>
      <c r="S439" s="683"/>
      <c r="T439" s="683">
        <v>5352</v>
      </c>
      <c r="U439" s="683"/>
      <c r="V439" s="1161">
        <f t="shared" si="18"/>
        <v>5352</v>
      </c>
      <c r="W439" s="673"/>
    </row>
    <row r="440" spans="1:23" s="674" customFormat="1" ht="18" customHeight="1">
      <c r="A440" s="682" t="s">
        <v>1479</v>
      </c>
      <c r="B440" s="688" t="s">
        <v>979</v>
      </c>
      <c r="C440" s="683"/>
      <c r="D440" s="683"/>
      <c r="E440" s="683"/>
      <c r="F440" s="683"/>
      <c r="G440" s="683"/>
      <c r="H440" s="683"/>
      <c r="I440" s="683"/>
      <c r="J440" s="683"/>
      <c r="K440" s="683"/>
      <c r="L440" s="683"/>
      <c r="M440" s="683"/>
      <c r="N440" s="683"/>
      <c r="O440" s="683"/>
      <c r="P440" s="683"/>
      <c r="Q440" s="683"/>
      <c r="R440" s="683"/>
      <c r="S440" s="683"/>
      <c r="T440" s="683">
        <v>4426</v>
      </c>
      <c r="U440" s="683"/>
      <c r="V440" s="1161">
        <f t="shared" si="18"/>
        <v>4426</v>
      </c>
      <c r="W440" s="673"/>
    </row>
    <row r="441" spans="1:23" s="674" customFormat="1" ht="18" customHeight="1">
      <c r="A441" s="682" t="s">
        <v>1480</v>
      </c>
      <c r="B441" s="689" t="s">
        <v>855</v>
      </c>
      <c r="C441" s="683"/>
      <c r="D441" s="683"/>
      <c r="E441" s="683"/>
      <c r="F441" s="683"/>
      <c r="G441" s="683"/>
      <c r="H441" s="683"/>
      <c r="I441" s="683"/>
      <c r="J441" s="683"/>
      <c r="K441" s="683"/>
      <c r="L441" s="683"/>
      <c r="M441" s="683"/>
      <c r="N441" s="683"/>
      <c r="O441" s="683"/>
      <c r="P441" s="683"/>
      <c r="Q441" s="683"/>
      <c r="R441" s="683"/>
      <c r="S441" s="683"/>
      <c r="T441" s="683">
        <v>9160</v>
      </c>
      <c r="U441" s="683"/>
      <c r="V441" s="1161">
        <f t="shared" si="18"/>
        <v>9160</v>
      </c>
      <c r="W441" s="673"/>
    </row>
    <row r="442" spans="1:23" s="674" customFormat="1" ht="18" customHeight="1">
      <c r="A442" s="682" t="s">
        <v>1481</v>
      </c>
      <c r="B442" s="688" t="s">
        <v>980</v>
      </c>
      <c r="C442" s="683"/>
      <c r="D442" s="683"/>
      <c r="E442" s="683"/>
      <c r="F442" s="683"/>
      <c r="G442" s="683"/>
      <c r="H442" s="683"/>
      <c r="I442" s="683"/>
      <c r="J442" s="683"/>
      <c r="K442" s="683"/>
      <c r="L442" s="683"/>
      <c r="M442" s="683"/>
      <c r="N442" s="683"/>
      <c r="O442" s="683"/>
      <c r="P442" s="683"/>
      <c r="Q442" s="683"/>
      <c r="R442" s="683"/>
      <c r="S442" s="683"/>
      <c r="T442" s="683">
        <v>5661</v>
      </c>
      <c r="U442" s="683"/>
      <c r="V442" s="1161">
        <f t="shared" si="18"/>
        <v>5661</v>
      </c>
      <c r="W442" s="673"/>
    </row>
    <row r="443" spans="1:23" s="674" customFormat="1" ht="18" customHeight="1">
      <c r="A443" s="682" t="s">
        <v>1482</v>
      </c>
      <c r="B443" s="688" t="s">
        <v>981</v>
      </c>
      <c r="C443" s="683"/>
      <c r="D443" s="683"/>
      <c r="E443" s="683"/>
      <c r="F443" s="683"/>
      <c r="G443" s="683"/>
      <c r="H443" s="683"/>
      <c r="I443" s="683"/>
      <c r="J443" s="683"/>
      <c r="K443" s="683"/>
      <c r="L443" s="683"/>
      <c r="M443" s="683"/>
      <c r="N443" s="683"/>
      <c r="O443" s="683"/>
      <c r="P443" s="683"/>
      <c r="Q443" s="683"/>
      <c r="R443" s="683"/>
      <c r="S443" s="683"/>
      <c r="T443" s="683">
        <v>6999</v>
      </c>
      <c r="U443" s="683"/>
      <c r="V443" s="1161">
        <f t="shared" si="18"/>
        <v>6999</v>
      </c>
      <c r="W443" s="673"/>
    </row>
    <row r="444" spans="1:23" s="674" customFormat="1" ht="18" customHeight="1">
      <c r="A444" s="682" t="s">
        <v>1483</v>
      </c>
      <c r="B444" s="688" t="s">
        <v>982</v>
      </c>
      <c r="C444" s="683"/>
      <c r="D444" s="683"/>
      <c r="E444" s="683"/>
      <c r="F444" s="683"/>
      <c r="G444" s="683"/>
      <c r="H444" s="683"/>
      <c r="I444" s="683"/>
      <c r="J444" s="683"/>
      <c r="K444" s="683"/>
      <c r="L444" s="683"/>
      <c r="M444" s="683"/>
      <c r="N444" s="683"/>
      <c r="O444" s="683"/>
      <c r="P444" s="683"/>
      <c r="Q444" s="683"/>
      <c r="R444" s="683"/>
      <c r="S444" s="683"/>
      <c r="T444" s="683">
        <v>5866</v>
      </c>
      <c r="U444" s="683"/>
      <c r="V444" s="1161">
        <f t="shared" si="18"/>
        <v>5866</v>
      </c>
      <c r="W444" s="673"/>
    </row>
    <row r="445" spans="1:23" s="674" customFormat="1" ht="18" customHeight="1">
      <c r="A445" s="682" t="s">
        <v>1497</v>
      </c>
      <c r="B445" s="688" t="s">
        <v>983</v>
      </c>
      <c r="C445" s="683"/>
      <c r="D445" s="683"/>
      <c r="E445" s="683"/>
      <c r="F445" s="683"/>
      <c r="G445" s="683"/>
      <c r="H445" s="683"/>
      <c r="I445" s="683"/>
      <c r="J445" s="683"/>
      <c r="K445" s="683"/>
      <c r="L445" s="683"/>
      <c r="M445" s="683"/>
      <c r="N445" s="683"/>
      <c r="O445" s="683"/>
      <c r="P445" s="683"/>
      <c r="Q445" s="683"/>
      <c r="R445" s="683"/>
      <c r="S445" s="683"/>
      <c r="T445" s="683">
        <v>6793</v>
      </c>
      <c r="U445" s="683"/>
      <c r="V445" s="1161">
        <f t="shared" si="18"/>
        <v>6793</v>
      </c>
      <c r="W445" s="673"/>
    </row>
    <row r="446" spans="1:23" s="674" customFormat="1" ht="18" customHeight="1">
      <c r="A446" s="682" t="s">
        <v>1498</v>
      </c>
      <c r="B446" s="688" t="s">
        <v>984</v>
      </c>
      <c r="C446" s="683"/>
      <c r="D446" s="683"/>
      <c r="E446" s="683"/>
      <c r="F446" s="683"/>
      <c r="G446" s="683"/>
      <c r="H446" s="683"/>
      <c r="I446" s="683"/>
      <c r="J446" s="683"/>
      <c r="K446" s="683"/>
      <c r="L446" s="683"/>
      <c r="M446" s="683"/>
      <c r="N446" s="683"/>
      <c r="O446" s="683"/>
      <c r="P446" s="683"/>
      <c r="Q446" s="683"/>
      <c r="R446" s="683"/>
      <c r="S446" s="683"/>
      <c r="T446" s="683">
        <v>4529</v>
      </c>
      <c r="U446" s="683"/>
      <c r="V446" s="1161">
        <f t="shared" si="18"/>
        <v>4529</v>
      </c>
      <c r="W446" s="673"/>
    </row>
    <row r="447" spans="1:23" s="674" customFormat="1" ht="18" customHeight="1">
      <c r="A447" s="682" t="s">
        <v>1499</v>
      </c>
      <c r="B447" s="688" t="s">
        <v>985</v>
      </c>
      <c r="C447" s="683"/>
      <c r="D447" s="683"/>
      <c r="E447" s="683"/>
      <c r="F447" s="683"/>
      <c r="G447" s="683"/>
      <c r="H447" s="683"/>
      <c r="I447" s="683"/>
      <c r="J447" s="683"/>
      <c r="K447" s="683"/>
      <c r="L447" s="683"/>
      <c r="M447" s="683"/>
      <c r="N447" s="683"/>
      <c r="O447" s="683"/>
      <c r="P447" s="683"/>
      <c r="Q447" s="683"/>
      <c r="R447" s="683"/>
      <c r="S447" s="683"/>
      <c r="T447" s="683">
        <v>3499</v>
      </c>
      <c r="U447" s="683"/>
      <c r="V447" s="1161">
        <f t="shared" si="18"/>
        <v>3499</v>
      </c>
      <c r="W447" s="673"/>
    </row>
    <row r="448" spans="1:23" s="674" customFormat="1" ht="18" customHeight="1">
      <c r="A448" s="682" t="s">
        <v>1500</v>
      </c>
      <c r="B448" s="688" t="s">
        <v>986</v>
      </c>
      <c r="C448" s="683"/>
      <c r="D448" s="683"/>
      <c r="E448" s="683"/>
      <c r="F448" s="683"/>
      <c r="G448" s="683"/>
      <c r="H448" s="683"/>
      <c r="I448" s="683"/>
      <c r="J448" s="683"/>
      <c r="K448" s="683"/>
      <c r="L448" s="683"/>
      <c r="M448" s="683"/>
      <c r="N448" s="683"/>
      <c r="O448" s="683"/>
      <c r="P448" s="683"/>
      <c r="Q448" s="683"/>
      <c r="R448" s="683"/>
      <c r="S448" s="683"/>
      <c r="T448" s="683">
        <v>2367</v>
      </c>
      <c r="U448" s="683"/>
      <c r="V448" s="1161">
        <f t="shared" si="18"/>
        <v>2367</v>
      </c>
      <c r="W448" s="673"/>
    </row>
    <row r="449" spans="1:23" s="674" customFormat="1" ht="18" customHeight="1">
      <c r="A449" s="682" t="s">
        <v>1501</v>
      </c>
      <c r="B449" s="688" t="s">
        <v>868</v>
      </c>
      <c r="C449" s="683"/>
      <c r="D449" s="683"/>
      <c r="E449" s="683"/>
      <c r="F449" s="683"/>
      <c r="G449" s="683"/>
      <c r="H449" s="683"/>
      <c r="I449" s="683"/>
      <c r="J449" s="683"/>
      <c r="K449" s="683"/>
      <c r="L449" s="683"/>
      <c r="M449" s="683"/>
      <c r="N449" s="683"/>
      <c r="O449" s="683"/>
      <c r="P449" s="683"/>
      <c r="Q449" s="683"/>
      <c r="R449" s="683"/>
      <c r="S449" s="683"/>
      <c r="T449" s="683">
        <v>3705</v>
      </c>
      <c r="U449" s="683"/>
      <c r="V449" s="1161">
        <f t="shared" si="18"/>
        <v>3705</v>
      </c>
      <c r="W449" s="673"/>
    </row>
    <row r="450" spans="1:23" s="674" customFormat="1" ht="18" customHeight="1">
      <c r="A450" s="682" t="s">
        <v>1502</v>
      </c>
      <c r="B450" s="688" t="s">
        <v>966</v>
      </c>
      <c r="C450" s="683"/>
      <c r="D450" s="683"/>
      <c r="E450" s="683"/>
      <c r="F450" s="683"/>
      <c r="G450" s="683"/>
      <c r="H450" s="683"/>
      <c r="I450" s="683"/>
      <c r="J450" s="683"/>
      <c r="K450" s="683"/>
      <c r="L450" s="683"/>
      <c r="M450" s="683"/>
      <c r="N450" s="683"/>
      <c r="O450" s="683"/>
      <c r="P450" s="683"/>
      <c r="Q450" s="683"/>
      <c r="R450" s="683"/>
      <c r="S450" s="683"/>
      <c r="T450" s="683">
        <v>3705</v>
      </c>
      <c r="U450" s="683"/>
      <c r="V450" s="1161">
        <f t="shared" si="18"/>
        <v>3705</v>
      </c>
      <c r="W450" s="673"/>
    </row>
    <row r="451" spans="1:23" s="674" customFormat="1" ht="18" customHeight="1">
      <c r="A451" s="682" t="s">
        <v>1503</v>
      </c>
      <c r="B451" s="688" t="s">
        <v>987</v>
      </c>
      <c r="C451" s="683"/>
      <c r="D451" s="683"/>
      <c r="E451" s="683"/>
      <c r="F451" s="683"/>
      <c r="G451" s="683"/>
      <c r="H451" s="683"/>
      <c r="I451" s="683"/>
      <c r="J451" s="683"/>
      <c r="K451" s="683"/>
      <c r="L451" s="683"/>
      <c r="M451" s="683"/>
      <c r="N451" s="683"/>
      <c r="O451" s="683"/>
      <c r="P451" s="683"/>
      <c r="Q451" s="683"/>
      <c r="R451" s="683"/>
      <c r="S451" s="683"/>
      <c r="T451" s="683">
        <v>7514</v>
      </c>
      <c r="U451" s="683"/>
      <c r="V451" s="1161">
        <f t="shared" si="18"/>
        <v>7514</v>
      </c>
      <c r="W451" s="673"/>
    </row>
    <row r="452" spans="1:23" s="674" customFormat="1" ht="18" customHeight="1">
      <c r="A452" s="682" t="s">
        <v>1504</v>
      </c>
      <c r="B452" s="688" t="s">
        <v>881</v>
      </c>
      <c r="C452" s="683"/>
      <c r="D452" s="683"/>
      <c r="E452" s="683"/>
      <c r="F452" s="683"/>
      <c r="G452" s="683"/>
      <c r="H452" s="683"/>
      <c r="I452" s="683"/>
      <c r="J452" s="683"/>
      <c r="K452" s="683"/>
      <c r="L452" s="683"/>
      <c r="M452" s="683"/>
      <c r="N452" s="683"/>
      <c r="O452" s="683"/>
      <c r="P452" s="683"/>
      <c r="Q452" s="683"/>
      <c r="R452" s="683"/>
      <c r="S452" s="683"/>
      <c r="T452" s="683">
        <v>3911</v>
      </c>
      <c r="U452" s="683"/>
      <c r="V452" s="1161">
        <f t="shared" si="18"/>
        <v>3911</v>
      </c>
      <c r="W452" s="673"/>
    </row>
    <row r="453" spans="1:23" s="674" customFormat="1" ht="18" customHeight="1">
      <c r="A453" s="682" t="s">
        <v>1505</v>
      </c>
      <c r="B453" s="690" t="s">
        <v>824</v>
      </c>
      <c r="C453" s="683"/>
      <c r="D453" s="683"/>
      <c r="E453" s="683"/>
      <c r="F453" s="683"/>
      <c r="G453" s="683"/>
      <c r="H453" s="683"/>
      <c r="I453" s="683"/>
      <c r="J453" s="683"/>
      <c r="K453" s="683"/>
      <c r="L453" s="683"/>
      <c r="M453" s="683"/>
      <c r="N453" s="683"/>
      <c r="O453" s="683"/>
      <c r="P453" s="683"/>
      <c r="Q453" s="683"/>
      <c r="R453" s="683"/>
      <c r="S453" s="683"/>
      <c r="T453" s="683">
        <v>1647</v>
      </c>
      <c r="U453" s="683"/>
      <c r="V453" s="1161">
        <f t="shared" si="18"/>
        <v>1647</v>
      </c>
      <c r="W453" s="673"/>
    </row>
    <row r="454" spans="1:23" s="674" customFormat="1" ht="18" customHeight="1">
      <c r="A454" s="682" t="s">
        <v>1506</v>
      </c>
      <c r="B454" s="691" t="s">
        <v>536</v>
      </c>
      <c r="C454" s="683"/>
      <c r="D454" s="683"/>
      <c r="E454" s="683"/>
      <c r="F454" s="683"/>
      <c r="G454" s="683"/>
      <c r="H454" s="683"/>
      <c r="I454" s="683"/>
      <c r="J454" s="683"/>
      <c r="K454" s="683"/>
      <c r="L454" s="683"/>
      <c r="M454" s="683"/>
      <c r="N454" s="683"/>
      <c r="O454" s="683"/>
      <c r="P454" s="683"/>
      <c r="Q454" s="683"/>
      <c r="R454" s="683"/>
      <c r="S454" s="683"/>
      <c r="T454" s="683">
        <v>1749</v>
      </c>
      <c r="U454" s="683"/>
      <c r="V454" s="1161">
        <f t="shared" si="18"/>
        <v>1749</v>
      </c>
      <c r="W454" s="673"/>
    </row>
    <row r="455" spans="1:23" s="674" customFormat="1" ht="18" customHeight="1">
      <c r="A455" s="682" t="s">
        <v>1507</v>
      </c>
      <c r="B455" s="689" t="s">
        <v>961</v>
      </c>
      <c r="C455" s="683"/>
      <c r="D455" s="683"/>
      <c r="E455" s="683"/>
      <c r="F455" s="683"/>
      <c r="G455" s="683"/>
      <c r="H455" s="683"/>
      <c r="I455" s="683"/>
      <c r="J455" s="683"/>
      <c r="K455" s="683"/>
      <c r="L455" s="683"/>
      <c r="M455" s="683"/>
      <c r="N455" s="683"/>
      <c r="O455" s="683"/>
      <c r="P455" s="683"/>
      <c r="Q455" s="683"/>
      <c r="R455" s="683"/>
      <c r="S455" s="683"/>
      <c r="T455" s="683">
        <v>6381</v>
      </c>
      <c r="U455" s="683"/>
      <c r="V455" s="1161">
        <f t="shared" si="18"/>
        <v>6381</v>
      </c>
      <c r="W455" s="673"/>
    </row>
    <row r="456" spans="1:23" s="674" customFormat="1" ht="25.5">
      <c r="A456" s="682" t="s">
        <v>1508</v>
      </c>
      <c r="B456" s="692" t="s">
        <v>703</v>
      </c>
      <c r="C456" s="683"/>
      <c r="D456" s="683"/>
      <c r="E456" s="683"/>
      <c r="F456" s="683"/>
      <c r="G456" s="683"/>
      <c r="H456" s="683"/>
      <c r="I456" s="683"/>
      <c r="J456" s="683"/>
      <c r="K456" s="683"/>
      <c r="L456" s="683"/>
      <c r="M456" s="683"/>
      <c r="N456" s="683"/>
      <c r="O456" s="683"/>
      <c r="P456" s="683"/>
      <c r="Q456" s="683"/>
      <c r="R456" s="683"/>
      <c r="S456" s="683"/>
      <c r="T456" s="683">
        <v>2882</v>
      </c>
      <c r="U456" s="683"/>
      <c r="V456" s="1161">
        <f t="shared" si="18"/>
        <v>2882</v>
      </c>
      <c r="W456" s="673"/>
    </row>
    <row r="457" spans="1:23" s="674" customFormat="1" ht="25.5">
      <c r="A457" s="682" t="s">
        <v>1509</v>
      </c>
      <c r="B457" s="692" t="s">
        <v>704</v>
      </c>
      <c r="C457" s="683"/>
      <c r="D457" s="683"/>
      <c r="E457" s="683"/>
      <c r="F457" s="683"/>
      <c r="G457" s="683"/>
      <c r="H457" s="683"/>
      <c r="I457" s="683"/>
      <c r="J457" s="683"/>
      <c r="K457" s="683"/>
      <c r="L457" s="683"/>
      <c r="M457" s="683"/>
      <c r="N457" s="683"/>
      <c r="O457" s="683"/>
      <c r="P457" s="683"/>
      <c r="Q457" s="683"/>
      <c r="R457" s="683"/>
      <c r="S457" s="683"/>
      <c r="T457" s="683">
        <v>2676</v>
      </c>
      <c r="U457" s="683"/>
      <c r="V457" s="1161">
        <f t="shared" si="18"/>
        <v>2676</v>
      </c>
      <c r="W457" s="673"/>
    </row>
    <row r="458" spans="1:23" s="674" customFormat="1" ht="19.5" customHeight="1">
      <c r="A458" s="682" t="s">
        <v>1510</v>
      </c>
      <c r="B458" s="693" t="s">
        <v>962</v>
      </c>
      <c r="C458" s="683"/>
      <c r="D458" s="683"/>
      <c r="E458" s="683"/>
      <c r="F458" s="683"/>
      <c r="G458" s="683"/>
      <c r="H458" s="683"/>
      <c r="I458" s="683"/>
      <c r="J458" s="683"/>
      <c r="K458" s="683"/>
      <c r="L458" s="683"/>
      <c r="M458" s="683"/>
      <c r="N458" s="683"/>
      <c r="O458" s="683"/>
      <c r="P458" s="683"/>
      <c r="Q458" s="683"/>
      <c r="R458" s="683"/>
      <c r="S458" s="683"/>
      <c r="T458" s="683">
        <v>3191</v>
      </c>
      <c r="U458" s="683"/>
      <c r="V458" s="1161">
        <f t="shared" si="18"/>
        <v>3191</v>
      </c>
      <c r="W458" s="673"/>
    </row>
    <row r="459" spans="1:23" s="674" customFormat="1" ht="19.5" customHeight="1">
      <c r="A459" s="682" t="s">
        <v>1511</v>
      </c>
      <c r="B459" s="693" t="s">
        <v>702</v>
      </c>
      <c r="C459" s="683"/>
      <c r="D459" s="683"/>
      <c r="E459" s="683"/>
      <c r="F459" s="683"/>
      <c r="G459" s="683"/>
      <c r="H459" s="683"/>
      <c r="I459" s="683"/>
      <c r="J459" s="683"/>
      <c r="K459" s="683"/>
      <c r="L459" s="683"/>
      <c r="M459" s="683"/>
      <c r="N459" s="683"/>
      <c r="O459" s="683"/>
      <c r="P459" s="683"/>
      <c r="Q459" s="683"/>
      <c r="R459" s="683"/>
      <c r="S459" s="683"/>
      <c r="T459" s="683">
        <v>1544</v>
      </c>
      <c r="U459" s="683"/>
      <c r="V459" s="1161">
        <f t="shared" si="18"/>
        <v>1544</v>
      </c>
      <c r="W459" s="673"/>
    </row>
    <row r="460" spans="1:23" s="674" customFormat="1" ht="18" customHeight="1">
      <c r="A460" s="682" t="s">
        <v>1512</v>
      </c>
      <c r="B460" s="693" t="s">
        <v>967</v>
      </c>
      <c r="C460" s="683"/>
      <c r="D460" s="683"/>
      <c r="E460" s="683"/>
      <c r="F460" s="683"/>
      <c r="G460" s="683"/>
      <c r="H460" s="683"/>
      <c r="I460" s="683"/>
      <c r="J460" s="683"/>
      <c r="K460" s="683"/>
      <c r="L460" s="683"/>
      <c r="M460" s="683"/>
      <c r="N460" s="683"/>
      <c r="O460" s="683"/>
      <c r="P460" s="683"/>
      <c r="Q460" s="683"/>
      <c r="R460" s="683"/>
      <c r="S460" s="683"/>
      <c r="T460" s="683">
        <v>927</v>
      </c>
      <c r="U460" s="683"/>
      <c r="V460" s="1161">
        <f t="shared" si="18"/>
        <v>927</v>
      </c>
      <c r="W460" s="673"/>
    </row>
    <row r="461" spans="1:23" s="674" customFormat="1" ht="18" customHeight="1">
      <c r="A461" s="682" t="s">
        <v>1513</v>
      </c>
      <c r="B461" s="693" t="s">
        <v>707</v>
      </c>
      <c r="C461" s="683"/>
      <c r="D461" s="683"/>
      <c r="E461" s="683"/>
      <c r="F461" s="683"/>
      <c r="G461" s="683"/>
      <c r="H461" s="683"/>
      <c r="I461" s="683"/>
      <c r="J461" s="683"/>
      <c r="K461" s="683"/>
      <c r="L461" s="683"/>
      <c r="M461" s="683"/>
      <c r="N461" s="683"/>
      <c r="O461" s="683"/>
      <c r="P461" s="683"/>
      <c r="Q461" s="683"/>
      <c r="R461" s="683"/>
      <c r="S461" s="683"/>
      <c r="T461" s="683">
        <v>103</v>
      </c>
      <c r="U461" s="683"/>
      <c r="V461" s="1161">
        <f t="shared" si="18"/>
        <v>103</v>
      </c>
      <c r="W461" s="673">
        <f>SUM(T462:T521)</f>
        <v>27387</v>
      </c>
    </row>
    <row r="462" spans="1:23" s="674" customFormat="1" ht="18" customHeight="1">
      <c r="A462" s="682"/>
      <c r="B462" s="375" t="s">
        <v>1013</v>
      </c>
      <c r="C462" s="683"/>
      <c r="D462" s="683"/>
      <c r="E462" s="683"/>
      <c r="F462" s="683"/>
      <c r="G462" s="683"/>
      <c r="H462" s="683"/>
      <c r="I462" s="683"/>
      <c r="J462" s="683"/>
      <c r="K462" s="683"/>
      <c r="L462" s="683"/>
      <c r="M462" s="683"/>
      <c r="N462" s="683"/>
      <c r="O462" s="683"/>
      <c r="P462" s="683"/>
      <c r="Q462" s="683"/>
      <c r="R462" s="683"/>
      <c r="S462" s="683"/>
      <c r="T462" s="683">
        <v>721</v>
      </c>
      <c r="U462" s="683"/>
      <c r="V462" s="1161">
        <f t="shared" si="18"/>
        <v>721</v>
      </c>
      <c r="W462" s="673"/>
    </row>
    <row r="463" spans="1:23" s="674" customFormat="1" ht="18" customHeight="1">
      <c r="A463" s="682"/>
      <c r="B463" s="375" t="s">
        <v>904</v>
      </c>
      <c r="C463" s="683"/>
      <c r="D463" s="683"/>
      <c r="E463" s="683"/>
      <c r="F463" s="683"/>
      <c r="G463" s="683"/>
      <c r="H463" s="683"/>
      <c r="I463" s="683"/>
      <c r="J463" s="683"/>
      <c r="K463" s="683"/>
      <c r="L463" s="683"/>
      <c r="M463" s="683"/>
      <c r="N463" s="683"/>
      <c r="O463" s="683"/>
      <c r="P463" s="683"/>
      <c r="Q463" s="683"/>
      <c r="R463" s="683"/>
      <c r="S463" s="683"/>
      <c r="T463" s="683">
        <v>412</v>
      </c>
      <c r="U463" s="683"/>
      <c r="V463" s="1161">
        <f t="shared" si="18"/>
        <v>412</v>
      </c>
      <c r="W463" s="673"/>
    </row>
    <row r="464" spans="1:23" s="674" customFormat="1" ht="18" customHeight="1">
      <c r="A464" s="682"/>
      <c r="B464" s="375" t="s">
        <v>1014</v>
      </c>
      <c r="C464" s="683"/>
      <c r="D464" s="683"/>
      <c r="E464" s="683"/>
      <c r="F464" s="683"/>
      <c r="G464" s="683"/>
      <c r="H464" s="683"/>
      <c r="I464" s="683"/>
      <c r="J464" s="683"/>
      <c r="K464" s="683"/>
      <c r="L464" s="683"/>
      <c r="M464" s="683"/>
      <c r="N464" s="683"/>
      <c r="O464" s="683"/>
      <c r="P464" s="683"/>
      <c r="Q464" s="683"/>
      <c r="R464" s="683"/>
      <c r="S464" s="683"/>
      <c r="T464" s="683">
        <v>206</v>
      </c>
      <c r="U464" s="683"/>
      <c r="V464" s="1161">
        <f t="shared" si="18"/>
        <v>206</v>
      </c>
      <c r="W464" s="673"/>
    </row>
    <row r="465" spans="1:23" s="674" customFormat="1" ht="18" customHeight="1">
      <c r="A465" s="682"/>
      <c r="B465" s="375" t="s">
        <v>1015</v>
      </c>
      <c r="C465" s="683"/>
      <c r="D465" s="683"/>
      <c r="E465" s="683"/>
      <c r="F465" s="683"/>
      <c r="G465" s="683"/>
      <c r="H465" s="683"/>
      <c r="I465" s="683"/>
      <c r="J465" s="683"/>
      <c r="K465" s="683"/>
      <c r="L465" s="683"/>
      <c r="M465" s="683"/>
      <c r="N465" s="683"/>
      <c r="O465" s="683"/>
      <c r="P465" s="683"/>
      <c r="Q465" s="683"/>
      <c r="R465" s="683"/>
      <c r="S465" s="683"/>
      <c r="T465" s="683">
        <v>721</v>
      </c>
      <c r="U465" s="683"/>
      <c r="V465" s="1161">
        <f t="shared" si="18"/>
        <v>721</v>
      </c>
      <c r="W465" s="673"/>
    </row>
    <row r="466" spans="1:23" s="674" customFormat="1" ht="18" customHeight="1">
      <c r="A466" s="682"/>
      <c r="B466" s="375" t="s">
        <v>1016</v>
      </c>
      <c r="C466" s="683"/>
      <c r="D466" s="683"/>
      <c r="E466" s="683"/>
      <c r="F466" s="683"/>
      <c r="G466" s="683"/>
      <c r="H466" s="683"/>
      <c r="I466" s="683"/>
      <c r="J466" s="683"/>
      <c r="K466" s="683"/>
      <c r="L466" s="683"/>
      <c r="M466" s="683"/>
      <c r="N466" s="683"/>
      <c r="O466" s="683"/>
      <c r="P466" s="683"/>
      <c r="Q466" s="683"/>
      <c r="R466" s="683"/>
      <c r="S466" s="683"/>
      <c r="T466" s="683">
        <v>412</v>
      </c>
      <c r="U466" s="683"/>
      <c r="V466" s="1161">
        <f t="shared" si="18"/>
        <v>412</v>
      </c>
      <c r="W466" s="673"/>
    </row>
    <row r="467" spans="1:23" s="674" customFormat="1" ht="18" customHeight="1">
      <c r="A467" s="682"/>
      <c r="B467" s="375" t="s">
        <v>1017</v>
      </c>
      <c r="C467" s="683"/>
      <c r="D467" s="683"/>
      <c r="E467" s="683"/>
      <c r="F467" s="683"/>
      <c r="G467" s="683"/>
      <c r="H467" s="683"/>
      <c r="I467" s="683"/>
      <c r="J467" s="683"/>
      <c r="K467" s="683"/>
      <c r="L467" s="683"/>
      <c r="M467" s="683"/>
      <c r="N467" s="683"/>
      <c r="O467" s="683"/>
      <c r="P467" s="683"/>
      <c r="Q467" s="683"/>
      <c r="R467" s="683"/>
      <c r="S467" s="683"/>
      <c r="T467" s="683">
        <v>823</v>
      </c>
      <c r="U467" s="683"/>
      <c r="V467" s="1161">
        <f t="shared" si="18"/>
        <v>823</v>
      </c>
      <c r="W467" s="673"/>
    </row>
    <row r="468" spans="1:23" s="674" customFormat="1" ht="18" customHeight="1">
      <c r="A468" s="682"/>
      <c r="B468" s="375" t="s">
        <v>1018</v>
      </c>
      <c r="C468" s="683"/>
      <c r="D468" s="683"/>
      <c r="E468" s="683"/>
      <c r="F468" s="683"/>
      <c r="G468" s="683"/>
      <c r="H468" s="683"/>
      <c r="I468" s="683"/>
      <c r="J468" s="683"/>
      <c r="K468" s="683"/>
      <c r="L468" s="683"/>
      <c r="M468" s="683"/>
      <c r="N468" s="683"/>
      <c r="O468" s="683"/>
      <c r="P468" s="683"/>
      <c r="Q468" s="683"/>
      <c r="R468" s="683"/>
      <c r="S468" s="683"/>
      <c r="T468" s="683">
        <v>1030</v>
      </c>
      <c r="U468" s="683"/>
      <c r="V468" s="1161">
        <f t="shared" si="18"/>
        <v>1030</v>
      </c>
      <c r="W468" s="673"/>
    </row>
    <row r="469" spans="1:23" s="674" customFormat="1" ht="18" customHeight="1">
      <c r="A469" s="682"/>
      <c r="B469" s="375" t="s">
        <v>1019</v>
      </c>
      <c r="C469" s="683"/>
      <c r="D469" s="683"/>
      <c r="E469" s="683"/>
      <c r="F469" s="683"/>
      <c r="G469" s="683"/>
      <c r="H469" s="683"/>
      <c r="I469" s="683"/>
      <c r="J469" s="683"/>
      <c r="K469" s="683"/>
      <c r="L469" s="683"/>
      <c r="M469" s="683"/>
      <c r="N469" s="683"/>
      <c r="O469" s="683"/>
      <c r="P469" s="683"/>
      <c r="Q469" s="683"/>
      <c r="R469" s="683"/>
      <c r="S469" s="683"/>
      <c r="T469" s="683">
        <v>721</v>
      </c>
      <c r="U469" s="683"/>
      <c r="V469" s="1161">
        <f t="shared" si="18"/>
        <v>721</v>
      </c>
      <c r="W469" s="673"/>
    </row>
    <row r="470" spans="1:23" s="674" customFormat="1" ht="18" customHeight="1">
      <c r="A470" s="682"/>
      <c r="B470" s="375" t="s">
        <v>905</v>
      </c>
      <c r="C470" s="683"/>
      <c r="D470" s="683"/>
      <c r="E470" s="683"/>
      <c r="F470" s="683"/>
      <c r="G470" s="683"/>
      <c r="H470" s="683"/>
      <c r="I470" s="683"/>
      <c r="J470" s="683"/>
      <c r="K470" s="683"/>
      <c r="L470" s="683"/>
      <c r="M470" s="683"/>
      <c r="N470" s="683"/>
      <c r="O470" s="683"/>
      <c r="P470" s="683"/>
      <c r="Q470" s="683"/>
      <c r="R470" s="683"/>
      <c r="S470" s="683"/>
      <c r="T470" s="683">
        <v>617</v>
      </c>
      <c r="U470" s="683"/>
      <c r="V470" s="1161">
        <f t="shared" si="18"/>
        <v>617</v>
      </c>
      <c r="W470" s="673"/>
    </row>
    <row r="471" spans="1:23" s="674" customFormat="1" ht="18" customHeight="1">
      <c r="A471" s="682"/>
      <c r="B471" s="375" t="s">
        <v>906</v>
      </c>
      <c r="C471" s="683"/>
      <c r="D471" s="683"/>
      <c r="E471" s="683"/>
      <c r="F471" s="683"/>
      <c r="G471" s="683"/>
      <c r="H471" s="683"/>
      <c r="I471" s="683"/>
      <c r="J471" s="683"/>
      <c r="K471" s="683"/>
      <c r="L471" s="683"/>
      <c r="M471" s="683"/>
      <c r="N471" s="683"/>
      <c r="O471" s="683"/>
      <c r="P471" s="683"/>
      <c r="Q471" s="683"/>
      <c r="R471" s="683"/>
      <c r="S471" s="683"/>
      <c r="T471" s="683">
        <v>103</v>
      </c>
      <c r="U471" s="683"/>
      <c r="V471" s="1161">
        <f t="shared" si="18"/>
        <v>103</v>
      </c>
      <c r="W471" s="673"/>
    </row>
    <row r="472" spans="1:23" s="674" customFormat="1" ht="18" customHeight="1">
      <c r="A472" s="682"/>
      <c r="B472" s="375" t="s">
        <v>1020</v>
      </c>
      <c r="C472" s="683"/>
      <c r="D472" s="683"/>
      <c r="E472" s="683"/>
      <c r="F472" s="683"/>
      <c r="G472" s="683"/>
      <c r="H472" s="683"/>
      <c r="I472" s="683"/>
      <c r="J472" s="683"/>
      <c r="K472" s="683"/>
      <c r="L472" s="683"/>
      <c r="M472" s="683"/>
      <c r="N472" s="683"/>
      <c r="O472" s="683"/>
      <c r="P472" s="683"/>
      <c r="Q472" s="683"/>
      <c r="R472" s="683"/>
      <c r="S472" s="683"/>
      <c r="T472" s="683">
        <v>412</v>
      </c>
      <c r="U472" s="683"/>
      <c r="V472" s="1161">
        <f t="shared" si="18"/>
        <v>412</v>
      </c>
      <c r="W472" s="673"/>
    </row>
    <row r="473" spans="1:23" s="674" customFormat="1" ht="18" customHeight="1">
      <c r="A473" s="682"/>
      <c r="B473" s="375" t="s">
        <v>907</v>
      </c>
      <c r="C473" s="683"/>
      <c r="D473" s="683"/>
      <c r="E473" s="683"/>
      <c r="F473" s="683"/>
      <c r="G473" s="683"/>
      <c r="H473" s="683"/>
      <c r="I473" s="683"/>
      <c r="J473" s="683"/>
      <c r="K473" s="683"/>
      <c r="L473" s="683"/>
      <c r="M473" s="683"/>
      <c r="N473" s="683"/>
      <c r="O473" s="683"/>
      <c r="P473" s="683"/>
      <c r="Q473" s="683"/>
      <c r="R473" s="683"/>
      <c r="S473" s="683"/>
      <c r="T473" s="683">
        <v>103</v>
      </c>
      <c r="U473" s="683"/>
      <c r="V473" s="1161">
        <f t="shared" si="18"/>
        <v>103</v>
      </c>
      <c r="W473" s="673"/>
    </row>
    <row r="474" spans="1:23" s="674" customFormat="1" ht="18" customHeight="1">
      <c r="A474" s="682"/>
      <c r="B474" s="375" t="s">
        <v>1021</v>
      </c>
      <c r="C474" s="683"/>
      <c r="D474" s="683"/>
      <c r="E474" s="683"/>
      <c r="F474" s="683"/>
      <c r="G474" s="683"/>
      <c r="H474" s="683"/>
      <c r="I474" s="683"/>
      <c r="J474" s="683"/>
      <c r="K474" s="683"/>
      <c r="L474" s="683"/>
      <c r="M474" s="683"/>
      <c r="N474" s="683"/>
      <c r="O474" s="683"/>
      <c r="P474" s="683"/>
      <c r="Q474" s="683"/>
      <c r="R474" s="683"/>
      <c r="S474" s="683"/>
      <c r="T474" s="683">
        <v>412</v>
      </c>
      <c r="U474" s="683"/>
      <c r="V474" s="1161">
        <f t="shared" si="18"/>
        <v>412</v>
      </c>
      <c r="W474" s="673"/>
    </row>
    <row r="475" spans="1:23" s="674" customFormat="1" ht="18" customHeight="1">
      <c r="A475" s="682"/>
      <c r="B475" s="375" t="s">
        <v>1022</v>
      </c>
      <c r="C475" s="683"/>
      <c r="D475" s="683"/>
      <c r="E475" s="683"/>
      <c r="F475" s="683"/>
      <c r="G475" s="683"/>
      <c r="H475" s="683"/>
      <c r="I475" s="683"/>
      <c r="J475" s="683"/>
      <c r="K475" s="683"/>
      <c r="L475" s="683"/>
      <c r="M475" s="683"/>
      <c r="N475" s="683"/>
      <c r="O475" s="683"/>
      <c r="P475" s="683"/>
      <c r="Q475" s="683"/>
      <c r="R475" s="683"/>
      <c r="S475" s="683"/>
      <c r="T475" s="683">
        <v>618</v>
      </c>
      <c r="U475" s="683"/>
      <c r="V475" s="1161">
        <f t="shared" si="18"/>
        <v>618</v>
      </c>
      <c r="W475" s="673"/>
    </row>
    <row r="476" spans="1:23" s="674" customFormat="1" ht="18" customHeight="1">
      <c r="A476" s="682"/>
      <c r="B476" s="375" t="s">
        <v>908</v>
      </c>
      <c r="C476" s="683"/>
      <c r="D476" s="683"/>
      <c r="E476" s="683"/>
      <c r="F476" s="683"/>
      <c r="G476" s="683"/>
      <c r="H476" s="683"/>
      <c r="I476" s="683"/>
      <c r="J476" s="683"/>
      <c r="K476" s="683"/>
      <c r="L476" s="683"/>
      <c r="M476" s="683"/>
      <c r="N476" s="683"/>
      <c r="O476" s="683"/>
      <c r="P476" s="683"/>
      <c r="Q476" s="683"/>
      <c r="R476" s="683"/>
      <c r="S476" s="683"/>
      <c r="T476" s="683">
        <v>206</v>
      </c>
      <c r="U476" s="683"/>
      <c r="V476" s="1161">
        <f t="shared" si="18"/>
        <v>206</v>
      </c>
      <c r="W476" s="673"/>
    </row>
    <row r="477" spans="1:23" s="674" customFormat="1" ht="18" customHeight="1">
      <c r="A477" s="682"/>
      <c r="B477" s="375" t="s">
        <v>909</v>
      </c>
      <c r="C477" s="683"/>
      <c r="D477" s="683"/>
      <c r="E477" s="683"/>
      <c r="F477" s="683"/>
      <c r="G477" s="683"/>
      <c r="H477" s="683"/>
      <c r="I477" s="683"/>
      <c r="J477" s="683"/>
      <c r="K477" s="683"/>
      <c r="L477" s="683"/>
      <c r="M477" s="683"/>
      <c r="N477" s="683"/>
      <c r="O477" s="683"/>
      <c r="P477" s="683"/>
      <c r="Q477" s="683"/>
      <c r="R477" s="683"/>
      <c r="S477" s="683"/>
      <c r="T477" s="683">
        <v>823</v>
      </c>
      <c r="U477" s="683"/>
      <c r="V477" s="1161">
        <f t="shared" si="18"/>
        <v>823</v>
      </c>
      <c r="W477" s="673"/>
    </row>
    <row r="478" spans="1:23" s="674" customFormat="1" ht="18" customHeight="1">
      <c r="A478" s="682"/>
      <c r="B478" s="375" t="s">
        <v>1023</v>
      </c>
      <c r="C478" s="683"/>
      <c r="D478" s="683"/>
      <c r="E478" s="683"/>
      <c r="F478" s="683"/>
      <c r="G478" s="683"/>
      <c r="H478" s="683"/>
      <c r="I478" s="683"/>
      <c r="J478" s="683"/>
      <c r="K478" s="683"/>
      <c r="L478" s="683"/>
      <c r="M478" s="683"/>
      <c r="N478" s="683"/>
      <c r="O478" s="683"/>
      <c r="P478" s="683"/>
      <c r="Q478" s="683"/>
      <c r="R478" s="683"/>
      <c r="S478" s="683"/>
      <c r="T478" s="683">
        <v>206</v>
      </c>
      <c r="U478" s="683"/>
      <c r="V478" s="1161">
        <f t="shared" si="18"/>
        <v>206</v>
      </c>
      <c r="W478" s="673"/>
    </row>
    <row r="479" spans="1:23" s="674" customFormat="1" ht="18" customHeight="1">
      <c r="A479" s="682"/>
      <c r="B479" s="375" t="s">
        <v>1027</v>
      </c>
      <c r="C479" s="683"/>
      <c r="D479" s="683"/>
      <c r="E479" s="683"/>
      <c r="F479" s="683"/>
      <c r="G479" s="683"/>
      <c r="H479" s="683"/>
      <c r="I479" s="683"/>
      <c r="J479" s="683"/>
      <c r="K479" s="683"/>
      <c r="L479" s="683"/>
      <c r="M479" s="683"/>
      <c r="N479" s="683"/>
      <c r="O479" s="683"/>
      <c r="P479" s="683"/>
      <c r="Q479" s="683"/>
      <c r="R479" s="683"/>
      <c r="S479" s="683"/>
      <c r="T479" s="683">
        <v>515</v>
      </c>
      <c r="U479" s="683"/>
      <c r="V479" s="1161">
        <f t="shared" si="18"/>
        <v>515</v>
      </c>
      <c r="W479" s="673"/>
    </row>
    <row r="480" spans="1:23" s="674" customFormat="1" ht="18" customHeight="1">
      <c r="A480" s="682"/>
      <c r="B480" s="375" t="s">
        <v>1028</v>
      </c>
      <c r="C480" s="683"/>
      <c r="D480" s="683"/>
      <c r="E480" s="683"/>
      <c r="F480" s="683"/>
      <c r="G480" s="683"/>
      <c r="H480" s="683"/>
      <c r="I480" s="683"/>
      <c r="J480" s="683"/>
      <c r="K480" s="683"/>
      <c r="L480" s="683"/>
      <c r="M480" s="683"/>
      <c r="N480" s="683"/>
      <c r="O480" s="683"/>
      <c r="P480" s="683"/>
      <c r="Q480" s="683"/>
      <c r="R480" s="683"/>
      <c r="S480" s="683"/>
      <c r="T480" s="683">
        <v>515</v>
      </c>
      <c r="U480" s="683"/>
      <c r="V480" s="1161">
        <f t="shared" si="18"/>
        <v>515</v>
      </c>
      <c r="W480" s="673"/>
    </row>
    <row r="481" spans="1:23" s="674" customFormat="1" ht="18" customHeight="1">
      <c r="A481" s="682"/>
      <c r="B481" s="375" t="s">
        <v>1066</v>
      </c>
      <c r="C481" s="683"/>
      <c r="D481" s="683"/>
      <c r="E481" s="683"/>
      <c r="F481" s="683"/>
      <c r="G481" s="683"/>
      <c r="H481" s="683"/>
      <c r="I481" s="683"/>
      <c r="J481" s="683"/>
      <c r="K481" s="683"/>
      <c r="L481" s="683"/>
      <c r="M481" s="683"/>
      <c r="N481" s="683"/>
      <c r="O481" s="683"/>
      <c r="P481" s="683"/>
      <c r="Q481" s="683"/>
      <c r="R481" s="683"/>
      <c r="S481" s="683"/>
      <c r="T481" s="683">
        <v>412</v>
      </c>
      <c r="U481" s="683"/>
      <c r="V481" s="1161">
        <f t="shared" si="18"/>
        <v>412</v>
      </c>
      <c r="W481" s="673"/>
    </row>
    <row r="482" spans="1:23" s="674" customFormat="1" ht="18" customHeight="1">
      <c r="A482" s="682"/>
      <c r="B482" s="375" t="s">
        <v>1029</v>
      </c>
      <c r="C482" s="683"/>
      <c r="D482" s="683"/>
      <c r="E482" s="683"/>
      <c r="F482" s="683"/>
      <c r="G482" s="683"/>
      <c r="H482" s="683"/>
      <c r="I482" s="683"/>
      <c r="J482" s="683"/>
      <c r="K482" s="683"/>
      <c r="L482" s="683"/>
      <c r="M482" s="683"/>
      <c r="N482" s="683"/>
      <c r="O482" s="683"/>
      <c r="P482" s="683"/>
      <c r="Q482" s="683"/>
      <c r="R482" s="683"/>
      <c r="S482" s="683"/>
      <c r="T482" s="683">
        <v>309</v>
      </c>
      <c r="U482" s="683"/>
      <c r="V482" s="1161">
        <f t="shared" si="18"/>
        <v>309</v>
      </c>
      <c r="W482" s="673"/>
    </row>
    <row r="483" spans="1:23" s="674" customFormat="1" ht="18" customHeight="1">
      <c r="A483" s="682"/>
      <c r="B483" s="375" t="s">
        <v>1030</v>
      </c>
      <c r="C483" s="683"/>
      <c r="D483" s="683"/>
      <c r="E483" s="683"/>
      <c r="F483" s="683"/>
      <c r="G483" s="683"/>
      <c r="H483" s="683"/>
      <c r="I483" s="683"/>
      <c r="J483" s="683"/>
      <c r="K483" s="683"/>
      <c r="L483" s="683"/>
      <c r="M483" s="683"/>
      <c r="N483" s="683"/>
      <c r="O483" s="683"/>
      <c r="P483" s="683"/>
      <c r="Q483" s="683"/>
      <c r="R483" s="683"/>
      <c r="S483" s="683"/>
      <c r="T483" s="683">
        <v>412</v>
      </c>
      <c r="U483" s="683"/>
      <c r="V483" s="1161">
        <f t="shared" si="18"/>
        <v>412</v>
      </c>
      <c r="W483" s="673"/>
    </row>
    <row r="484" spans="1:23" s="674" customFormat="1" ht="18" customHeight="1">
      <c r="A484" s="682"/>
      <c r="B484" s="375" t="s">
        <v>910</v>
      </c>
      <c r="C484" s="683"/>
      <c r="D484" s="683"/>
      <c r="E484" s="683"/>
      <c r="F484" s="683"/>
      <c r="G484" s="683"/>
      <c r="H484" s="683"/>
      <c r="I484" s="683"/>
      <c r="J484" s="683"/>
      <c r="K484" s="683"/>
      <c r="L484" s="683"/>
      <c r="M484" s="683"/>
      <c r="N484" s="683"/>
      <c r="O484" s="683"/>
      <c r="P484" s="683"/>
      <c r="Q484" s="683"/>
      <c r="R484" s="683"/>
      <c r="S484" s="683"/>
      <c r="T484" s="683">
        <v>823</v>
      </c>
      <c r="U484" s="683"/>
      <c r="V484" s="1161">
        <f t="shared" si="18"/>
        <v>823</v>
      </c>
      <c r="W484" s="673"/>
    </row>
    <row r="485" spans="1:23" s="674" customFormat="1" ht="18" customHeight="1">
      <c r="A485" s="682"/>
      <c r="B485" s="375" t="s">
        <v>911</v>
      </c>
      <c r="C485" s="683"/>
      <c r="D485" s="683"/>
      <c r="E485" s="683"/>
      <c r="F485" s="683"/>
      <c r="G485" s="683"/>
      <c r="H485" s="683"/>
      <c r="I485" s="683"/>
      <c r="J485" s="683"/>
      <c r="K485" s="683"/>
      <c r="L485" s="683"/>
      <c r="M485" s="683"/>
      <c r="N485" s="683"/>
      <c r="O485" s="683"/>
      <c r="P485" s="683"/>
      <c r="Q485" s="683"/>
      <c r="R485" s="683"/>
      <c r="S485" s="683"/>
      <c r="T485" s="683">
        <v>823</v>
      </c>
      <c r="U485" s="683"/>
      <c r="V485" s="1161">
        <f t="shared" si="18"/>
        <v>823</v>
      </c>
      <c r="W485" s="673"/>
    </row>
    <row r="486" spans="1:23" s="674" customFormat="1" ht="18" customHeight="1">
      <c r="A486" s="682"/>
      <c r="B486" s="375" t="s">
        <v>1031</v>
      </c>
      <c r="C486" s="683"/>
      <c r="D486" s="683"/>
      <c r="E486" s="683"/>
      <c r="F486" s="683"/>
      <c r="G486" s="683"/>
      <c r="H486" s="683"/>
      <c r="I486" s="683"/>
      <c r="J486" s="683"/>
      <c r="K486" s="683"/>
      <c r="L486" s="683"/>
      <c r="M486" s="683"/>
      <c r="N486" s="683"/>
      <c r="O486" s="683"/>
      <c r="P486" s="683"/>
      <c r="Q486" s="683"/>
      <c r="R486" s="683"/>
      <c r="S486" s="683"/>
      <c r="T486" s="683">
        <v>823</v>
      </c>
      <c r="U486" s="683"/>
      <c r="V486" s="1161">
        <f t="shared" si="18"/>
        <v>823</v>
      </c>
      <c r="W486" s="673"/>
    </row>
    <row r="487" spans="1:23" s="674" customFormat="1" ht="18" customHeight="1">
      <c r="A487" s="682"/>
      <c r="B487" s="375" t="s">
        <v>1032</v>
      </c>
      <c r="C487" s="683"/>
      <c r="D487" s="683"/>
      <c r="E487" s="683"/>
      <c r="F487" s="683"/>
      <c r="G487" s="683"/>
      <c r="H487" s="683"/>
      <c r="I487" s="683"/>
      <c r="J487" s="683"/>
      <c r="K487" s="683"/>
      <c r="L487" s="683"/>
      <c r="M487" s="683"/>
      <c r="N487" s="683"/>
      <c r="O487" s="683"/>
      <c r="P487" s="683"/>
      <c r="Q487" s="683"/>
      <c r="R487" s="683"/>
      <c r="S487" s="683"/>
      <c r="T487" s="683">
        <v>103</v>
      </c>
      <c r="U487" s="683"/>
      <c r="V487" s="1161">
        <f t="shared" si="18"/>
        <v>103</v>
      </c>
      <c r="W487" s="673"/>
    </row>
    <row r="488" spans="1:23" s="674" customFormat="1" ht="18" customHeight="1">
      <c r="A488" s="682"/>
      <c r="B488" s="375" t="s">
        <v>912</v>
      </c>
      <c r="C488" s="683"/>
      <c r="D488" s="683"/>
      <c r="E488" s="683"/>
      <c r="F488" s="683"/>
      <c r="G488" s="683"/>
      <c r="H488" s="683"/>
      <c r="I488" s="683"/>
      <c r="J488" s="683"/>
      <c r="K488" s="683"/>
      <c r="L488" s="683"/>
      <c r="M488" s="683"/>
      <c r="N488" s="683"/>
      <c r="O488" s="683"/>
      <c r="P488" s="683"/>
      <c r="Q488" s="683"/>
      <c r="R488" s="683"/>
      <c r="S488" s="683"/>
      <c r="T488" s="683">
        <v>618</v>
      </c>
      <c r="U488" s="683"/>
      <c r="V488" s="1161">
        <f t="shared" si="18"/>
        <v>618</v>
      </c>
      <c r="W488" s="673"/>
    </row>
    <row r="489" spans="1:23" s="674" customFormat="1" ht="18" customHeight="1">
      <c r="A489" s="682"/>
      <c r="B489" s="1313" t="s">
        <v>1033</v>
      </c>
      <c r="C489" s="683"/>
      <c r="D489" s="683"/>
      <c r="E489" s="683"/>
      <c r="F489" s="683"/>
      <c r="G489" s="683"/>
      <c r="H489" s="683"/>
      <c r="I489" s="683"/>
      <c r="J489" s="683"/>
      <c r="K489" s="683"/>
      <c r="L489" s="683"/>
      <c r="M489" s="683"/>
      <c r="N489" s="683"/>
      <c r="O489" s="683"/>
      <c r="P489" s="683"/>
      <c r="Q489" s="683"/>
      <c r="R489" s="683"/>
      <c r="S489" s="683"/>
      <c r="T489" s="683">
        <v>515</v>
      </c>
      <c r="U489" s="683"/>
      <c r="V489" s="1161">
        <f t="shared" si="18"/>
        <v>515</v>
      </c>
      <c r="W489" s="673"/>
    </row>
    <row r="490" spans="1:23" s="674" customFormat="1" ht="18" customHeight="1">
      <c r="A490" s="682"/>
      <c r="B490" s="375" t="s">
        <v>1034</v>
      </c>
      <c r="C490" s="683"/>
      <c r="D490" s="683"/>
      <c r="E490" s="683"/>
      <c r="F490" s="683"/>
      <c r="G490" s="683"/>
      <c r="H490" s="683"/>
      <c r="I490" s="683"/>
      <c r="J490" s="683"/>
      <c r="K490" s="683"/>
      <c r="L490" s="683"/>
      <c r="M490" s="683"/>
      <c r="N490" s="683"/>
      <c r="O490" s="683"/>
      <c r="P490" s="683"/>
      <c r="Q490" s="683"/>
      <c r="R490" s="683"/>
      <c r="S490" s="683"/>
      <c r="T490" s="683">
        <v>618</v>
      </c>
      <c r="U490" s="683"/>
      <c r="V490" s="1161">
        <f t="shared" si="18"/>
        <v>618</v>
      </c>
      <c r="W490" s="673"/>
    </row>
    <row r="491" spans="1:23" s="674" customFormat="1" ht="18" customHeight="1">
      <c r="A491" s="682"/>
      <c r="B491" s="375" t="s">
        <v>913</v>
      </c>
      <c r="C491" s="683"/>
      <c r="D491" s="683"/>
      <c r="E491" s="683"/>
      <c r="F491" s="683"/>
      <c r="G491" s="683"/>
      <c r="H491" s="683"/>
      <c r="I491" s="683"/>
      <c r="J491" s="683"/>
      <c r="K491" s="683"/>
      <c r="L491" s="683"/>
      <c r="M491" s="683"/>
      <c r="N491" s="683"/>
      <c r="O491" s="683"/>
      <c r="P491" s="683"/>
      <c r="Q491" s="683"/>
      <c r="R491" s="683"/>
      <c r="S491" s="683"/>
      <c r="T491" s="683">
        <v>412</v>
      </c>
      <c r="U491" s="683"/>
      <c r="V491" s="1161">
        <f t="shared" si="18"/>
        <v>412</v>
      </c>
      <c r="W491" s="673"/>
    </row>
    <row r="492" spans="1:23" s="674" customFormat="1" ht="18" customHeight="1">
      <c r="A492" s="682"/>
      <c r="B492" s="375" t="s">
        <v>914</v>
      </c>
      <c r="C492" s="683"/>
      <c r="D492" s="683"/>
      <c r="E492" s="683"/>
      <c r="F492" s="683"/>
      <c r="G492" s="683"/>
      <c r="H492" s="683"/>
      <c r="I492" s="683"/>
      <c r="J492" s="683"/>
      <c r="K492" s="683"/>
      <c r="L492" s="683"/>
      <c r="M492" s="683"/>
      <c r="N492" s="683"/>
      <c r="O492" s="683"/>
      <c r="P492" s="683"/>
      <c r="Q492" s="683"/>
      <c r="R492" s="683"/>
      <c r="S492" s="683"/>
      <c r="T492" s="683">
        <v>309</v>
      </c>
      <c r="U492" s="683"/>
      <c r="V492" s="1161">
        <f aca="true" t="shared" si="19" ref="V492:V515">SUM(C492:U492)</f>
        <v>309</v>
      </c>
      <c r="W492" s="673"/>
    </row>
    <row r="493" spans="1:23" s="674" customFormat="1" ht="18" customHeight="1">
      <c r="A493" s="682"/>
      <c r="B493" s="375" t="s">
        <v>1035</v>
      </c>
      <c r="C493" s="683"/>
      <c r="D493" s="683"/>
      <c r="E493" s="683"/>
      <c r="F493" s="683"/>
      <c r="G493" s="683"/>
      <c r="H493" s="683"/>
      <c r="I493" s="683"/>
      <c r="J493" s="683"/>
      <c r="K493" s="683"/>
      <c r="L493" s="683"/>
      <c r="M493" s="683"/>
      <c r="N493" s="683"/>
      <c r="O493" s="683"/>
      <c r="P493" s="683"/>
      <c r="Q493" s="683"/>
      <c r="R493" s="683"/>
      <c r="S493" s="683"/>
      <c r="T493" s="683">
        <v>309</v>
      </c>
      <c r="U493" s="683"/>
      <c r="V493" s="1161">
        <f t="shared" si="19"/>
        <v>309</v>
      </c>
      <c r="W493" s="673"/>
    </row>
    <row r="494" spans="1:23" s="674" customFormat="1" ht="18" customHeight="1">
      <c r="A494" s="682"/>
      <c r="B494" s="375" t="s">
        <v>1043</v>
      </c>
      <c r="C494" s="683"/>
      <c r="D494" s="683"/>
      <c r="E494" s="683"/>
      <c r="F494" s="683"/>
      <c r="G494" s="683"/>
      <c r="H494" s="683"/>
      <c r="I494" s="683"/>
      <c r="J494" s="683"/>
      <c r="K494" s="683"/>
      <c r="L494" s="683"/>
      <c r="M494" s="683"/>
      <c r="N494" s="683"/>
      <c r="O494" s="683"/>
      <c r="P494" s="683"/>
      <c r="Q494" s="683"/>
      <c r="R494" s="683"/>
      <c r="S494" s="683"/>
      <c r="T494" s="683">
        <v>412</v>
      </c>
      <c r="U494" s="683"/>
      <c r="V494" s="1161">
        <f t="shared" si="19"/>
        <v>412</v>
      </c>
      <c r="W494" s="673"/>
    </row>
    <row r="495" spans="1:23" s="674" customFormat="1" ht="18" customHeight="1">
      <c r="A495" s="682"/>
      <c r="B495" s="375" t="s">
        <v>1044</v>
      </c>
      <c r="C495" s="683"/>
      <c r="D495" s="683"/>
      <c r="E495" s="683"/>
      <c r="F495" s="683"/>
      <c r="G495" s="683"/>
      <c r="H495" s="683"/>
      <c r="I495" s="683"/>
      <c r="J495" s="683"/>
      <c r="K495" s="683"/>
      <c r="L495" s="683"/>
      <c r="M495" s="683"/>
      <c r="N495" s="683"/>
      <c r="O495" s="683"/>
      <c r="P495" s="683"/>
      <c r="Q495" s="683"/>
      <c r="R495" s="683"/>
      <c r="S495" s="683"/>
      <c r="T495" s="683">
        <v>617</v>
      </c>
      <c r="U495" s="683"/>
      <c r="V495" s="1161">
        <f t="shared" si="19"/>
        <v>617</v>
      </c>
      <c r="W495" s="673"/>
    </row>
    <row r="496" spans="1:23" s="674" customFormat="1" ht="18" customHeight="1">
      <c r="A496" s="682"/>
      <c r="B496" s="375" t="s">
        <v>1047</v>
      </c>
      <c r="C496" s="683"/>
      <c r="D496" s="683"/>
      <c r="E496" s="683"/>
      <c r="F496" s="683"/>
      <c r="G496" s="683"/>
      <c r="H496" s="683"/>
      <c r="I496" s="683"/>
      <c r="J496" s="683"/>
      <c r="K496" s="683"/>
      <c r="L496" s="683"/>
      <c r="M496" s="683"/>
      <c r="N496" s="683"/>
      <c r="O496" s="683"/>
      <c r="P496" s="683"/>
      <c r="Q496" s="683"/>
      <c r="R496" s="683"/>
      <c r="S496" s="683"/>
      <c r="T496" s="683">
        <v>721</v>
      </c>
      <c r="U496" s="683"/>
      <c r="V496" s="1161">
        <f t="shared" si="19"/>
        <v>721</v>
      </c>
      <c r="W496" s="673"/>
    </row>
    <row r="497" spans="1:23" s="674" customFormat="1" ht="18" customHeight="1">
      <c r="A497" s="682"/>
      <c r="B497" s="375" t="s">
        <v>915</v>
      </c>
      <c r="C497" s="683"/>
      <c r="D497" s="683"/>
      <c r="E497" s="683"/>
      <c r="F497" s="683"/>
      <c r="G497" s="683"/>
      <c r="H497" s="683"/>
      <c r="I497" s="683"/>
      <c r="J497" s="683"/>
      <c r="K497" s="683"/>
      <c r="L497" s="683"/>
      <c r="M497" s="683"/>
      <c r="N497" s="683"/>
      <c r="O497" s="683"/>
      <c r="P497" s="683"/>
      <c r="Q497" s="683"/>
      <c r="R497" s="683"/>
      <c r="S497" s="683"/>
      <c r="T497" s="683">
        <v>515</v>
      </c>
      <c r="U497" s="683"/>
      <c r="V497" s="1161">
        <f t="shared" si="19"/>
        <v>515</v>
      </c>
      <c r="W497" s="673"/>
    </row>
    <row r="498" spans="1:23" s="674" customFormat="1" ht="18" customHeight="1">
      <c r="A498" s="682"/>
      <c r="B498" s="375" t="s">
        <v>1045</v>
      </c>
      <c r="C498" s="683"/>
      <c r="D498" s="683"/>
      <c r="E498" s="683"/>
      <c r="F498" s="683"/>
      <c r="G498" s="683"/>
      <c r="H498" s="683"/>
      <c r="I498" s="683"/>
      <c r="J498" s="683"/>
      <c r="K498" s="683"/>
      <c r="L498" s="683"/>
      <c r="M498" s="683"/>
      <c r="N498" s="683"/>
      <c r="O498" s="683"/>
      <c r="P498" s="683"/>
      <c r="Q498" s="683"/>
      <c r="R498" s="683"/>
      <c r="S498" s="683"/>
      <c r="T498" s="683">
        <v>515</v>
      </c>
      <c r="U498" s="683"/>
      <c r="V498" s="1161">
        <f t="shared" si="19"/>
        <v>515</v>
      </c>
      <c r="W498" s="673"/>
    </row>
    <row r="499" spans="1:23" s="674" customFormat="1" ht="18" customHeight="1">
      <c r="A499" s="682"/>
      <c r="B499" s="375" t="s">
        <v>1046</v>
      </c>
      <c r="C499" s="683"/>
      <c r="D499" s="683"/>
      <c r="E499" s="683"/>
      <c r="F499" s="683"/>
      <c r="G499" s="683"/>
      <c r="H499" s="683"/>
      <c r="I499" s="683"/>
      <c r="J499" s="683"/>
      <c r="K499" s="683"/>
      <c r="L499" s="683"/>
      <c r="M499" s="683"/>
      <c r="N499" s="683"/>
      <c r="O499" s="683"/>
      <c r="P499" s="683"/>
      <c r="Q499" s="683"/>
      <c r="R499" s="683"/>
      <c r="S499" s="683"/>
      <c r="T499" s="683">
        <v>617</v>
      </c>
      <c r="U499" s="683"/>
      <c r="V499" s="1161">
        <f t="shared" si="19"/>
        <v>617</v>
      </c>
      <c r="W499" s="673"/>
    </row>
    <row r="500" spans="1:23" s="674" customFormat="1" ht="18" customHeight="1">
      <c r="A500" s="682"/>
      <c r="B500" s="375" t="s">
        <v>903</v>
      </c>
      <c r="C500" s="683"/>
      <c r="D500" s="683"/>
      <c r="E500" s="683"/>
      <c r="F500" s="683"/>
      <c r="G500" s="683"/>
      <c r="H500" s="683"/>
      <c r="I500" s="683"/>
      <c r="J500" s="683"/>
      <c r="K500" s="683"/>
      <c r="L500" s="683"/>
      <c r="M500" s="683"/>
      <c r="N500" s="683"/>
      <c r="O500" s="683"/>
      <c r="P500" s="683"/>
      <c r="Q500" s="683"/>
      <c r="R500" s="683"/>
      <c r="S500" s="683"/>
      <c r="T500" s="683">
        <v>309</v>
      </c>
      <c r="U500" s="683"/>
      <c r="V500" s="1161">
        <f t="shared" si="19"/>
        <v>309</v>
      </c>
      <c r="W500" s="673"/>
    </row>
    <row r="501" spans="1:23" s="674" customFormat="1" ht="18" customHeight="1">
      <c r="A501" s="682"/>
      <c r="B501" s="375" t="s">
        <v>1048</v>
      </c>
      <c r="C501" s="683"/>
      <c r="D501" s="683"/>
      <c r="E501" s="683"/>
      <c r="F501" s="683"/>
      <c r="G501" s="683"/>
      <c r="H501" s="683"/>
      <c r="I501" s="683"/>
      <c r="J501" s="683"/>
      <c r="K501" s="683"/>
      <c r="L501" s="683"/>
      <c r="M501" s="683"/>
      <c r="N501" s="683"/>
      <c r="O501" s="683"/>
      <c r="P501" s="683"/>
      <c r="Q501" s="683"/>
      <c r="R501" s="683"/>
      <c r="S501" s="683"/>
      <c r="T501" s="683">
        <v>515</v>
      </c>
      <c r="U501" s="683"/>
      <c r="V501" s="1161">
        <f t="shared" si="19"/>
        <v>515</v>
      </c>
      <c r="W501" s="673"/>
    </row>
    <row r="502" spans="1:23" s="674" customFormat="1" ht="18" customHeight="1">
      <c r="A502" s="682"/>
      <c r="B502" s="375" t="s">
        <v>1049</v>
      </c>
      <c r="C502" s="683"/>
      <c r="D502" s="683"/>
      <c r="E502" s="683"/>
      <c r="F502" s="683"/>
      <c r="G502" s="683"/>
      <c r="H502" s="683"/>
      <c r="I502" s="683"/>
      <c r="J502" s="683"/>
      <c r="K502" s="683"/>
      <c r="L502" s="683"/>
      <c r="M502" s="683"/>
      <c r="N502" s="683"/>
      <c r="O502" s="683"/>
      <c r="P502" s="683"/>
      <c r="Q502" s="683"/>
      <c r="R502" s="683"/>
      <c r="S502" s="683"/>
      <c r="T502" s="683">
        <v>515</v>
      </c>
      <c r="U502" s="683"/>
      <c r="V502" s="1161">
        <f t="shared" si="19"/>
        <v>515</v>
      </c>
      <c r="W502" s="673"/>
    </row>
    <row r="503" spans="1:23" s="674" customFormat="1" ht="18" customHeight="1">
      <c r="A503" s="682"/>
      <c r="B503" s="375" t="s">
        <v>1050</v>
      </c>
      <c r="C503" s="683"/>
      <c r="D503" s="683"/>
      <c r="E503" s="683"/>
      <c r="F503" s="683"/>
      <c r="G503" s="683"/>
      <c r="H503" s="683"/>
      <c r="I503" s="683"/>
      <c r="J503" s="683"/>
      <c r="K503" s="683"/>
      <c r="L503" s="683"/>
      <c r="M503" s="683"/>
      <c r="N503" s="683"/>
      <c r="O503" s="683"/>
      <c r="P503" s="683"/>
      <c r="Q503" s="683"/>
      <c r="R503" s="683"/>
      <c r="S503" s="683"/>
      <c r="T503" s="683">
        <v>618</v>
      </c>
      <c r="U503" s="683"/>
      <c r="V503" s="1161">
        <f t="shared" si="19"/>
        <v>618</v>
      </c>
      <c r="W503" s="673"/>
    </row>
    <row r="504" spans="1:23" s="674" customFormat="1" ht="18" customHeight="1">
      <c r="A504" s="682"/>
      <c r="B504" s="375" t="s">
        <v>1051</v>
      </c>
      <c r="C504" s="683"/>
      <c r="D504" s="683"/>
      <c r="E504" s="683"/>
      <c r="F504" s="683"/>
      <c r="G504" s="683"/>
      <c r="H504" s="683"/>
      <c r="I504" s="683"/>
      <c r="J504" s="683"/>
      <c r="K504" s="683"/>
      <c r="L504" s="683"/>
      <c r="M504" s="683"/>
      <c r="N504" s="683"/>
      <c r="O504" s="683"/>
      <c r="P504" s="683"/>
      <c r="Q504" s="683"/>
      <c r="R504" s="683"/>
      <c r="S504" s="683"/>
      <c r="T504" s="683">
        <v>617</v>
      </c>
      <c r="U504" s="683"/>
      <c r="V504" s="1161">
        <f t="shared" si="19"/>
        <v>617</v>
      </c>
      <c r="W504" s="673"/>
    </row>
    <row r="505" spans="1:23" s="674" customFormat="1" ht="18" customHeight="1">
      <c r="A505" s="682"/>
      <c r="B505" s="375" t="s">
        <v>1052</v>
      </c>
      <c r="C505" s="683"/>
      <c r="D505" s="683"/>
      <c r="E505" s="683"/>
      <c r="F505" s="683"/>
      <c r="G505" s="683"/>
      <c r="H505" s="683"/>
      <c r="I505" s="683"/>
      <c r="J505" s="683"/>
      <c r="K505" s="683"/>
      <c r="L505" s="683"/>
      <c r="M505" s="683"/>
      <c r="N505" s="683"/>
      <c r="O505" s="683"/>
      <c r="P505" s="683"/>
      <c r="Q505" s="683"/>
      <c r="R505" s="683"/>
      <c r="S505" s="683"/>
      <c r="T505" s="683">
        <v>823</v>
      </c>
      <c r="U505" s="683"/>
      <c r="V505" s="1161">
        <f t="shared" si="19"/>
        <v>823</v>
      </c>
      <c r="W505" s="673"/>
    </row>
    <row r="506" spans="1:23" s="674" customFormat="1" ht="18" customHeight="1">
      <c r="A506" s="682"/>
      <c r="B506" s="375" t="s">
        <v>1053</v>
      </c>
      <c r="C506" s="683"/>
      <c r="D506" s="683"/>
      <c r="E506" s="683"/>
      <c r="F506" s="683"/>
      <c r="G506" s="683"/>
      <c r="H506" s="683"/>
      <c r="I506" s="683"/>
      <c r="J506" s="683"/>
      <c r="K506" s="683"/>
      <c r="L506" s="683"/>
      <c r="M506" s="683"/>
      <c r="N506" s="683"/>
      <c r="O506" s="683"/>
      <c r="P506" s="683"/>
      <c r="Q506" s="683"/>
      <c r="R506" s="683"/>
      <c r="S506" s="683"/>
      <c r="T506" s="683">
        <v>206</v>
      </c>
      <c r="U506" s="683"/>
      <c r="V506" s="1161">
        <f t="shared" si="19"/>
        <v>206</v>
      </c>
      <c r="W506" s="673"/>
    </row>
    <row r="507" spans="1:23" s="674" customFormat="1" ht="18" customHeight="1">
      <c r="A507" s="682"/>
      <c r="B507" s="375" t="s">
        <v>916</v>
      </c>
      <c r="C507" s="683"/>
      <c r="D507" s="683"/>
      <c r="E507" s="683"/>
      <c r="F507" s="683"/>
      <c r="G507" s="683"/>
      <c r="H507" s="683"/>
      <c r="I507" s="683"/>
      <c r="J507" s="683"/>
      <c r="K507" s="683"/>
      <c r="L507" s="683"/>
      <c r="M507" s="683"/>
      <c r="N507" s="683"/>
      <c r="O507" s="683"/>
      <c r="P507" s="683"/>
      <c r="Q507" s="683"/>
      <c r="R507" s="683"/>
      <c r="S507" s="683"/>
      <c r="T507" s="683">
        <v>103</v>
      </c>
      <c r="U507" s="683"/>
      <c r="V507" s="1161">
        <f t="shared" si="19"/>
        <v>103</v>
      </c>
      <c r="W507" s="673"/>
    </row>
    <row r="508" spans="1:23" s="674" customFormat="1" ht="18" customHeight="1">
      <c r="A508" s="682"/>
      <c r="B508" s="375" t="s">
        <v>1054</v>
      </c>
      <c r="C508" s="683"/>
      <c r="D508" s="683"/>
      <c r="E508" s="683"/>
      <c r="F508" s="683"/>
      <c r="G508" s="683"/>
      <c r="H508" s="683"/>
      <c r="I508" s="683"/>
      <c r="J508" s="683"/>
      <c r="K508" s="683"/>
      <c r="L508" s="683"/>
      <c r="M508" s="683"/>
      <c r="N508" s="683"/>
      <c r="O508" s="683"/>
      <c r="P508" s="683"/>
      <c r="Q508" s="683"/>
      <c r="R508" s="683"/>
      <c r="S508" s="683"/>
      <c r="T508" s="683">
        <v>309</v>
      </c>
      <c r="U508" s="683"/>
      <c r="V508" s="1161">
        <f t="shared" si="19"/>
        <v>309</v>
      </c>
      <c r="W508" s="673"/>
    </row>
    <row r="509" spans="1:23" s="674" customFormat="1" ht="18" customHeight="1">
      <c r="A509" s="682"/>
      <c r="B509" s="375" t="s">
        <v>1055</v>
      </c>
      <c r="C509" s="683"/>
      <c r="D509" s="683"/>
      <c r="E509" s="683"/>
      <c r="F509" s="683"/>
      <c r="G509" s="683"/>
      <c r="H509" s="683"/>
      <c r="I509" s="683"/>
      <c r="J509" s="683"/>
      <c r="K509" s="683"/>
      <c r="L509" s="683"/>
      <c r="M509" s="683"/>
      <c r="N509" s="683"/>
      <c r="O509" s="683"/>
      <c r="P509" s="683"/>
      <c r="Q509" s="683"/>
      <c r="R509" s="683"/>
      <c r="S509" s="683"/>
      <c r="T509" s="683">
        <v>206</v>
      </c>
      <c r="U509" s="683"/>
      <c r="V509" s="1161">
        <f t="shared" si="19"/>
        <v>206</v>
      </c>
      <c r="W509" s="673"/>
    </row>
    <row r="510" spans="1:23" s="674" customFormat="1" ht="18" customHeight="1">
      <c r="A510" s="682"/>
      <c r="B510" s="375" t="s">
        <v>1056</v>
      </c>
      <c r="C510" s="683"/>
      <c r="D510" s="683"/>
      <c r="E510" s="683"/>
      <c r="F510" s="683"/>
      <c r="G510" s="683"/>
      <c r="H510" s="683"/>
      <c r="I510" s="683"/>
      <c r="J510" s="683"/>
      <c r="K510" s="683"/>
      <c r="L510" s="683"/>
      <c r="M510" s="683"/>
      <c r="N510" s="683"/>
      <c r="O510" s="683"/>
      <c r="P510" s="683"/>
      <c r="Q510" s="683"/>
      <c r="R510" s="683"/>
      <c r="S510" s="683"/>
      <c r="T510" s="683">
        <v>103</v>
      </c>
      <c r="U510" s="683"/>
      <c r="V510" s="1161">
        <f t="shared" si="19"/>
        <v>103</v>
      </c>
      <c r="W510" s="673"/>
    </row>
    <row r="511" spans="1:23" s="674" customFormat="1" ht="18" customHeight="1">
      <c r="A511" s="682"/>
      <c r="B511" s="375" t="s">
        <v>1057</v>
      </c>
      <c r="C511" s="683"/>
      <c r="D511" s="683"/>
      <c r="E511" s="683"/>
      <c r="F511" s="683"/>
      <c r="G511" s="683"/>
      <c r="H511" s="683"/>
      <c r="I511" s="683"/>
      <c r="J511" s="683"/>
      <c r="K511" s="683"/>
      <c r="L511" s="683"/>
      <c r="M511" s="683"/>
      <c r="N511" s="683"/>
      <c r="O511" s="683"/>
      <c r="P511" s="683"/>
      <c r="Q511" s="683"/>
      <c r="R511" s="683"/>
      <c r="S511" s="683"/>
      <c r="T511" s="683">
        <v>823</v>
      </c>
      <c r="U511" s="683"/>
      <c r="V511" s="1161">
        <f t="shared" si="19"/>
        <v>823</v>
      </c>
      <c r="W511" s="673"/>
    </row>
    <row r="512" spans="1:23" s="674" customFormat="1" ht="18" customHeight="1">
      <c r="A512" s="682"/>
      <c r="B512" s="375" t="s">
        <v>1058</v>
      </c>
      <c r="C512" s="683"/>
      <c r="D512" s="683"/>
      <c r="E512" s="683"/>
      <c r="F512" s="683"/>
      <c r="G512" s="683"/>
      <c r="H512" s="683"/>
      <c r="I512" s="683"/>
      <c r="J512" s="683"/>
      <c r="K512" s="683"/>
      <c r="L512" s="683"/>
      <c r="M512" s="683"/>
      <c r="N512" s="683"/>
      <c r="O512" s="683"/>
      <c r="P512" s="683"/>
      <c r="Q512" s="683"/>
      <c r="R512" s="683"/>
      <c r="S512" s="683"/>
      <c r="T512" s="683">
        <v>206</v>
      </c>
      <c r="U512" s="683"/>
      <c r="V512" s="1161">
        <f t="shared" si="19"/>
        <v>206</v>
      </c>
      <c r="W512" s="673"/>
    </row>
    <row r="513" spans="1:23" s="674" customFormat="1" ht="18" customHeight="1">
      <c r="A513" s="682"/>
      <c r="B513" s="375" t="s">
        <v>1059</v>
      </c>
      <c r="C513" s="683"/>
      <c r="D513" s="683"/>
      <c r="E513" s="683"/>
      <c r="F513" s="683"/>
      <c r="G513" s="683"/>
      <c r="H513" s="683"/>
      <c r="I513" s="683"/>
      <c r="J513" s="683"/>
      <c r="K513" s="683"/>
      <c r="L513" s="683"/>
      <c r="M513" s="683"/>
      <c r="N513" s="683"/>
      <c r="O513" s="683"/>
      <c r="P513" s="683"/>
      <c r="Q513" s="683"/>
      <c r="R513" s="683"/>
      <c r="S513" s="683"/>
      <c r="T513" s="683">
        <v>103</v>
      </c>
      <c r="U513" s="683"/>
      <c r="V513" s="1161">
        <f t="shared" si="19"/>
        <v>103</v>
      </c>
      <c r="W513" s="673"/>
    </row>
    <row r="514" spans="1:23" s="674" customFormat="1" ht="18" customHeight="1">
      <c r="A514" s="682"/>
      <c r="B514" s="375" t="s">
        <v>1060</v>
      </c>
      <c r="C514" s="683"/>
      <c r="D514" s="683"/>
      <c r="E514" s="683"/>
      <c r="F514" s="683"/>
      <c r="G514" s="683"/>
      <c r="H514" s="683"/>
      <c r="I514" s="683"/>
      <c r="J514" s="683"/>
      <c r="K514" s="683"/>
      <c r="L514" s="683"/>
      <c r="M514" s="683"/>
      <c r="N514" s="683"/>
      <c r="O514" s="683"/>
      <c r="P514" s="683"/>
      <c r="Q514" s="683"/>
      <c r="R514" s="683"/>
      <c r="S514" s="683"/>
      <c r="T514" s="683">
        <v>103</v>
      </c>
      <c r="U514" s="683"/>
      <c r="V514" s="1161">
        <f t="shared" si="19"/>
        <v>103</v>
      </c>
      <c r="W514" s="673"/>
    </row>
    <row r="515" spans="1:23" s="674" customFormat="1" ht="18" customHeight="1">
      <c r="A515" s="682"/>
      <c r="B515" s="375" t="s">
        <v>1061</v>
      </c>
      <c r="C515" s="683"/>
      <c r="D515" s="683"/>
      <c r="E515" s="683"/>
      <c r="F515" s="683"/>
      <c r="G515" s="683"/>
      <c r="H515" s="683"/>
      <c r="I515" s="683"/>
      <c r="J515" s="683"/>
      <c r="K515" s="683"/>
      <c r="L515" s="683"/>
      <c r="M515" s="683"/>
      <c r="N515" s="683"/>
      <c r="O515" s="683"/>
      <c r="P515" s="683"/>
      <c r="Q515" s="683"/>
      <c r="R515" s="683"/>
      <c r="S515" s="683"/>
      <c r="T515" s="683">
        <v>206</v>
      </c>
      <c r="U515" s="683"/>
      <c r="V515" s="1161">
        <f t="shared" si="19"/>
        <v>206</v>
      </c>
      <c r="W515" s="673"/>
    </row>
    <row r="516" spans="1:23" s="674" customFormat="1" ht="18" customHeight="1">
      <c r="A516" s="682"/>
      <c r="B516" s="375" t="s">
        <v>1062</v>
      </c>
      <c r="C516" s="683"/>
      <c r="D516" s="683"/>
      <c r="E516" s="683"/>
      <c r="F516" s="683"/>
      <c r="G516" s="683"/>
      <c r="H516" s="683"/>
      <c r="I516" s="683"/>
      <c r="J516" s="683"/>
      <c r="K516" s="683"/>
      <c r="L516" s="683"/>
      <c r="M516" s="683"/>
      <c r="N516" s="683"/>
      <c r="O516" s="683"/>
      <c r="P516" s="683"/>
      <c r="Q516" s="683"/>
      <c r="R516" s="683"/>
      <c r="S516" s="683"/>
      <c r="T516" s="683">
        <v>515</v>
      </c>
      <c r="U516" s="683"/>
      <c r="V516" s="1161">
        <f>SUM(C516:U516)</f>
        <v>515</v>
      </c>
      <c r="W516" s="673"/>
    </row>
    <row r="517" spans="1:23" s="674" customFormat="1" ht="18" customHeight="1">
      <c r="A517" s="682"/>
      <c r="B517" s="375" t="s">
        <v>917</v>
      </c>
      <c r="C517" s="683"/>
      <c r="D517" s="683"/>
      <c r="E517" s="683"/>
      <c r="F517" s="683"/>
      <c r="G517" s="683"/>
      <c r="H517" s="683"/>
      <c r="I517" s="683"/>
      <c r="J517" s="683"/>
      <c r="K517" s="683"/>
      <c r="L517" s="683"/>
      <c r="M517" s="683"/>
      <c r="N517" s="683"/>
      <c r="O517" s="683"/>
      <c r="P517" s="683"/>
      <c r="Q517" s="683"/>
      <c r="R517" s="683"/>
      <c r="S517" s="683"/>
      <c r="T517" s="683">
        <v>721</v>
      </c>
      <c r="U517" s="683"/>
      <c r="V517" s="1161">
        <f>SUM(C517:U517)</f>
        <v>721</v>
      </c>
      <c r="W517" s="673"/>
    </row>
    <row r="518" spans="1:23" s="674" customFormat="1" ht="18" customHeight="1">
      <c r="A518" s="694"/>
      <c r="B518" s="375" t="s">
        <v>1063</v>
      </c>
      <c r="C518" s="696"/>
      <c r="D518" s="696"/>
      <c r="E518" s="696"/>
      <c r="F518" s="696"/>
      <c r="G518" s="696"/>
      <c r="H518" s="696"/>
      <c r="I518" s="696"/>
      <c r="J518" s="696"/>
      <c r="K518" s="696"/>
      <c r="L518" s="696"/>
      <c r="M518" s="696"/>
      <c r="N518" s="696"/>
      <c r="O518" s="696"/>
      <c r="P518" s="696"/>
      <c r="Q518" s="696"/>
      <c r="R518" s="696"/>
      <c r="S518" s="696"/>
      <c r="T518" s="696">
        <v>412</v>
      </c>
      <c r="U518" s="696"/>
      <c r="V518" s="1161">
        <f>SUM(C518:U518)</f>
        <v>412</v>
      </c>
      <c r="W518" s="673"/>
    </row>
    <row r="519" spans="1:23" s="674" customFormat="1" ht="18" customHeight="1">
      <c r="A519" s="694"/>
      <c r="B519" s="1313" t="s">
        <v>1064</v>
      </c>
      <c r="C519" s="683"/>
      <c r="D519" s="683"/>
      <c r="E519" s="683"/>
      <c r="F519" s="683"/>
      <c r="G519" s="683"/>
      <c r="H519" s="683"/>
      <c r="I519" s="683"/>
      <c r="J519" s="683"/>
      <c r="K519" s="683"/>
      <c r="L519" s="683"/>
      <c r="M519" s="683"/>
      <c r="N519" s="683"/>
      <c r="O519" s="683"/>
      <c r="P519" s="683"/>
      <c r="Q519" s="683"/>
      <c r="R519" s="683"/>
      <c r="S519" s="683"/>
      <c r="T519" s="683">
        <v>206</v>
      </c>
      <c r="U519" s="683"/>
      <c r="V519" s="1161">
        <f>SUM(C519:U519)</f>
        <v>206</v>
      </c>
      <c r="W519" s="673"/>
    </row>
    <row r="520" spans="1:23" s="674" customFormat="1" ht="18" customHeight="1">
      <c r="A520" s="694"/>
      <c r="B520" s="375" t="s">
        <v>1065</v>
      </c>
      <c r="C520" s="696"/>
      <c r="D520" s="696"/>
      <c r="E520" s="696"/>
      <c r="F520" s="696"/>
      <c r="G520" s="696"/>
      <c r="H520" s="696"/>
      <c r="I520" s="696"/>
      <c r="J520" s="696"/>
      <c r="K520" s="696"/>
      <c r="L520" s="696"/>
      <c r="M520" s="696"/>
      <c r="N520" s="696"/>
      <c r="O520" s="696"/>
      <c r="P520" s="696"/>
      <c r="Q520" s="696"/>
      <c r="R520" s="696"/>
      <c r="S520" s="696"/>
      <c r="T520" s="696">
        <v>103</v>
      </c>
      <c r="U520" s="696"/>
      <c r="V520" s="1161">
        <f>SUM(C520:U520)</f>
        <v>103</v>
      </c>
      <c r="W520" s="673"/>
    </row>
    <row r="521" spans="1:23" s="674" customFormat="1" ht="18" customHeight="1" thickBot="1">
      <c r="A521" s="694"/>
      <c r="B521" s="375" t="s">
        <v>918</v>
      </c>
      <c r="C521" s="696"/>
      <c r="D521" s="696"/>
      <c r="E521" s="696"/>
      <c r="F521" s="696"/>
      <c r="G521" s="696"/>
      <c r="H521" s="696"/>
      <c r="I521" s="696"/>
      <c r="J521" s="696"/>
      <c r="K521" s="696"/>
      <c r="L521" s="696"/>
      <c r="M521" s="696"/>
      <c r="N521" s="696"/>
      <c r="O521" s="696"/>
      <c r="P521" s="696"/>
      <c r="Q521" s="696"/>
      <c r="R521" s="696"/>
      <c r="S521" s="696"/>
      <c r="T521" s="696">
        <v>206</v>
      </c>
      <c r="U521" s="696"/>
      <c r="V521" s="1157">
        <f aca="true" t="shared" si="20" ref="V521:V538">SUM(C521:U521)</f>
        <v>206</v>
      </c>
      <c r="W521" s="673"/>
    </row>
    <row r="522" spans="1:23" s="508" customFormat="1" ht="32.25" customHeight="1" thickBot="1" thickTop="1">
      <c r="A522" s="1195">
        <v>854</v>
      </c>
      <c r="B522" s="1260" t="s">
        <v>991</v>
      </c>
      <c r="C522" s="1258">
        <f>C523+C564+C571+C579+C583+C599+C795+C798+C801+C822+C872+C924</f>
        <v>0</v>
      </c>
      <c r="D522" s="1258">
        <f>D523+D564+D571+D579+D583+D599+D795+D798+D801+D822+D872+D924</f>
        <v>0</v>
      </c>
      <c r="E522" s="1258">
        <f>E523+E564+E571+E579+E583+E599+E795+E798+E801+E822+E872+E924</f>
        <v>0</v>
      </c>
      <c r="F522" s="1258">
        <f>F523+F564+F571+F579+F583+F599+F795+F822</f>
        <v>45933</v>
      </c>
      <c r="G522" s="1258">
        <f aca="true" t="shared" si="21" ref="G522:T522">G523+G564+G571+G579+G583+G599+G795+G822</f>
        <v>21630</v>
      </c>
      <c r="H522" s="1258">
        <f t="shared" si="21"/>
        <v>1230</v>
      </c>
      <c r="I522" s="1258">
        <f t="shared" si="21"/>
        <v>-1000</v>
      </c>
      <c r="J522" s="1258">
        <f t="shared" si="21"/>
        <v>0</v>
      </c>
      <c r="K522" s="1258">
        <f t="shared" si="21"/>
        <v>117514</v>
      </c>
      <c r="L522" s="1258"/>
      <c r="M522" s="1258">
        <f t="shared" si="21"/>
        <v>-4000</v>
      </c>
      <c r="N522" s="1258"/>
      <c r="O522" s="1258">
        <f t="shared" si="21"/>
        <v>26000</v>
      </c>
      <c r="P522" s="1258">
        <f t="shared" si="21"/>
        <v>31000</v>
      </c>
      <c r="Q522" s="1258"/>
      <c r="R522" s="1258">
        <f t="shared" si="21"/>
        <v>5000</v>
      </c>
      <c r="S522" s="1258"/>
      <c r="T522" s="1258">
        <f t="shared" si="21"/>
        <v>-2030</v>
      </c>
      <c r="U522" s="1258"/>
      <c r="V522" s="1259">
        <f t="shared" si="20"/>
        <v>241277</v>
      </c>
      <c r="W522" s="536"/>
    </row>
    <row r="523" spans="1:23" s="599" customFormat="1" ht="19.5" customHeight="1" thickBot="1" thickTop="1">
      <c r="A523" s="697">
        <v>85401</v>
      </c>
      <c r="B523" s="1233" t="s">
        <v>919</v>
      </c>
      <c r="C523" s="698">
        <f aca="true" t="shared" si="22" ref="C523:H523">SUM(C524:C563)</f>
        <v>0</v>
      </c>
      <c r="D523" s="698">
        <f t="shared" si="22"/>
        <v>0</v>
      </c>
      <c r="E523" s="698">
        <f t="shared" si="22"/>
        <v>0</v>
      </c>
      <c r="F523" s="698">
        <f t="shared" si="22"/>
        <v>2310</v>
      </c>
      <c r="G523" s="698">
        <f t="shared" si="22"/>
        <v>-4070</v>
      </c>
      <c r="H523" s="698">
        <f t="shared" si="22"/>
        <v>-323</v>
      </c>
      <c r="I523" s="698"/>
      <c r="J523" s="698"/>
      <c r="K523" s="698"/>
      <c r="L523" s="698"/>
      <c r="M523" s="698"/>
      <c r="N523" s="698"/>
      <c r="O523" s="698"/>
      <c r="P523" s="698"/>
      <c r="Q523" s="698"/>
      <c r="R523" s="698"/>
      <c r="S523" s="698"/>
      <c r="T523" s="698"/>
      <c r="U523" s="698"/>
      <c r="V523" s="1167">
        <f t="shared" si="20"/>
        <v>-2083</v>
      </c>
      <c r="W523" s="569"/>
    </row>
    <row r="524" spans="1:23" s="508" customFormat="1" ht="18" customHeight="1" hidden="1">
      <c r="A524" s="600" t="s">
        <v>1514</v>
      </c>
      <c r="B524" s="685" t="s">
        <v>603</v>
      </c>
      <c r="C524" s="626"/>
      <c r="D524" s="626"/>
      <c r="E524" s="626"/>
      <c r="F524" s="626"/>
      <c r="G524" s="626"/>
      <c r="H524" s="626"/>
      <c r="I524" s="626"/>
      <c r="J524" s="626"/>
      <c r="K524" s="626"/>
      <c r="L524" s="626"/>
      <c r="M524" s="626"/>
      <c r="N524" s="626"/>
      <c r="O524" s="626"/>
      <c r="P524" s="626"/>
      <c r="Q524" s="626"/>
      <c r="R524" s="626"/>
      <c r="S524" s="626"/>
      <c r="T524" s="626"/>
      <c r="U524" s="626"/>
      <c r="V524" s="1159">
        <f t="shared" si="20"/>
        <v>0</v>
      </c>
      <c r="W524" s="536"/>
    </row>
    <row r="525" spans="1:23" s="609" customFormat="1" ht="18" customHeight="1" hidden="1">
      <c r="A525" s="699" t="s">
        <v>1515</v>
      </c>
      <c r="B525" s="1234" t="s">
        <v>604</v>
      </c>
      <c r="C525" s="700"/>
      <c r="D525" s="700"/>
      <c r="E525" s="700"/>
      <c r="F525" s="700"/>
      <c r="G525" s="700"/>
      <c r="H525" s="700"/>
      <c r="I525" s="700"/>
      <c r="J525" s="700"/>
      <c r="K525" s="700"/>
      <c r="L525" s="700"/>
      <c r="M525" s="700"/>
      <c r="N525" s="700"/>
      <c r="O525" s="700"/>
      <c r="P525" s="700"/>
      <c r="Q525" s="700"/>
      <c r="R525" s="700"/>
      <c r="S525" s="700"/>
      <c r="T525" s="700"/>
      <c r="U525" s="700"/>
      <c r="V525" s="1160">
        <f t="shared" si="20"/>
        <v>0</v>
      </c>
      <c r="W525" s="536"/>
    </row>
    <row r="526" spans="1:23" s="508" customFormat="1" ht="18" customHeight="1" hidden="1">
      <c r="A526" s="606" t="s">
        <v>1516</v>
      </c>
      <c r="B526" s="737" t="s">
        <v>605</v>
      </c>
      <c r="C526" s="701"/>
      <c r="D526" s="701"/>
      <c r="E526" s="701"/>
      <c r="F526" s="701"/>
      <c r="G526" s="701"/>
      <c r="H526" s="701"/>
      <c r="I526" s="701"/>
      <c r="J526" s="701"/>
      <c r="K526" s="701"/>
      <c r="L526" s="701"/>
      <c r="M526" s="701"/>
      <c r="N526" s="701"/>
      <c r="O526" s="701"/>
      <c r="P526" s="701"/>
      <c r="Q526" s="701"/>
      <c r="R526" s="701"/>
      <c r="S526" s="701"/>
      <c r="T526" s="701"/>
      <c r="U526" s="701"/>
      <c r="V526" s="1160">
        <f t="shared" si="20"/>
        <v>0</v>
      </c>
      <c r="W526" s="536"/>
    </row>
    <row r="527" spans="1:23" s="508" customFormat="1" ht="18" customHeight="1" hidden="1">
      <c r="A527" s="606" t="s">
        <v>1517</v>
      </c>
      <c r="B527" s="737" t="s">
        <v>607</v>
      </c>
      <c r="C527" s="630"/>
      <c r="D527" s="630"/>
      <c r="E527" s="630"/>
      <c r="F527" s="630"/>
      <c r="G527" s="630"/>
      <c r="H527" s="630"/>
      <c r="I527" s="630"/>
      <c r="J527" s="630"/>
      <c r="K527" s="630"/>
      <c r="L527" s="630"/>
      <c r="M527" s="630"/>
      <c r="N527" s="630"/>
      <c r="O527" s="630"/>
      <c r="P527" s="630"/>
      <c r="Q527" s="630"/>
      <c r="R527" s="630"/>
      <c r="S527" s="630"/>
      <c r="T527" s="630"/>
      <c r="U527" s="630"/>
      <c r="V527" s="1160">
        <f t="shared" si="20"/>
        <v>0</v>
      </c>
      <c r="W527" s="536"/>
    </row>
    <row r="528" spans="1:23" s="586" customFormat="1" ht="18" customHeight="1" hidden="1">
      <c r="A528" s="699" t="s">
        <v>1518</v>
      </c>
      <c r="B528" s="1235" t="s">
        <v>608</v>
      </c>
      <c r="C528" s="700"/>
      <c r="D528" s="700"/>
      <c r="E528" s="700"/>
      <c r="F528" s="700"/>
      <c r="G528" s="700"/>
      <c r="H528" s="700"/>
      <c r="I528" s="700"/>
      <c r="J528" s="700"/>
      <c r="K528" s="700"/>
      <c r="L528" s="700"/>
      <c r="M528" s="700"/>
      <c r="N528" s="700"/>
      <c r="O528" s="700"/>
      <c r="P528" s="700"/>
      <c r="Q528" s="700"/>
      <c r="R528" s="700"/>
      <c r="S528" s="700"/>
      <c r="T528" s="700"/>
      <c r="U528" s="700"/>
      <c r="V528" s="1160">
        <f t="shared" si="20"/>
        <v>0</v>
      </c>
      <c r="W528" s="536"/>
    </row>
    <row r="529" spans="1:23" s="508" customFormat="1" ht="18" customHeight="1" hidden="1">
      <c r="A529" s="702" t="s">
        <v>1519</v>
      </c>
      <c r="B529" s="1235" t="s">
        <v>610</v>
      </c>
      <c r="C529" s="700"/>
      <c r="D529" s="700"/>
      <c r="E529" s="700"/>
      <c r="F529" s="700"/>
      <c r="G529" s="700"/>
      <c r="H529" s="700"/>
      <c r="I529" s="700"/>
      <c r="J529" s="700"/>
      <c r="K529" s="700"/>
      <c r="L529" s="700"/>
      <c r="M529" s="700"/>
      <c r="N529" s="700"/>
      <c r="O529" s="700"/>
      <c r="P529" s="700"/>
      <c r="Q529" s="700"/>
      <c r="R529" s="700"/>
      <c r="S529" s="700"/>
      <c r="T529" s="700"/>
      <c r="U529" s="700"/>
      <c r="V529" s="1160">
        <f t="shared" si="20"/>
        <v>0</v>
      </c>
      <c r="W529" s="536"/>
    </row>
    <row r="530" spans="1:23" s="508" customFormat="1" ht="18" customHeight="1" hidden="1">
      <c r="A530" s="606" t="s">
        <v>1520</v>
      </c>
      <c r="B530" s="737" t="s">
        <v>611</v>
      </c>
      <c r="C530" s="630"/>
      <c r="D530" s="630"/>
      <c r="E530" s="630"/>
      <c r="F530" s="630"/>
      <c r="G530" s="630"/>
      <c r="H530" s="630"/>
      <c r="I530" s="630"/>
      <c r="J530" s="630"/>
      <c r="K530" s="630"/>
      <c r="L530" s="630"/>
      <c r="M530" s="630"/>
      <c r="N530" s="630"/>
      <c r="O530" s="630"/>
      <c r="P530" s="630"/>
      <c r="Q530" s="630"/>
      <c r="R530" s="630"/>
      <c r="S530" s="630"/>
      <c r="T530" s="630"/>
      <c r="U530" s="630"/>
      <c r="V530" s="1160">
        <f t="shared" si="20"/>
        <v>0</v>
      </c>
      <c r="W530" s="536"/>
    </row>
    <row r="531" spans="1:23" s="508" customFormat="1" ht="18" customHeight="1" hidden="1">
      <c r="A531" s="702" t="s">
        <v>1521</v>
      </c>
      <c r="B531" s="1235" t="s">
        <v>613</v>
      </c>
      <c r="C531" s="700"/>
      <c r="D531" s="700"/>
      <c r="E531" s="700"/>
      <c r="F531" s="700"/>
      <c r="G531" s="700"/>
      <c r="H531" s="700"/>
      <c r="I531" s="700"/>
      <c r="J531" s="700"/>
      <c r="K531" s="700"/>
      <c r="L531" s="700"/>
      <c r="M531" s="700"/>
      <c r="N531" s="700"/>
      <c r="O531" s="700"/>
      <c r="P531" s="700"/>
      <c r="Q531" s="700"/>
      <c r="R531" s="700"/>
      <c r="S531" s="700"/>
      <c r="T531" s="700"/>
      <c r="U531" s="700"/>
      <c r="V531" s="1160">
        <f t="shared" si="20"/>
        <v>0</v>
      </c>
      <c r="W531" s="536"/>
    </row>
    <row r="532" spans="1:23" s="508" customFormat="1" ht="18" customHeight="1" hidden="1">
      <c r="A532" s="606" t="s">
        <v>1522</v>
      </c>
      <c r="B532" s="737" t="s">
        <v>614</v>
      </c>
      <c r="C532" s="630"/>
      <c r="D532" s="630"/>
      <c r="E532" s="630"/>
      <c r="F532" s="630"/>
      <c r="G532" s="630"/>
      <c r="H532" s="630"/>
      <c r="I532" s="630"/>
      <c r="J532" s="630"/>
      <c r="K532" s="630"/>
      <c r="L532" s="630"/>
      <c r="M532" s="630"/>
      <c r="N532" s="630"/>
      <c r="O532" s="630"/>
      <c r="P532" s="630"/>
      <c r="Q532" s="630"/>
      <c r="R532" s="630"/>
      <c r="S532" s="630"/>
      <c r="T532" s="630"/>
      <c r="U532" s="630"/>
      <c r="V532" s="1160">
        <f t="shared" si="20"/>
        <v>0</v>
      </c>
      <c r="W532" s="536"/>
    </row>
    <row r="533" spans="1:23" s="508" customFormat="1" ht="18" customHeight="1" hidden="1">
      <c r="A533" s="606" t="s">
        <v>1523</v>
      </c>
      <c r="B533" s="1235" t="s">
        <v>616</v>
      </c>
      <c r="C533" s="700"/>
      <c r="D533" s="700"/>
      <c r="E533" s="700"/>
      <c r="F533" s="700"/>
      <c r="G533" s="700"/>
      <c r="H533" s="700"/>
      <c r="I533" s="700"/>
      <c r="J533" s="700"/>
      <c r="K533" s="700"/>
      <c r="L533" s="700"/>
      <c r="M533" s="700"/>
      <c r="N533" s="700"/>
      <c r="O533" s="700"/>
      <c r="P533" s="700"/>
      <c r="Q533" s="700"/>
      <c r="R533" s="700"/>
      <c r="S533" s="700"/>
      <c r="T533" s="700"/>
      <c r="U533" s="700"/>
      <c r="V533" s="1160">
        <f t="shared" si="20"/>
        <v>0</v>
      </c>
      <c r="W533" s="536"/>
    </row>
    <row r="534" spans="1:23" s="609" customFormat="1" ht="18" customHeight="1" hidden="1">
      <c r="A534" s="606" t="s">
        <v>1524</v>
      </c>
      <c r="B534" s="737" t="s">
        <v>618</v>
      </c>
      <c r="C534" s="630"/>
      <c r="D534" s="630"/>
      <c r="E534" s="630"/>
      <c r="F534" s="630"/>
      <c r="G534" s="630"/>
      <c r="H534" s="630"/>
      <c r="I534" s="630"/>
      <c r="J534" s="630"/>
      <c r="K534" s="630"/>
      <c r="L534" s="630"/>
      <c r="M534" s="630"/>
      <c r="N534" s="630"/>
      <c r="O534" s="630"/>
      <c r="P534" s="630"/>
      <c r="Q534" s="630"/>
      <c r="R534" s="630"/>
      <c r="S534" s="630"/>
      <c r="T534" s="630"/>
      <c r="U534" s="630"/>
      <c r="V534" s="1160">
        <f t="shared" si="20"/>
        <v>0</v>
      </c>
      <c r="W534" s="536"/>
    </row>
    <row r="535" spans="1:23" ht="18" customHeight="1" hidden="1">
      <c r="A535" s="702" t="s">
        <v>1525</v>
      </c>
      <c r="B535" s="1236" t="s">
        <v>648</v>
      </c>
      <c r="C535" s="700"/>
      <c r="D535" s="700"/>
      <c r="E535" s="700"/>
      <c r="F535" s="700"/>
      <c r="G535" s="700"/>
      <c r="H535" s="700"/>
      <c r="I535" s="700"/>
      <c r="J535" s="700"/>
      <c r="K535" s="700"/>
      <c r="L535" s="700"/>
      <c r="M535" s="700"/>
      <c r="N535" s="700"/>
      <c r="O535" s="700"/>
      <c r="P535" s="700"/>
      <c r="Q535" s="700"/>
      <c r="R535" s="700"/>
      <c r="S535" s="700"/>
      <c r="T535" s="700"/>
      <c r="U535" s="700"/>
      <c r="V535" s="1160">
        <f t="shared" si="20"/>
        <v>0</v>
      </c>
      <c r="W535" s="536"/>
    </row>
    <row r="536" spans="1:23" ht="18" customHeight="1" hidden="1" thickBot="1">
      <c r="A536" s="606" t="s">
        <v>1526</v>
      </c>
      <c r="B536" s="1237" t="s">
        <v>649</v>
      </c>
      <c r="C536" s="630"/>
      <c r="D536" s="630"/>
      <c r="E536" s="630"/>
      <c r="F536" s="630"/>
      <c r="G536" s="630"/>
      <c r="H536" s="630"/>
      <c r="I536" s="630"/>
      <c r="J536" s="630"/>
      <c r="K536" s="630"/>
      <c r="L536" s="630"/>
      <c r="M536" s="630"/>
      <c r="N536" s="630"/>
      <c r="O536" s="630"/>
      <c r="P536" s="630"/>
      <c r="Q536" s="630"/>
      <c r="R536" s="630"/>
      <c r="S536" s="630"/>
      <c r="T536" s="630"/>
      <c r="U536" s="630"/>
      <c r="V536" s="1160">
        <f t="shared" si="20"/>
        <v>0</v>
      </c>
      <c r="W536" s="536"/>
    </row>
    <row r="537" spans="1:23" s="150" customFormat="1" ht="18" customHeight="1" hidden="1">
      <c r="A537" s="702" t="s">
        <v>1527</v>
      </c>
      <c r="B537" s="1236" t="s">
        <v>650</v>
      </c>
      <c r="C537" s="700"/>
      <c r="D537" s="700"/>
      <c r="E537" s="700"/>
      <c r="F537" s="700"/>
      <c r="G537" s="700"/>
      <c r="H537" s="700"/>
      <c r="I537" s="700"/>
      <c r="J537" s="700"/>
      <c r="K537" s="700"/>
      <c r="L537" s="700"/>
      <c r="M537" s="700"/>
      <c r="N537" s="700"/>
      <c r="O537" s="700"/>
      <c r="P537" s="700"/>
      <c r="Q537" s="700"/>
      <c r="R537" s="700"/>
      <c r="S537" s="700"/>
      <c r="T537" s="700"/>
      <c r="U537" s="700"/>
      <c r="V537" s="1160">
        <f t="shared" si="20"/>
        <v>0</v>
      </c>
      <c r="W537" s="536"/>
    </row>
    <row r="538" spans="1:23" s="150" customFormat="1" ht="18" customHeight="1" hidden="1">
      <c r="A538" s="606" t="s">
        <v>1528</v>
      </c>
      <c r="B538" s="1237" t="s">
        <v>651</v>
      </c>
      <c r="C538" s="630"/>
      <c r="D538" s="630"/>
      <c r="E538" s="630"/>
      <c r="F538" s="630"/>
      <c r="G538" s="630"/>
      <c r="H538" s="630"/>
      <c r="I538" s="630"/>
      <c r="J538" s="630"/>
      <c r="K538" s="630"/>
      <c r="L538" s="630"/>
      <c r="M538" s="630"/>
      <c r="N538" s="630"/>
      <c r="O538" s="630"/>
      <c r="P538" s="630"/>
      <c r="Q538" s="630"/>
      <c r="R538" s="630"/>
      <c r="S538" s="630"/>
      <c r="T538" s="630"/>
      <c r="U538" s="630"/>
      <c r="V538" s="1160">
        <f t="shared" si="20"/>
        <v>0</v>
      </c>
      <c r="W538" s="536"/>
    </row>
    <row r="539" spans="1:23" s="150" customFormat="1" ht="18" customHeight="1" hidden="1">
      <c r="A539" s="702" t="s">
        <v>1529</v>
      </c>
      <c r="B539" s="1236" t="s">
        <v>652</v>
      </c>
      <c r="C539" s="700"/>
      <c r="D539" s="700"/>
      <c r="E539" s="700"/>
      <c r="F539" s="700"/>
      <c r="G539" s="700"/>
      <c r="H539" s="700"/>
      <c r="I539" s="700"/>
      <c r="J539" s="700"/>
      <c r="K539" s="700"/>
      <c r="L539" s="700"/>
      <c r="M539" s="700"/>
      <c r="N539" s="700"/>
      <c r="O539" s="700"/>
      <c r="P539" s="700"/>
      <c r="Q539" s="700"/>
      <c r="R539" s="700"/>
      <c r="S539" s="700"/>
      <c r="T539" s="700"/>
      <c r="U539" s="700"/>
      <c r="V539" s="1160">
        <f aca="true" t="shared" si="23" ref="V539:V601">SUM(C539:U539)</f>
        <v>0</v>
      </c>
      <c r="W539" s="536"/>
    </row>
    <row r="540" spans="1:23" s="150" customFormat="1" ht="18" customHeight="1" hidden="1">
      <c r="A540" s="606" t="s">
        <v>1530</v>
      </c>
      <c r="B540" s="1237" t="s">
        <v>653</v>
      </c>
      <c r="C540" s="630"/>
      <c r="D540" s="630"/>
      <c r="E540" s="630"/>
      <c r="F540" s="630"/>
      <c r="G540" s="630"/>
      <c r="H540" s="630"/>
      <c r="I540" s="630"/>
      <c r="J540" s="630"/>
      <c r="K540" s="630"/>
      <c r="L540" s="630"/>
      <c r="M540" s="630"/>
      <c r="N540" s="630"/>
      <c r="O540" s="630"/>
      <c r="P540" s="630"/>
      <c r="Q540" s="630"/>
      <c r="R540" s="630"/>
      <c r="S540" s="630"/>
      <c r="T540" s="630"/>
      <c r="U540" s="630"/>
      <c r="V540" s="1160">
        <f t="shared" si="23"/>
        <v>0</v>
      </c>
      <c r="W540" s="536"/>
    </row>
    <row r="541" spans="1:23" s="150" customFormat="1" ht="18" customHeight="1" hidden="1">
      <c r="A541" s="702" t="s">
        <v>1531</v>
      </c>
      <c r="B541" s="1236" t="s">
        <v>654</v>
      </c>
      <c r="C541" s="700"/>
      <c r="D541" s="700"/>
      <c r="E541" s="700"/>
      <c r="F541" s="700"/>
      <c r="G541" s="700"/>
      <c r="H541" s="700"/>
      <c r="I541" s="700"/>
      <c r="J541" s="700"/>
      <c r="K541" s="700"/>
      <c r="L541" s="700"/>
      <c r="M541" s="700"/>
      <c r="N541" s="700"/>
      <c r="O541" s="700"/>
      <c r="P541" s="700"/>
      <c r="Q541" s="700"/>
      <c r="R541" s="700"/>
      <c r="S541" s="700"/>
      <c r="T541" s="700"/>
      <c r="U541" s="700"/>
      <c r="V541" s="1160">
        <f t="shared" si="23"/>
        <v>0</v>
      </c>
      <c r="W541" s="536"/>
    </row>
    <row r="542" spans="1:23" s="150" customFormat="1" ht="18" customHeight="1" hidden="1">
      <c r="A542" s="606" t="s">
        <v>1532</v>
      </c>
      <c r="B542" s="1237" t="s">
        <v>655</v>
      </c>
      <c r="C542" s="630"/>
      <c r="D542" s="630"/>
      <c r="E542" s="630"/>
      <c r="F542" s="630"/>
      <c r="G542" s="630"/>
      <c r="H542" s="630"/>
      <c r="I542" s="630"/>
      <c r="J542" s="630"/>
      <c r="K542" s="630"/>
      <c r="L542" s="630"/>
      <c r="M542" s="630"/>
      <c r="N542" s="630"/>
      <c r="O542" s="630"/>
      <c r="P542" s="630"/>
      <c r="Q542" s="630"/>
      <c r="R542" s="630"/>
      <c r="S542" s="630"/>
      <c r="T542" s="630"/>
      <c r="U542" s="630"/>
      <c r="V542" s="1160">
        <f t="shared" si="23"/>
        <v>0</v>
      </c>
      <c r="W542" s="536"/>
    </row>
    <row r="543" spans="1:23" s="150" customFormat="1" ht="18" customHeight="1" hidden="1">
      <c r="A543" s="702" t="s">
        <v>1533</v>
      </c>
      <c r="B543" s="1236" t="s">
        <v>656</v>
      </c>
      <c r="C543" s="700"/>
      <c r="D543" s="700"/>
      <c r="E543" s="700"/>
      <c r="F543" s="700"/>
      <c r="G543" s="700"/>
      <c r="H543" s="700"/>
      <c r="I543" s="700"/>
      <c r="J543" s="700"/>
      <c r="K543" s="700"/>
      <c r="L543" s="700"/>
      <c r="M543" s="700"/>
      <c r="N543" s="700"/>
      <c r="O543" s="700"/>
      <c r="P543" s="700"/>
      <c r="Q543" s="700"/>
      <c r="R543" s="700"/>
      <c r="S543" s="700"/>
      <c r="T543" s="700"/>
      <c r="U543" s="700"/>
      <c r="V543" s="1160">
        <f t="shared" si="23"/>
        <v>0</v>
      </c>
      <c r="W543" s="536"/>
    </row>
    <row r="544" spans="1:23" s="150" customFormat="1" ht="18" customHeight="1" hidden="1" thickBot="1">
      <c r="A544" s="606" t="s">
        <v>1534</v>
      </c>
      <c r="B544" s="1237" t="s">
        <v>657</v>
      </c>
      <c r="C544" s="630"/>
      <c r="D544" s="630"/>
      <c r="E544" s="630"/>
      <c r="F544" s="630"/>
      <c r="G544" s="630"/>
      <c r="H544" s="630"/>
      <c r="I544" s="630"/>
      <c r="J544" s="630"/>
      <c r="K544" s="630"/>
      <c r="L544" s="630"/>
      <c r="M544" s="630"/>
      <c r="N544" s="630"/>
      <c r="O544" s="630"/>
      <c r="P544" s="630"/>
      <c r="Q544" s="630"/>
      <c r="R544" s="630"/>
      <c r="S544" s="630"/>
      <c r="T544" s="630"/>
      <c r="U544" s="630"/>
      <c r="V544" s="1160">
        <f t="shared" si="23"/>
        <v>0</v>
      </c>
      <c r="W544" s="536"/>
    </row>
    <row r="545" spans="1:23" s="150" customFormat="1" ht="18" customHeight="1" hidden="1">
      <c r="A545" s="702" t="s">
        <v>1535</v>
      </c>
      <c r="B545" s="1236" t="s">
        <v>658</v>
      </c>
      <c r="C545" s="700"/>
      <c r="D545" s="700"/>
      <c r="E545" s="700"/>
      <c r="F545" s="700"/>
      <c r="G545" s="700"/>
      <c r="H545" s="700"/>
      <c r="I545" s="700"/>
      <c r="J545" s="700"/>
      <c r="K545" s="700"/>
      <c r="L545" s="700"/>
      <c r="M545" s="700"/>
      <c r="N545" s="700"/>
      <c r="O545" s="700"/>
      <c r="P545" s="700"/>
      <c r="Q545" s="700"/>
      <c r="R545" s="700"/>
      <c r="S545" s="700"/>
      <c r="T545" s="700"/>
      <c r="U545" s="700"/>
      <c r="V545" s="1160">
        <f t="shared" si="23"/>
        <v>0</v>
      </c>
      <c r="W545" s="536"/>
    </row>
    <row r="546" spans="1:23" s="703" customFormat="1" ht="18" customHeight="1" hidden="1">
      <c r="A546" s="606" t="s">
        <v>1536</v>
      </c>
      <c r="B546" s="1237" t="s">
        <v>660</v>
      </c>
      <c r="C546" s="630"/>
      <c r="D546" s="630"/>
      <c r="E546" s="630"/>
      <c r="F546" s="630"/>
      <c r="G546" s="630"/>
      <c r="H546" s="630"/>
      <c r="I546" s="630"/>
      <c r="J546" s="630"/>
      <c r="K546" s="630"/>
      <c r="L546" s="630"/>
      <c r="M546" s="630"/>
      <c r="N546" s="630"/>
      <c r="O546" s="630"/>
      <c r="P546" s="630"/>
      <c r="Q546" s="630"/>
      <c r="R546" s="630"/>
      <c r="S546" s="630"/>
      <c r="T546" s="630"/>
      <c r="U546" s="630"/>
      <c r="V546" s="1160">
        <f t="shared" si="23"/>
        <v>0</v>
      </c>
      <c r="W546" s="546"/>
    </row>
    <row r="547" spans="1:23" s="704" customFormat="1" ht="18" customHeight="1" hidden="1">
      <c r="A547" s="702" t="s">
        <v>1537</v>
      </c>
      <c r="B547" s="1236" t="s">
        <v>669</v>
      </c>
      <c r="C547" s="700"/>
      <c r="D547" s="700"/>
      <c r="E547" s="700"/>
      <c r="F547" s="700"/>
      <c r="G547" s="700"/>
      <c r="H547" s="700"/>
      <c r="I547" s="700"/>
      <c r="J547" s="700"/>
      <c r="K547" s="700"/>
      <c r="L547" s="700"/>
      <c r="M547" s="700"/>
      <c r="N547" s="700"/>
      <c r="O547" s="700"/>
      <c r="P547" s="700"/>
      <c r="Q547" s="700"/>
      <c r="R547" s="700"/>
      <c r="S547" s="700"/>
      <c r="T547" s="700"/>
      <c r="U547" s="700"/>
      <c r="V547" s="1160">
        <f t="shared" si="23"/>
        <v>0</v>
      </c>
      <c r="W547" s="536"/>
    </row>
    <row r="548" spans="1:23" s="704" customFormat="1" ht="18" customHeight="1" hidden="1">
      <c r="A548" s="606" t="s">
        <v>1538</v>
      </c>
      <c r="B548" s="1237" t="s">
        <v>670</v>
      </c>
      <c r="C548" s="630"/>
      <c r="D548" s="630"/>
      <c r="E548" s="630"/>
      <c r="F548" s="630"/>
      <c r="G548" s="630"/>
      <c r="H548" s="630"/>
      <c r="I548" s="630"/>
      <c r="J548" s="630"/>
      <c r="K548" s="630"/>
      <c r="L548" s="630"/>
      <c r="M548" s="630"/>
      <c r="N548" s="630"/>
      <c r="O548" s="630"/>
      <c r="P548" s="630"/>
      <c r="Q548" s="630"/>
      <c r="R548" s="630"/>
      <c r="S548" s="630"/>
      <c r="T548" s="630"/>
      <c r="U548" s="630"/>
      <c r="V548" s="1160">
        <f t="shared" si="23"/>
        <v>0</v>
      </c>
      <c r="W548" s="536"/>
    </row>
    <row r="549" spans="1:23" s="704" customFormat="1" ht="18" customHeight="1" hidden="1">
      <c r="A549" s="702" t="s">
        <v>1539</v>
      </c>
      <c r="B549" s="1236" t="s">
        <v>671</v>
      </c>
      <c r="C549" s="700"/>
      <c r="D549" s="700"/>
      <c r="E549" s="700"/>
      <c r="F549" s="700"/>
      <c r="G549" s="700"/>
      <c r="H549" s="700"/>
      <c r="I549" s="700"/>
      <c r="J549" s="700"/>
      <c r="K549" s="700"/>
      <c r="L549" s="700"/>
      <c r="M549" s="700"/>
      <c r="N549" s="700"/>
      <c r="O549" s="700"/>
      <c r="P549" s="700"/>
      <c r="Q549" s="700"/>
      <c r="R549" s="700"/>
      <c r="S549" s="700"/>
      <c r="T549" s="700"/>
      <c r="U549" s="700"/>
      <c r="V549" s="1160">
        <f t="shared" si="23"/>
        <v>0</v>
      </c>
      <c r="W549" s="536"/>
    </row>
    <row r="550" spans="1:23" s="704" customFormat="1" ht="18" customHeight="1" hidden="1">
      <c r="A550" s="705" t="s">
        <v>1540</v>
      </c>
      <c r="B550" s="1237" t="s">
        <v>672</v>
      </c>
      <c r="C550" s="630"/>
      <c r="D550" s="630"/>
      <c r="E550" s="630"/>
      <c r="F550" s="630"/>
      <c r="G550" s="630"/>
      <c r="H550" s="630"/>
      <c r="I550" s="630"/>
      <c r="J550" s="630"/>
      <c r="K550" s="630"/>
      <c r="L550" s="630"/>
      <c r="M550" s="630"/>
      <c r="N550" s="630"/>
      <c r="O550" s="630"/>
      <c r="P550" s="630"/>
      <c r="Q550" s="630"/>
      <c r="R550" s="630"/>
      <c r="S550" s="630"/>
      <c r="T550" s="630"/>
      <c r="U550" s="630"/>
      <c r="V550" s="1160">
        <f t="shared" si="23"/>
        <v>0</v>
      </c>
      <c r="W550" s="536"/>
    </row>
    <row r="551" spans="1:23" s="704" customFormat="1" ht="18" customHeight="1" hidden="1">
      <c r="A551" s="706" t="s">
        <v>1541</v>
      </c>
      <c r="B551" s="1236" t="s">
        <v>673</v>
      </c>
      <c r="C551" s="700"/>
      <c r="D551" s="700"/>
      <c r="E551" s="700"/>
      <c r="F551" s="700"/>
      <c r="G551" s="700"/>
      <c r="H551" s="700"/>
      <c r="I551" s="700"/>
      <c r="J551" s="700"/>
      <c r="K551" s="700"/>
      <c r="L551" s="700"/>
      <c r="M551" s="700"/>
      <c r="N551" s="700"/>
      <c r="O551" s="700"/>
      <c r="P551" s="700"/>
      <c r="Q551" s="700"/>
      <c r="R551" s="700"/>
      <c r="S551" s="700"/>
      <c r="T551" s="700"/>
      <c r="U551" s="700"/>
      <c r="V551" s="1160">
        <f t="shared" si="23"/>
        <v>0</v>
      </c>
      <c r="W551" s="536"/>
    </row>
    <row r="552" spans="1:23" s="704" customFormat="1" ht="18" customHeight="1" hidden="1">
      <c r="A552" s="705" t="s">
        <v>1542</v>
      </c>
      <c r="B552" s="1237" t="s">
        <v>674</v>
      </c>
      <c r="C552" s="630"/>
      <c r="D552" s="630"/>
      <c r="E552" s="630"/>
      <c r="F552" s="630"/>
      <c r="G552" s="630"/>
      <c r="H552" s="630"/>
      <c r="I552" s="630"/>
      <c r="J552" s="630"/>
      <c r="K552" s="630"/>
      <c r="L552" s="630"/>
      <c r="M552" s="630"/>
      <c r="N552" s="630"/>
      <c r="O552" s="630"/>
      <c r="P552" s="630"/>
      <c r="Q552" s="630"/>
      <c r="R552" s="630"/>
      <c r="S552" s="630"/>
      <c r="T552" s="630"/>
      <c r="U552" s="630"/>
      <c r="V552" s="1160">
        <f t="shared" si="23"/>
        <v>0</v>
      </c>
      <c r="W552" s="536"/>
    </row>
    <row r="553" spans="1:23" s="704" customFormat="1" ht="18" customHeight="1">
      <c r="A553" s="705"/>
      <c r="B553" s="1237" t="s">
        <v>613</v>
      </c>
      <c r="C553" s="630"/>
      <c r="D553" s="630"/>
      <c r="E553" s="630"/>
      <c r="F553" s="630">
        <v>-8890</v>
      </c>
      <c r="G553" s="630">
        <v>-4070</v>
      </c>
      <c r="H553" s="630">
        <v>-323</v>
      </c>
      <c r="I553" s="630"/>
      <c r="J553" s="630"/>
      <c r="K553" s="630"/>
      <c r="L553" s="630"/>
      <c r="M553" s="630"/>
      <c r="N553" s="630"/>
      <c r="O553" s="630"/>
      <c r="P553" s="630"/>
      <c r="Q553" s="630"/>
      <c r="R553" s="630"/>
      <c r="S553" s="630"/>
      <c r="T553" s="630"/>
      <c r="U553" s="630"/>
      <c r="V553" s="1161">
        <f t="shared" si="23"/>
        <v>-13283</v>
      </c>
      <c r="W553" s="536"/>
    </row>
    <row r="554" spans="1:23" s="704" customFormat="1" ht="18" customHeight="1">
      <c r="A554" s="706" t="s">
        <v>1543</v>
      </c>
      <c r="B554" s="1237" t="s">
        <v>968</v>
      </c>
      <c r="C554" s="630"/>
      <c r="D554" s="630"/>
      <c r="E554" s="630"/>
      <c r="F554" s="630">
        <v>2200</v>
      </c>
      <c r="G554" s="630"/>
      <c r="H554" s="630"/>
      <c r="I554" s="630"/>
      <c r="J554" s="630"/>
      <c r="K554" s="630"/>
      <c r="L554" s="630"/>
      <c r="M554" s="630"/>
      <c r="N554" s="630"/>
      <c r="O554" s="630"/>
      <c r="P554" s="630"/>
      <c r="Q554" s="630"/>
      <c r="R554" s="630"/>
      <c r="S554" s="630"/>
      <c r="T554" s="630"/>
      <c r="U554" s="630"/>
      <c r="V554" s="1161">
        <f t="shared" si="23"/>
        <v>2200</v>
      </c>
      <c r="W554" s="536"/>
    </row>
    <row r="555" spans="1:23" ht="18" customHeight="1" hidden="1">
      <c r="A555" s="705" t="s">
        <v>1544</v>
      </c>
      <c r="B555" s="1237" t="s">
        <v>675</v>
      </c>
      <c r="C555" s="630"/>
      <c r="D555" s="630"/>
      <c r="E555" s="630"/>
      <c r="F555" s="630"/>
      <c r="G555" s="630"/>
      <c r="H555" s="630"/>
      <c r="I555" s="630"/>
      <c r="J555" s="630"/>
      <c r="K555" s="630"/>
      <c r="L555" s="630"/>
      <c r="M555" s="630"/>
      <c r="N555" s="630"/>
      <c r="O555" s="630"/>
      <c r="P555" s="630"/>
      <c r="Q555" s="630"/>
      <c r="R555" s="630"/>
      <c r="S555" s="630"/>
      <c r="T555" s="630"/>
      <c r="U555" s="630"/>
      <c r="V555" s="1161">
        <f t="shared" si="23"/>
        <v>0</v>
      </c>
      <c r="W555" s="536"/>
    </row>
    <row r="556" spans="1:23" ht="18" customHeight="1" hidden="1" thickBot="1">
      <c r="A556" s="706" t="s">
        <v>1545</v>
      </c>
      <c r="B556" s="1237" t="s">
        <v>676</v>
      </c>
      <c r="C556" s="630"/>
      <c r="D556" s="630"/>
      <c r="E556" s="630"/>
      <c r="F556" s="630"/>
      <c r="G556" s="630"/>
      <c r="H556" s="630"/>
      <c r="I556" s="630"/>
      <c r="J556" s="630"/>
      <c r="K556" s="630"/>
      <c r="L556" s="630"/>
      <c r="M556" s="630"/>
      <c r="N556" s="630"/>
      <c r="O556" s="630"/>
      <c r="P556" s="630"/>
      <c r="Q556" s="630"/>
      <c r="R556" s="630"/>
      <c r="S556" s="630"/>
      <c r="T556" s="630"/>
      <c r="U556" s="630"/>
      <c r="V556" s="1161">
        <f t="shared" si="23"/>
        <v>0</v>
      </c>
      <c r="W556" s="536"/>
    </row>
    <row r="557" spans="1:23" ht="18" customHeight="1" hidden="1">
      <c r="A557" s="705" t="s">
        <v>1546</v>
      </c>
      <c r="B557" s="1238" t="s">
        <v>678</v>
      </c>
      <c r="C557" s="630"/>
      <c r="D557" s="630"/>
      <c r="E557" s="630"/>
      <c r="F557" s="630"/>
      <c r="G557" s="630"/>
      <c r="H557" s="630"/>
      <c r="I557" s="630"/>
      <c r="J557" s="630"/>
      <c r="K557" s="630"/>
      <c r="L557" s="630"/>
      <c r="M557" s="630"/>
      <c r="N557" s="630"/>
      <c r="O557" s="630"/>
      <c r="P557" s="630"/>
      <c r="Q557" s="630"/>
      <c r="R557" s="630"/>
      <c r="S557" s="630"/>
      <c r="T557" s="630"/>
      <c r="U557" s="630"/>
      <c r="V557" s="1161">
        <f t="shared" si="23"/>
        <v>0</v>
      </c>
      <c r="W557" s="536"/>
    </row>
    <row r="558" spans="1:23" ht="18" customHeight="1" hidden="1" thickBot="1">
      <c r="A558" s="706" t="s">
        <v>1547</v>
      </c>
      <c r="B558" s="1237" t="s">
        <v>679</v>
      </c>
      <c r="C558" s="630"/>
      <c r="D558" s="630"/>
      <c r="E558" s="630"/>
      <c r="F558" s="630"/>
      <c r="G558" s="630"/>
      <c r="H558" s="630"/>
      <c r="I558" s="630"/>
      <c r="J558" s="630"/>
      <c r="K558" s="630"/>
      <c r="L558" s="630"/>
      <c r="M558" s="630"/>
      <c r="N558" s="630"/>
      <c r="O558" s="630"/>
      <c r="P558" s="630"/>
      <c r="Q558" s="630"/>
      <c r="R558" s="630"/>
      <c r="S558" s="630"/>
      <c r="T558" s="630"/>
      <c r="U558" s="630"/>
      <c r="V558" s="1161">
        <f t="shared" si="23"/>
        <v>0</v>
      </c>
      <c r="W558" s="536"/>
    </row>
    <row r="559" spans="1:23" s="547" customFormat="1" ht="18" customHeight="1" hidden="1" thickBot="1">
      <c r="A559" s="707" t="s">
        <v>1548</v>
      </c>
      <c r="B559" s="1237" t="s">
        <v>680</v>
      </c>
      <c r="C559" s="630"/>
      <c r="D559" s="630"/>
      <c r="E559" s="630"/>
      <c r="F559" s="630"/>
      <c r="G559" s="630"/>
      <c r="H559" s="630"/>
      <c r="I559" s="630"/>
      <c r="J559" s="630"/>
      <c r="K559" s="630"/>
      <c r="L559" s="630"/>
      <c r="M559" s="630"/>
      <c r="N559" s="630"/>
      <c r="O559" s="630"/>
      <c r="P559" s="630"/>
      <c r="Q559" s="630"/>
      <c r="R559" s="630"/>
      <c r="S559" s="630"/>
      <c r="T559" s="630"/>
      <c r="U559" s="630"/>
      <c r="V559" s="1161">
        <f t="shared" si="23"/>
        <v>0</v>
      </c>
      <c r="W559" s="546"/>
    </row>
    <row r="560" spans="1:23" ht="18" customHeight="1" hidden="1">
      <c r="A560" s="706" t="s">
        <v>1549</v>
      </c>
      <c r="B560" s="1237" t="s">
        <v>716</v>
      </c>
      <c r="C560" s="630"/>
      <c r="D560" s="630"/>
      <c r="E560" s="630"/>
      <c r="F560" s="630"/>
      <c r="G560" s="630"/>
      <c r="H560" s="630"/>
      <c r="I560" s="630"/>
      <c r="J560" s="630"/>
      <c r="K560" s="630"/>
      <c r="L560" s="630"/>
      <c r="M560" s="630"/>
      <c r="N560" s="630"/>
      <c r="O560" s="630"/>
      <c r="P560" s="630"/>
      <c r="Q560" s="630"/>
      <c r="R560" s="630"/>
      <c r="S560" s="630"/>
      <c r="T560" s="630"/>
      <c r="U560" s="630"/>
      <c r="V560" s="1161">
        <f t="shared" si="23"/>
        <v>0</v>
      </c>
      <c r="W560" s="536"/>
    </row>
    <row r="561" spans="1:23" ht="18" customHeight="1" hidden="1">
      <c r="A561" s="706" t="s">
        <v>1550</v>
      </c>
      <c r="B561" s="1237" t="s">
        <v>717</v>
      </c>
      <c r="C561" s="630"/>
      <c r="D561" s="630"/>
      <c r="E561" s="630"/>
      <c r="F561" s="630"/>
      <c r="G561" s="630"/>
      <c r="H561" s="630"/>
      <c r="I561" s="630"/>
      <c r="J561" s="630"/>
      <c r="K561" s="630"/>
      <c r="L561" s="630"/>
      <c r="M561" s="630"/>
      <c r="N561" s="630"/>
      <c r="O561" s="630"/>
      <c r="P561" s="630"/>
      <c r="Q561" s="630"/>
      <c r="R561" s="630"/>
      <c r="S561" s="630"/>
      <c r="T561" s="630"/>
      <c r="U561" s="630"/>
      <c r="V561" s="1161">
        <f t="shared" si="23"/>
        <v>0</v>
      </c>
      <c r="W561" s="536"/>
    </row>
    <row r="562" spans="1:23" ht="18" customHeight="1" thickBot="1">
      <c r="A562" s="705" t="s">
        <v>1551</v>
      </c>
      <c r="B562" s="1238" t="s">
        <v>992</v>
      </c>
      <c r="C562" s="630"/>
      <c r="D562" s="630"/>
      <c r="E562" s="630"/>
      <c r="F562" s="630">
        <v>9000</v>
      </c>
      <c r="G562" s="630"/>
      <c r="H562" s="630"/>
      <c r="I562" s="630"/>
      <c r="J562" s="630"/>
      <c r="K562" s="630"/>
      <c r="L562" s="630"/>
      <c r="M562" s="630"/>
      <c r="N562" s="630"/>
      <c r="O562" s="630"/>
      <c r="P562" s="630"/>
      <c r="Q562" s="630"/>
      <c r="R562" s="630"/>
      <c r="S562" s="630"/>
      <c r="T562" s="630"/>
      <c r="U562" s="630"/>
      <c r="V562" s="1161">
        <f t="shared" si="23"/>
        <v>9000</v>
      </c>
      <c r="W562" s="536"/>
    </row>
    <row r="563" spans="1:23" ht="18" customHeight="1" hidden="1" thickBot="1">
      <c r="A563" s="543"/>
      <c r="B563" s="1203" t="s">
        <v>695</v>
      </c>
      <c r="C563" s="545"/>
      <c r="D563" s="545"/>
      <c r="E563" s="545"/>
      <c r="F563" s="545"/>
      <c r="G563" s="545"/>
      <c r="H563" s="545"/>
      <c r="I563" s="545"/>
      <c r="J563" s="545"/>
      <c r="K563" s="545"/>
      <c r="L563" s="545"/>
      <c r="M563" s="545"/>
      <c r="N563" s="545"/>
      <c r="O563" s="545"/>
      <c r="P563" s="545"/>
      <c r="Q563" s="545"/>
      <c r="R563" s="545"/>
      <c r="S563" s="545"/>
      <c r="T563" s="545"/>
      <c r="U563" s="545"/>
      <c r="V563" s="1162">
        <f t="shared" si="23"/>
        <v>0</v>
      </c>
      <c r="W563" s="536"/>
    </row>
    <row r="564" spans="1:23" s="710" customFormat="1" ht="26.25" thickBot="1">
      <c r="A564" s="708">
        <v>85403</v>
      </c>
      <c r="B564" s="1239" t="s">
        <v>993</v>
      </c>
      <c r="C564" s="624">
        <f>SUM(C565:C570)</f>
        <v>0</v>
      </c>
      <c r="D564" s="624">
        <f>SUM(D565:D570)</f>
        <v>0</v>
      </c>
      <c r="E564" s="624">
        <f>SUM(E565:E570)</f>
        <v>0</v>
      </c>
      <c r="F564" s="624"/>
      <c r="G564" s="624"/>
      <c r="H564" s="624"/>
      <c r="I564" s="624"/>
      <c r="J564" s="624"/>
      <c r="K564" s="624"/>
      <c r="L564" s="624"/>
      <c r="M564" s="624"/>
      <c r="N564" s="624"/>
      <c r="O564" s="624"/>
      <c r="P564" s="624">
        <f>SUM(P565:P570)</f>
        <v>28000</v>
      </c>
      <c r="Q564" s="624"/>
      <c r="R564" s="624"/>
      <c r="S564" s="624"/>
      <c r="T564" s="624"/>
      <c r="U564" s="624"/>
      <c r="V564" s="1158">
        <f t="shared" si="23"/>
        <v>28000</v>
      </c>
      <c r="W564" s="709"/>
    </row>
    <row r="565" spans="1:23" ht="25.5" hidden="1">
      <c r="A565" s="711" t="s">
        <v>1552</v>
      </c>
      <c r="B565" s="692" t="s">
        <v>704</v>
      </c>
      <c r="C565" s="713"/>
      <c r="D565" s="713"/>
      <c r="E565" s="713"/>
      <c r="F565" s="713"/>
      <c r="G565" s="713"/>
      <c r="H565" s="713"/>
      <c r="I565" s="713"/>
      <c r="J565" s="713"/>
      <c r="K565" s="713"/>
      <c r="L565" s="713"/>
      <c r="M565" s="713"/>
      <c r="N565" s="713"/>
      <c r="O565" s="713"/>
      <c r="P565" s="713"/>
      <c r="Q565" s="713"/>
      <c r="R565" s="713"/>
      <c r="S565" s="713"/>
      <c r="T565" s="713"/>
      <c r="U565" s="713"/>
      <c r="V565" s="1159">
        <f t="shared" si="23"/>
        <v>0</v>
      </c>
      <c r="W565" s="1153"/>
    </row>
    <row r="566" spans="1:23" ht="25.5" hidden="1">
      <c r="A566" s="714" t="s">
        <v>1553</v>
      </c>
      <c r="B566" s="1240" t="s">
        <v>703</v>
      </c>
      <c r="C566" s="715"/>
      <c r="D566" s="715"/>
      <c r="E566" s="715"/>
      <c r="F566" s="715"/>
      <c r="G566" s="715"/>
      <c r="H566" s="715"/>
      <c r="I566" s="715"/>
      <c r="J566" s="715"/>
      <c r="K566" s="715"/>
      <c r="L566" s="715"/>
      <c r="M566" s="715"/>
      <c r="N566" s="715"/>
      <c r="O566" s="715"/>
      <c r="P566" s="715"/>
      <c r="Q566" s="715"/>
      <c r="R566" s="715"/>
      <c r="S566" s="715"/>
      <c r="T566" s="715"/>
      <c r="U566" s="715"/>
      <c r="V566" s="1160">
        <f t="shared" si="23"/>
        <v>0</v>
      </c>
      <c r="W566" s="536"/>
    </row>
    <row r="567" spans="1:23" ht="19.5" customHeight="1" thickBot="1">
      <c r="A567" s="711" t="s">
        <v>1554</v>
      </c>
      <c r="B567" s="693" t="s">
        <v>962</v>
      </c>
      <c r="C567" s="630"/>
      <c r="D567" s="630"/>
      <c r="E567" s="630"/>
      <c r="F567" s="630"/>
      <c r="G567" s="630"/>
      <c r="H567" s="630"/>
      <c r="I567" s="630"/>
      <c r="J567" s="630"/>
      <c r="K567" s="630"/>
      <c r="L567" s="630"/>
      <c r="M567" s="630"/>
      <c r="N567" s="630"/>
      <c r="O567" s="630"/>
      <c r="P567" s="630">
        <v>28000</v>
      </c>
      <c r="Q567" s="630"/>
      <c r="R567" s="630"/>
      <c r="S567" s="630"/>
      <c r="T567" s="630"/>
      <c r="U567" s="630"/>
      <c r="V567" s="1161">
        <f t="shared" si="23"/>
        <v>28000</v>
      </c>
      <c r="W567" s="536"/>
    </row>
    <row r="568" spans="1:23" ht="18" customHeight="1" hidden="1">
      <c r="A568" s="714" t="s">
        <v>1555</v>
      </c>
      <c r="B568" s="1240" t="s">
        <v>702</v>
      </c>
      <c r="C568" s="715"/>
      <c r="D568" s="715"/>
      <c r="E568" s="715"/>
      <c r="F568" s="715"/>
      <c r="G568" s="715"/>
      <c r="H568" s="715"/>
      <c r="I568" s="715"/>
      <c r="J568" s="715"/>
      <c r="K568" s="715"/>
      <c r="L568" s="715"/>
      <c r="M568" s="715"/>
      <c r="N568" s="715"/>
      <c r="O568" s="715"/>
      <c r="P568" s="715"/>
      <c r="Q568" s="715"/>
      <c r="R568" s="715"/>
      <c r="S568" s="715"/>
      <c r="T568" s="715"/>
      <c r="U568" s="715"/>
      <c r="V568" s="1160">
        <f t="shared" si="23"/>
        <v>0</v>
      </c>
      <c r="W568" s="536"/>
    </row>
    <row r="569" spans="1:23" ht="18" customHeight="1" hidden="1" thickBot="1" thickTop="1">
      <c r="A569" s="716"/>
      <c r="B569" s="1241" t="s">
        <v>994</v>
      </c>
      <c r="C569" s="647"/>
      <c r="D569" s="647"/>
      <c r="E569" s="647"/>
      <c r="F569" s="647"/>
      <c r="G569" s="647"/>
      <c r="H569" s="647"/>
      <c r="I569" s="647"/>
      <c r="J569" s="647"/>
      <c r="K569" s="647"/>
      <c r="L569" s="647"/>
      <c r="M569" s="647"/>
      <c r="N569" s="647"/>
      <c r="O569" s="647"/>
      <c r="P569" s="647"/>
      <c r="Q569" s="647"/>
      <c r="R569" s="647"/>
      <c r="S569" s="647"/>
      <c r="T569" s="647"/>
      <c r="U569" s="647"/>
      <c r="V569" s="1160">
        <f t="shared" si="23"/>
        <v>0</v>
      </c>
      <c r="W569" s="536"/>
    </row>
    <row r="570" spans="1:23" ht="18" customHeight="1" hidden="1" thickBot="1">
      <c r="A570" s="543"/>
      <c r="B570" s="1203" t="s">
        <v>695</v>
      </c>
      <c r="C570" s="545"/>
      <c r="D570" s="545"/>
      <c r="E570" s="545"/>
      <c r="F570" s="545"/>
      <c r="G570" s="545"/>
      <c r="H570" s="545"/>
      <c r="I570" s="545"/>
      <c r="J570" s="545"/>
      <c r="K570" s="545"/>
      <c r="L570" s="545"/>
      <c r="M570" s="545"/>
      <c r="N570" s="545"/>
      <c r="O570" s="545"/>
      <c r="P570" s="545"/>
      <c r="Q570" s="545"/>
      <c r="R570" s="545"/>
      <c r="S570" s="545"/>
      <c r="T570" s="545"/>
      <c r="U570" s="545"/>
      <c r="V570" s="1162">
        <f t="shared" si="23"/>
        <v>0</v>
      </c>
      <c r="W570" s="536">
        <f>V570</f>
        <v>0</v>
      </c>
    </row>
    <row r="571" spans="1:23" s="150" customFormat="1" ht="40.5" customHeight="1" thickBot="1">
      <c r="A571" s="717">
        <v>85406</v>
      </c>
      <c r="B571" s="1242" t="s">
        <v>825</v>
      </c>
      <c r="C571" s="624">
        <f>SUM(C572:C578)</f>
        <v>0</v>
      </c>
      <c r="D571" s="624">
        <f>SUM(D572:D578)</f>
        <v>0</v>
      </c>
      <c r="E571" s="624">
        <f>SUM(E572:E578)</f>
        <v>0</v>
      </c>
      <c r="F571" s="624"/>
      <c r="G571" s="624"/>
      <c r="H571" s="624"/>
      <c r="I571" s="624"/>
      <c r="J571" s="624"/>
      <c r="K571" s="624"/>
      <c r="L571" s="624"/>
      <c r="M571" s="624"/>
      <c r="N571" s="624"/>
      <c r="O571" s="624"/>
      <c r="P571" s="624"/>
      <c r="Q571" s="624"/>
      <c r="R571" s="624">
        <f>SUM(R572:R578)</f>
        <v>4000</v>
      </c>
      <c r="S571" s="624"/>
      <c r="T571" s="624"/>
      <c r="U571" s="624"/>
      <c r="V571" s="1158">
        <f t="shared" si="23"/>
        <v>4000</v>
      </c>
      <c r="W571" s="569"/>
    </row>
    <row r="572" spans="1:23" ht="18" customHeight="1" thickBot="1">
      <c r="A572" s="711" t="s">
        <v>1556</v>
      </c>
      <c r="B572" s="689" t="s">
        <v>995</v>
      </c>
      <c r="C572" s="626"/>
      <c r="D572" s="626"/>
      <c r="E572" s="626"/>
      <c r="F572" s="626"/>
      <c r="G572" s="626"/>
      <c r="H572" s="626"/>
      <c r="I572" s="626"/>
      <c r="J572" s="626"/>
      <c r="K572" s="626"/>
      <c r="L572" s="626"/>
      <c r="M572" s="626"/>
      <c r="N572" s="626"/>
      <c r="O572" s="626"/>
      <c r="P572" s="626"/>
      <c r="Q572" s="626"/>
      <c r="R572" s="626">
        <v>4000</v>
      </c>
      <c r="S572" s="626"/>
      <c r="T572" s="626"/>
      <c r="U572" s="626"/>
      <c r="V572" s="1163">
        <f t="shared" si="23"/>
        <v>4000</v>
      </c>
      <c r="W572" s="536"/>
    </row>
    <row r="573" spans="1:23" ht="18" customHeight="1" hidden="1" thickBot="1">
      <c r="A573" s="716" t="s">
        <v>1557</v>
      </c>
      <c r="B573" s="1243" t="s">
        <v>996</v>
      </c>
      <c r="C573" s="647"/>
      <c r="D573" s="647"/>
      <c r="E573" s="647"/>
      <c r="F573" s="647"/>
      <c r="G573" s="647"/>
      <c r="H573" s="647"/>
      <c r="I573" s="647"/>
      <c r="J573" s="647"/>
      <c r="K573" s="647"/>
      <c r="L573" s="647"/>
      <c r="M573" s="647"/>
      <c r="N573" s="647"/>
      <c r="O573" s="647"/>
      <c r="P573" s="647"/>
      <c r="Q573" s="647"/>
      <c r="R573" s="647"/>
      <c r="S573" s="647"/>
      <c r="T573" s="647"/>
      <c r="U573" s="647"/>
      <c r="V573" s="1160">
        <f t="shared" si="23"/>
        <v>0</v>
      </c>
      <c r="W573" s="536"/>
    </row>
    <row r="574" spans="1:23" ht="18" customHeight="1" hidden="1">
      <c r="A574" s="711" t="s">
        <v>1558</v>
      </c>
      <c r="B574" s="691" t="s">
        <v>997</v>
      </c>
      <c r="C574" s="630"/>
      <c r="D574" s="630"/>
      <c r="E574" s="630"/>
      <c r="F574" s="630"/>
      <c r="G574" s="630"/>
      <c r="H574" s="630"/>
      <c r="I574" s="630"/>
      <c r="J574" s="630"/>
      <c r="K574" s="630"/>
      <c r="L574" s="630"/>
      <c r="M574" s="630"/>
      <c r="N574" s="630"/>
      <c r="O574" s="630"/>
      <c r="P574" s="630"/>
      <c r="Q574" s="630"/>
      <c r="R574" s="630"/>
      <c r="S574" s="630"/>
      <c r="T574" s="630"/>
      <c r="U574" s="630"/>
      <c r="V574" s="1160">
        <f t="shared" si="23"/>
        <v>0</v>
      </c>
      <c r="W574" s="536"/>
    </row>
    <row r="575" spans="1:23" ht="18" customHeight="1" hidden="1">
      <c r="A575" s="716" t="s">
        <v>1559</v>
      </c>
      <c r="B575" s="1243" t="s">
        <v>998</v>
      </c>
      <c r="C575" s="647"/>
      <c r="D575" s="647"/>
      <c r="E575" s="647"/>
      <c r="F575" s="647"/>
      <c r="G575" s="647"/>
      <c r="H575" s="647"/>
      <c r="I575" s="647"/>
      <c r="J575" s="647"/>
      <c r="K575" s="647"/>
      <c r="L575" s="647"/>
      <c r="M575" s="647"/>
      <c r="N575" s="647"/>
      <c r="O575" s="647"/>
      <c r="P575" s="647"/>
      <c r="Q575" s="647"/>
      <c r="R575" s="647"/>
      <c r="S575" s="647"/>
      <c r="T575" s="647"/>
      <c r="U575" s="647"/>
      <c r="V575" s="1160">
        <f t="shared" si="23"/>
        <v>0</v>
      </c>
      <c r="W575" s="536"/>
    </row>
    <row r="576" spans="1:23" ht="18" customHeight="1" hidden="1" thickBot="1">
      <c r="A576" s="711" t="s">
        <v>1560</v>
      </c>
      <c r="B576" s="691" t="s">
        <v>999</v>
      </c>
      <c r="C576" s="630"/>
      <c r="D576" s="630"/>
      <c r="E576" s="630"/>
      <c r="F576" s="630"/>
      <c r="G576" s="630"/>
      <c r="H576" s="630"/>
      <c r="I576" s="630"/>
      <c r="J576" s="630"/>
      <c r="K576" s="630"/>
      <c r="L576" s="630"/>
      <c r="M576" s="630"/>
      <c r="N576" s="630"/>
      <c r="O576" s="630"/>
      <c r="P576" s="630"/>
      <c r="Q576" s="630"/>
      <c r="R576" s="630"/>
      <c r="S576" s="630"/>
      <c r="T576" s="630"/>
      <c r="U576" s="630"/>
      <c r="V576" s="1160">
        <f t="shared" si="23"/>
        <v>0</v>
      </c>
      <c r="W576" s="536"/>
    </row>
    <row r="577" spans="1:23" ht="18" customHeight="1" hidden="1" thickBot="1">
      <c r="A577" s="716" t="s">
        <v>1561</v>
      </c>
      <c r="B577" s="1243" t="s">
        <v>1000</v>
      </c>
      <c r="C577" s="647"/>
      <c r="D577" s="647"/>
      <c r="E577" s="647"/>
      <c r="F577" s="647"/>
      <c r="G577" s="647"/>
      <c r="H577" s="647"/>
      <c r="I577" s="647"/>
      <c r="J577" s="647"/>
      <c r="K577" s="647"/>
      <c r="L577" s="647"/>
      <c r="M577" s="647"/>
      <c r="N577" s="647"/>
      <c r="O577" s="647"/>
      <c r="P577" s="647"/>
      <c r="Q577" s="647"/>
      <c r="R577" s="647"/>
      <c r="S577" s="647"/>
      <c r="T577" s="647"/>
      <c r="U577" s="647"/>
      <c r="V577" s="1160">
        <f t="shared" si="23"/>
        <v>0</v>
      </c>
      <c r="W577" s="536"/>
    </row>
    <row r="578" spans="1:23" ht="18" customHeight="1" hidden="1" thickBot="1">
      <c r="A578" s="543"/>
      <c r="B578" s="1203" t="s">
        <v>695</v>
      </c>
      <c r="C578" s="545"/>
      <c r="D578" s="545"/>
      <c r="E578" s="545"/>
      <c r="F578" s="545"/>
      <c r="G578" s="545"/>
      <c r="H578" s="545"/>
      <c r="I578" s="545"/>
      <c r="J578" s="545"/>
      <c r="K578" s="545"/>
      <c r="L578" s="545"/>
      <c r="M578" s="545"/>
      <c r="N578" s="545"/>
      <c r="O578" s="545"/>
      <c r="P578" s="545"/>
      <c r="Q578" s="545"/>
      <c r="R578" s="545"/>
      <c r="S578" s="545"/>
      <c r="T578" s="545"/>
      <c r="U578" s="545"/>
      <c r="V578" s="1162">
        <f t="shared" si="23"/>
        <v>0</v>
      </c>
      <c r="W578" s="718"/>
    </row>
    <row r="579" spans="1:23" s="609" customFormat="1" ht="29.25" customHeight="1" thickBot="1">
      <c r="A579" s="719">
        <v>85407</v>
      </c>
      <c r="B579" s="908" t="s">
        <v>1001</v>
      </c>
      <c r="C579" s="720">
        <f>SUM(C580:C582)</f>
        <v>0</v>
      </c>
      <c r="D579" s="720">
        <f>SUM(D580:D582)</f>
        <v>0</v>
      </c>
      <c r="E579" s="720">
        <f>SUM(E580:E582)</f>
        <v>0</v>
      </c>
      <c r="F579" s="720"/>
      <c r="G579" s="720"/>
      <c r="H579" s="720"/>
      <c r="I579" s="720"/>
      <c r="J579" s="720"/>
      <c r="K579" s="720"/>
      <c r="L579" s="720"/>
      <c r="M579" s="720"/>
      <c r="N579" s="720"/>
      <c r="O579" s="720"/>
      <c r="P579" s="720"/>
      <c r="Q579" s="720"/>
      <c r="R579" s="720">
        <f>SUM(R580:R582)</f>
        <v>5000</v>
      </c>
      <c r="S579" s="720"/>
      <c r="T579" s="720"/>
      <c r="U579" s="720"/>
      <c r="V579" s="1158">
        <f t="shared" si="23"/>
        <v>5000</v>
      </c>
      <c r="W579" s="569"/>
    </row>
    <row r="580" spans="1:23" s="704" customFormat="1" ht="18" customHeight="1" thickBot="1">
      <c r="A580" s="721" t="s">
        <v>1562</v>
      </c>
      <c r="B580" s="1244" t="s">
        <v>1002</v>
      </c>
      <c r="C580" s="626"/>
      <c r="D580" s="626"/>
      <c r="E580" s="626"/>
      <c r="F580" s="626"/>
      <c r="G580" s="626"/>
      <c r="H580" s="626"/>
      <c r="I580" s="626"/>
      <c r="J580" s="626"/>
      <c r="K580" s="626"/>
      <c r="L580" s="626"/>
      <c r="M580" s="626"/>
      <c r="N580" s="626"/>
      <c r="O580" s="626"/>
      <c r="P580" s="626"/>
      <c r="Q580" s="626"/>
      <c r="R580" s="626">
        <v>5000</v>
      </c>
      <c r="S580" s="626"/>
      <c r="T580" s="626"/>
      <c r="U580" s="626"/>
      <c r="V580" s="1163">
        <f t="shared" si="23"/>
        <v>5000</v>
      </c>
      <c r="W580" s="536"/>
    </row>
    <row r="581" spans="1:23" ht="18" customHeight="1" hidden="1" thickBot="1">
      <c r="A581" s="722" t="s">
        <v>1563</v>
      </c>
      <c r="B581" s="1245" t="s">
        <v>1003</v>
      </c>
      <c r="C581" s="723"/>
      <c r="D581" s="723"/>
      <c r="E581" s="723"/>
      <c r="F581" s="723"/>
      <c r="G581" s="723"/>
      <c r="H581" s="723"/>
      <c r="I581" s="723"/>
      <c r="J581" s="723"/>
      <c r="K581" s="723"/>
      <c r="L581" s="723"/>
      <c r="M581" s="723"/>
      <c r="N581" s="723"/>
      <c r="O581" s="723"/>
      <c r="P581" s="723"/>
      <c r="Q581" s="723"/>
      <c r="R581" s="723"/>
      <c r="S581" s="723"/>
      <c r="T581" s="723"/>
      <c r="U581" s="723"/>
      <c r="V581" s="1160">
        <f t="shared" si="23"/>
        <v>0</v>
      </c>
      <c r="W581" s="536"/>
    </row>
    <row r="582" spans="1:23" ht="18" customHeight="1" hidden="1" thickBot="1">
      <c r="A582" s="543"/>
      <c r="B582" s="1203" t="s">
        <v>695</v>
      </c>
      <c r="C582" s="545"/>
      <c r="D582" s="545"/>
      <c r="E582" s="545"/>
      <c r="F582" s="545"/>
      <c r="G582" s="545"/>
      <c r="H582" s="545"/>
      <c r="I582" s="545"/>
      <c r="J582" s="545"/>
      <c r="K582" s="545"/>
      <c r="L582" s="545"/>
      <c r="M582" s="545"/>
      <c r="N582" s="545"/>
      <c r="O582" s="545"/>
      <c r="P582" s="545"/>
      <c r="Q582" s="545"/>
      <c r="R582" s="545"/>
      <c r="S582" s="545"/>
      <c r="T582" s="545"/>
      <c r="U582" s="545"/>
      <c r="V582" s="1162">
        <f t="shared" si="23"/>
        <v>0</v>
      </c>
      <c r="W582" s="718"/>
    </row>
    <row r="583" spans="1:23" s="150" customFormat="1" ht="18" customHeight="1" thickBot="1">
      <c r="A583" s="724">
        <v>85410</v>
      </c>
      <c r="B583" s="1231" t="s">
        <v>1067</v>
      </c>
      <c r="C583" s="624">
        <f>SUM(C584:C596)</f>
        <v>0</v>
      </c>
      <c r="D583" s="624">
        <f>SUM(D584:D596)</f>
        <v>0</v>
      </c>
      <c r="E583" s="624">
        <f>SUM(E584:E596)</f>
        <v>0</v>
      </c>
      <c r="F583" s="624">
        <f>SUM(F587:F598)</f>
        <v>-14600</v>
      </c>
      <c r="G583" s="624"/>
      <c r="H583" s="624"/>
      <c r="I583" s="624"/>
      <c r="J583" s="624"/>
      <c r="K583" s="624"/>
      <c r="L583" s="624"/>
      <c r="M583" s="624"/>
      <c r="N583" s="624"/>
      <c r="O583" s="624">
        <f>SUM(O587:O598)</f>
        <v>22000</v>
      </c>
      <c r="P583" s="624">
        <f>SUM(P587:P598)</f>
        <v>3000</v>
      </c>
      <c r="Q583" s="624"/>
      <c r="R583" s="624"/>
      <c r="S583" s="624"/>
      <c r="T583" s="624">
        <f>SUM(T587:T598)</f>
        <v>-1400</v>
      </c>
      <c r="U583" s="624"/>
      <c r="V583" s="1158">
        <f t="shared" si="23"/>
        <v>9000</v>
      </c>
      <c r="W583" s="569"/>
    </row>
    <row r="584" spans="1:23" ht="18" customHeight="1" hidden="1">
      <c r="A584" s="721" t="s">
        <v>1564</v>
      </c>
      <c r="B584" s="1244" t="s">
        <v>1068</v>
      </c>
      <c r="C584" s="626"/>
      <c r="D584" s="626"/>
      <c r="E584" s="626"/>
      <c r="F584" s="626"/>
      <c r="G584" s="626"/>
      <c r="H584" s="626"/>
      <c r="I584" s="626"/>
      <c r="J584" s="626"/>
      <c r="K584" s="626"/>
      <c r="L584" s="626"/>
      <c r="M584" s="626"/>
      <c r="N584" s="626"/>
      <c r="O584" s="626"/>
      <c r="P584" s="626"/>
      <c r="Q584" s="626"/>
      <c r="R584" s="626"/>
      <c r="S584" s="626"/>
      <c r="T584" s="626"/>
      <c r="U584" s="626"/>
      <c r="V584" s="1159">
        <f t="shared" si="23"/>
        <v>0</v>
      </c>
      <c r="W584" s="536"/>
    </row>
    <row r="585" spans="1:23" s="609" customFormat="1" ht="18" customHeight="1" hidden="1" thickBot="1">
      <c r="A585" s="621" t="s">
        <v>1565</v>
      </c>
      <c r="B585" s="1246" t="s">
        <v>1069</v>
      </c>
      <c r="C585" s="622"/>
      <c r="D585" s="622"/>
      <c r="E585" s="622"/>
      <c r="F585" s="622"/>
      <c r="G585" s="622"/>
      <c r="H585" s="622"/>
      <c r="I585" s="622"/>
      <c r="J585" s="622"/>
      <c r="K585" s="622"/>
      <c r="L585" s="622"/>
      <c r="M585" s="622"/>
      <c r="N585" s="622"/>
      <c r="O585" s="622"/>
      <c r="P585" s="622"/>
      <c r="Q585" s="622"/>
      <c r="R585" s="622"/>
      <c r="S585" s="622"/>
      <c r="T585" s="622"/>
      <c r="U585" s="622"/>
      <c r="V585" s="1160">
        <f t="shared" si="23"/>
        <v>0</v>
      </c>
      <c r="W585" s="536"/>
    </row>
    <row r="586" spans="1:23" s="124" customFormat="1" ht="18" customHeight="1" hidden="1">
      <c r="A586" s="707" t="s">
        <v>1566</v>
      </c>
      <c r="B586" s="1238" t="s">
        <v>1070</v>
      </c>
      <c r="C586" s="630"/>
      <c r="D586" s="630"/>
      <c r="E586" s="630"/>
      <c r="F586" s="630"/>
      <c r="G586" s="630"/>
      <c r="H586" s="630"/>
      <c r="I586" s="630"/>
      <c r="J586" s="630"/>
      <c r="K586" s="630"/>
      <c r="L586" s="630"/>
      <c r="M586" s="630"/>
      <c r="N586" s="630"/>
      <c r="O586" s="630"/>
      <c r="P586" s="630"/>
      <c r="Q586" s="630"/>
      <c r="R586" s="630"/>
      <c r="S586" s="630"/>
      <c r="T586" s="630"/>
      <c r="U586" s="630"/>
      <c r="V586" s="1160">
        <f t="shared" si="23"/>
        <v>0</v>
      </c>
      <c r="W586" s="536"/>
    </row>
    <row r="587" spans="1:23" s="124" customFormat="1" ht="18" customHeight="1">
      <c r="A587" s="629" t="s">
        <v>1567</v>
      </c>
      <c r="B587" s="737" t="s">
        <v>1071</v>
      </c>
      <c r="C587" s="630"/>
      <c r="D587" s="630"/>
      <c r="E587" s="630"/>
      <c r="F587" s="630"/>
      <c r="G587" s="630"/>
      <c r="H587" s="630"/>
      <c r="I587" s="630"/>
      <c r="J587" s="630"/>
      <c r="K587" s="630"/>
      <c r="L587" s="630"/>
      <c r="M587" s="630"/>
      <c r="N587" s="630"/>
      <c r="O587" s="630">
        <v>12000</v>
      </c>
      <c r="P587" s="630"/>
      <c r="Q587" s="630"/>
      <c r="R587" s="630"/>
      <c r="S587" s="630"/>
      <c r="T587" s="630"/>
      <c r="U587" s="630"/>
      <c r="V587" s="1161">
        <f t="shared" si="23"/>
        <v>12000</v>
      </c>
      <c r="W587" s="536"/>
    </row>
    <row r="588" spans="1:23" s="124" customFormat="1" ht="18" customHeight="1" hidden="1">
      <c r="A588" s="629" t="s">
        <v>1568</v>
      </c>
      <c r="B588" s="737" t="s">
        <v>856</v>
      </c>
      <c r="C588" s="630"/>
      <c r="D588" s="630"/>
      <c r="E588" s="630"/>
      <c r="F588" s="630"/>
      <c r="G588" s="630"/>
      <c r="H588" s="630"/>
      <c r="I588" s="630"/>
      <c r="J588" s="630"/>
      <c r="K588" s="630"/>
      <c r="L588" s="630"/>
      <c r="M588" s="630"/>
      <c r="N588" s="630"/>
      <c r="O588" s="630"/>
      <c r="P588" s="630"/>
      <c r="Q588" s="630"/>
      <c r="R588" s="630"/>
      <c r="S588" s="630"/>
      <c r="T588" s="630"/>
      <c r="U588" s="630"/>
      <c r="V588" s="1161">
        <f t="shared" si="23"/>
        <v>0</v>
      </c>
      <c r="W588" s="536"/>
    </row>
    <row r="589" spans="1:23" s="124" customFormat="1" ht="18" customHeight="1">
      <c r="A589" s="629" t="s">
        <v>1569</v>
      </c>
      <c r="B589" s="737" t="s">
        <v>859</v>
      </c>
      <c r="C589" s="630"/>
      <c r="D589" s="630"/>
      <c r="E589" s="630"/>
      <c r="F589" s="630">
        <v>-10450</v>
      </c>
      <c r="G589" s="630"/>
      <c r="H589" s="630"/>
      <c r="I589" s="630"/>
      <c r="J589" s="630"/>
      <c r="K589" s="630"/>
      <c r="L589" s="630"/>
      <c r="M589" s="630"/>
      <c r="N589" s="630"/>
      <c r="O589" s="630">
        <v>10000</v>
      </c>
      <c r="P589" s="630"/>
      <c r="Q589" s="630"/>
      <c r="R589" s="630"/>
      <c r="S589" s="630"/>
      <c r="T589" s="630">
        <v>-1400</v>
      </c>
      <c r="U589" s="630"/>
      <c r="V589" s="1161">
        <f t="shared" si="23"/>
        <v>-1850</v>
      </c>
      <c r="W589" s="536"/>
    </row>
    <row r="590" spans="1:23" s="124" customFormat="1" ht="18" customHeight="1" hidden="1">
      <c r="A590" s="621" t="s">
        <v>1570</v>
      </c>
      <c r="B590" s="1246" t="s">
        <v>1072</v>
      </c>
      <c r="C590" s="622"/>
      <c r="D590" s="622"/>
      <c r="E590" s="622"/>
      <c r="F590" s="622"/>
      <c r="G590" s="622"/>
      <c r="H590" s="622"/>
      <c r="I590" s="622"/>
      <c r="J590" s="622"/>
      <c r="K590" s="622"/>
      <c r="L590" s="622"/>
      <c r="M590" s="622"/>
      <c r="N590" s="622"/>
      <c r="O590" s="622"/>
      <c r="P590" s="622"/>
      <c r="Q590" s="622"/>
      <c r="R590" s="622"/>
      <c r="S590" s="622"/>
      <c r="T590" s="622"/>
      <c r="U590" s="622"/>
      <c r="V590" s="1160">
        <f t="shared" si="23"/>
        <v>0</v>
      </c>
      <c r="W590" s="536"/>
    </row>
    <row r="591" spans="1:23" s="124" customFormat="1" ht="18" customHeight="1" hidden="1" thickBot="1">
      <c r="A591" s="629" t="s">
        <v>1571</v>
      </c>
      <c r="B591" s="737" t="s">
        <v>1073</v>
      </c>
      <c r="C591" s="630"/>
      <c r="D591" s="630"/>
      <c r="E591" s="630"/>
      <c r="F591" s="630"/>
      <c r="G591" s="630"/>
      <c r="H591" s="630"/>
      <c r="I591" s="630"/>
      <c r="J591" s="630"/>
      <c r="K591" s="630"/>
      <c r="L591" s="630"/>
      <c r="M591" s="630"/>
      <c r="N591" s="630"/>
      <c r="O591" s="630"/>
      <c r="P591" s="630"/>
      <c r="Q591" s="630"/>
      <c r="R591" s="630"/>
      <c r="S591" s="630"/>
      <c r="T591" s="630"/>
      <c r="U591" s="630"/>
      <c r="V591" s="1160">
        <f t="shared" si="23"/>
        <v>0</v>
      </c>
      <c r="W591" s="536"/>
    </row>
    <row r="592" spans="1:23" s="124" customFormat="1" ht="18" customHeight="1" hidden="1" thickBot="1">
      <c r="A592" s="621" t="s">
        <v>1572</v>
      </c>
      <c r="B592" s="1246" t="s">
        <v>961</v>
      </c>
      <c r="C592" s="622"/>
      <c r="D592" s="622"/>
      <c r="E592" s="622"/>
      <c r="F592" s="622"/>
      <c r="G592" s="622"/>
      <c r="H592" s="622"/>
      <c r="I592" s="622"/>
      <c r="J592" s="622"/>
      <c r="K592" s="622"/>
      <c r="L592" s="622"/>
      <c r="M592" s="622"/>
      <c r="N592" s="622"/>
      <c r="O592" s="622"/>
      <c r="P592" s="622"/>
      <c r="Q592" s="622"/>
      <c r="R592" s="622"/>
      <c r="S592" s="622"/>
      <c r="T592" s="622"/>
      <c r="U592" s="622"/>
      <c r="V592" s="1160">
        <f t="shared" si="23"/>
        <v>0</v>
      </c>
      <c r="W592" s="536"/>
    </row>
    <row r="593" spans="1:23" s="124" customFormat="1" ht="18" customHeight="1" hidden="1">
      <c r="A593" s="725"/>
      <c r="B593" s="1247" t="s">
        <v>1074</v>
      </c>
      <c r="C593" s="647"/>
      <c r="D593" s="647"/>
      <c r="E593" s="647"/>
      <c r="F593" s="647"/>
      <c r="G593" s="647"/>
      <c r="H593" s="647"/>
      <c r="I593" s="647"/>
      <c r="J593" s="647"/>
      <c r="K593" s="647"/>
      <c r="L593" s="647"/>
      <c r="M593" s="647"/>
      <c r="N593" s="647"/>
      <c r="O593" s="647"/>
      <c r="P593" s="647"/>
      <c r="Q593" s="647"/>
      <c r="R593" s="647"/>
      <c r="S593" s="647"/>
      <c r="T593" s="647"/>
      <c r="U593" s="647"/>
      <c r="V593" s="1160">
        <f t="shared" si="23"/>
        <v>0</v>
      </c>
      <c r="W593" s="536"/>
    </row>
    <row r="594" spans="1:23" s="124" customFormat="1" ht="18" customHeight="1" hidden="1">
      <c r="A594" s="627"/>
      <c r="B594" s="1213" t="s">
        <v>1075</v>
      </c>
      <c r="C594" s="628"/>
      <c r="D594" s="628"/>
      <c r="E594" s="628"/>
      <c r="F594" s="628"/>
      <c r="G594" s="628"/>
      <c r="H594" s="628"/>
      <c r="I594" s="628"/>
      <c r="J594" s="628"/>
      <c r="K594" s="628"/>
      <c r="L594" s="628"/>
      <c r="M594" s="628"/>
      <c r="N594" s="628"/>
      <c r="O594" s="628"/>
      <c r="P594" s="628"/>
      <c r="Q594" s="628"/>
      <c r="R594" s="628"/>
      <c r="S594" s="628"/>
      <c r="T594" s="628"/>
      <c r="U594" s="628"/>
      <c r="V594" s="1160">
        <f t="shared" si="23"/>
        <v>0</v>
      </c>
      <c r="W594" s="536"/>
    </row>
    <row r="595" spans="1:23" s="609" customFormat="1" ht="31.5" customHeight="1" hidden="1" thickBot="1">
      <c r="A595" s="725"/>
      <c r="B595" s="1248" t="s">
        <v>1076</v>
      </c>
      <c r="C595" s="647"/>
      <c r="D595" s="647"/>
      <c r="E595" s="647"/>
      <c r="F595" s="647"/>
      <c r="G595" s="647"/>
      <c r="H595" s="647"/>
      <c r="I595" s="647"/>
      <c r="J595" s="647"/>
      <c r="K595" s="647"/>
      <c r="L595" s="647"/>
      <c r="M595" s="647"/>
      <c r="N595" s="647"/>
      <c r="O595" s="647"/>
      <c r="P595" s="647"/>
      <c r="Q595" s="647"/>
      <c r="R595" s="647"/>
      <c r="S595" s="647"/>
      <c r="T595" s="647"/>
      <c r="U595" s="647"/>
      <c r="V595" s="1160">
        <f t="shared" si="23"/>
        <v>0</v>
      </c>
      <c r="W595" s="536"/>
    </row>
    <row r="596" spans="1:23" s="609" customFormat="1" ht="18" customHeight="1" hidden="1" thickBot="1">
      <c r="A596" s="543"/>
      <c r="B596" s="1203" t="s">
        <v>695</v>
      </c>
      <c r="C596" s="545"/>
      <c r="D596" s="545"/>
      <c r="E596" s="545"/>
      <c r="F596" s="545"/>
      <c r="G596" s="545"/>
      <c r="H596" s="545"/>
      <c r="I596" s="545"/>
      <c r="J596" s="545"/>
      <c r="K596" s="545"/>
      <c r="L596" s="545"/>
      <c r="M596" s="545"/>
      <c r="N596" s="545"/>
      <c r="O596" s="545"/>
      <c r="P596" s="545"/>
      <c r="Q596" s="545"/>
      <c r="R596" s="545"/>
      <c r="S596" s="545"/>
      <c r="T596" s="545"/>
      <c r="U596" s="545"/>
      <c r="V596" s="1162">
        <f t="shared" si="23"/>
        <v>0</v>
      </c>
      <c r="W596" s="718"/>
    </row>
    <row r="597" spans="1:23" s="609" customFormat="1" ht="18" customHeight="1">
      <c r="A597" s="726"/>
      <c r="B597" s="750" t="s">
        <v>1115</v>
      </c>
      <c r="C597" s="932"/>
      <c r="D597" s="932"/>
      <c r="E597" s="932"/>
      <c r="F597" s="932"/>
      <c r="G597" s="932"/>
      <c r="H597" s="932"/>
      <c r="I597" s="932"/>
      <c r="J597" s="932"/>
      <c r="K597" s="932"/>
      <c r="L597" s="932"/>
      <c r="M597" s="932"/>
      <c r="N597" s="932"/>
      <c r="O597" s="932"/>
      <c r="P597" s="409">
        <v>3000</v>
      </c>
      <c r="Q597" s="932"/>
      <c r="R597" s="932"/>
      <c r="S597" s="932"/>
      <c r="T597" s="932"/>
      <c r="U597" s="932"/>
      <c r="V597" s="1161">
        <f t="shared" si="23"/>
        <v>3000</v>
      </c>
      <c r="W597" s="718"/>
    </row>
    <row r="598" spans="1:23" s="609" customFormat="1" ht="18" customHeight="1" thickBot="1">
      <c r="A598" s="726"/>
      <c r="B598" s="1249" t="s">
        <v>961</v>
      </c>
      <c r="C598" s="727"/>
      <c r="D598" s="727"/>
      <c r="E598" s="727"/>
      <c r="F598" s="728">
        <v>-4150</v>
      </c>
      <c r="G598" s="728"/>
      <c r="H598" s="728"/>
      <c r="I598" s="728"/>
      <c r="J598" s="728"/>
      <c r="K598" s="728"/>
      <c r="L598" s="728"/>
      <c r="M598" s="728"/>
      <c r="N598" s="728"/>
      <c r="O598" s="728"/>
      <c r="P598" s="728"/>
      <c r="Q598" s="728"/>
      <c r="R598" s="728"/>
      <c r="S598" s="728"/>
      <c r="T598" s="728"/>
      <c r="U598" s="728"/>
      <c r="V598" s="1312">
        <f t="shared" si="23"/>
        <v>-4150</v>
      </c>
      <c r="W598" s="718"/>
    </row>
    <row r="599" spans="1:23" s="609" customFormat="1" ht="27" customHeight="1" thickBot="1">
      <c r="A599" s="729">
        <v>85415</v>
      </c>
      <c r="B599" s="1250" t="s">
        <v>1077</v>
      </c>
      <c r="C599" s="730">
        <f>C600+C667</f>
        <v>0</v>
      </c>
      <c r="D599" s="730">
        <f>D600+D667</f>
        <v>0</v>
      </c>
      <c r="E599" s="730">
        <f>E600+E667</f>
        <v>0</v>
      </c>
      <c r="F599" s="730"/>
      <c r="G599" s="730"/>
      <c r="H599" s="730"/>
      <c r="I599" s="730"/>
      <c r="J599" s="730">
        <f>J600+J667+J761</f>
        <v>0</v>
      </c>
      <c r="K599" s="730">
        <f>K600+K667+K761</f>
        <v>117514</v>
      </c>
      <c r="L599" s="730"/>
      <c r="M599" s="730"/>
      <c r="N599" s="730"/>
      <c r="O599" s="730"/>
      <c r="P599" s="730"/>
      <c r="Q599" s="730"/>
      <c r="R599" s="730"/>
      <c r="S599" s="730"/>
      <c r="T599" s="730"/>
      <c r="U599" s="731"/>
      <c r="V599" s="1158">
        <f t="shared" si="23"/>
        <v>117514</v>
      </c>
      <c r="W599" s="536"/>
    </row>
    <row r="600" spans="1:23" s="609" customFormat="1" ht="18" customHeight="1">
      <c r="A600" s="732"/>
      <c r="B600" s="733" t="s">
        <v>826</v>
      </c>
      <c r="C600" s="734">
        <f>SUM(C601:C665)</f>
        <v>0</v>
      </c>
      <c r="D600" s="734">
        <f>SUM(D601:D665)</f>
        <v>0</v>
      </c>
      <c r="E600" s="734">
        <f>SUM(E601:E665)</f>
        <v>0</v>
      </c>
      <c r="F600" s="734"/>
      <c r="G600" s="734"/>
      <c r="H600" s="734"/>
      <c r="I600" s="734"/>
      <c r="J600" s="734">
        <f>SUM(J601:J665)</f>
        <v>0</v>
      </c>
      <c r="K600" s="734">
        <f>SUM(K601:K666)</f>
        <v>27373</v>
      </c>
      <c r="L600" s="734"/>
      <c r="M600" s="734"/>
      <c r="N600" s="734"/>
      <c r="O600" s="734"/>
      <c r="P600" s="734"/>
      <c r="Q600" s="734"/>
      <c r="R600" s="734"/>
      <c r="S600" s="734"/>
      <c r="T600" s="734"/>
      <c r="U600" s="734"/>
      <c r="V600" s="1311">
        <f t="shared" si="23"/>
        <v>27373</v>
      </c>
      <c r="W600" s="536"/>
    </row>
    <row r="601" spans="1:23" s="609" customFormat="1" ht="18" customHeight="1">
      <c r="A601" s="735" t="s">
        <v>1573</v>
      </c>
      <c r="B601" s="685" t="s">
        <v>606</v>
      </c>
      <c r="C601" s="736"/>
      <c r="D601" s="736"/>
      <c r="E601" s="736"/>
      <c r="F601" s="736"/>
      <c r="G601" s="736"/>
      <c r="H601" s="736"/>
      <c r="I601" s="736"/>
      <c r="J601" s="736"/>
      <c r="K601" s="551">
        <v>-92</v>
      </c>
      <c r="L601" s="736"/>
      <c r="M601" s="736"/>
      <c r="N601" s="736"/>
      <c r="O601" s="736"/>
      <c r="P601" s="736"/>
      <c r="Q601" s="736"/>
      <c r="R601" s="736"/>
      <c r="S601" s="736"/>
      <c r="T601" s="736"/>
      <c r="U601" s="736"/>
      <c r="V601" s="1163">
        <f t="shared" si="23"/>
        <v>-92</v>
      </c>
      <c r="W601" s="536"/>
    </row>
    <row r="602" spans="1:23" s="609" customFormat="1" ht="18" customHeight="1">
      <c r="A602" s="735" t="s">
        <v>1574</v>
      </c>
      <c r="B602" s="737" t="s">
        <v>609</v>
      </c>
      <c r="C602" s="738"/>
      <c r="D602" s="738"/>
      <c r="E602" s="738"/>
      <c r="F602" s="738"/>
      <c r="G602" s="738"/>
      <c r="H602" s="738"/>
      <c r="I602" s="738"/>
      <c r="J602" s="738"/>
      <c r="K602" s="738">
        <v>-16</v>
      </c>
      <c r="L602" s="738"/>
      <c r="M602" s="738"/>
      <c r="N602" s="738"/>
      <c r="O602" s="738"/>
      <c r="P602" s="738"/>
      <c r="Q602" s="738"/>
      <c r="R602" s="738"/>
      <c r="S602" s="738"/>
      <c r="T602" s="738"/>
      <c r="U602" s="738"/>
      <c r="V602" s="1161">
        <f aca="true" t="shared" si="24" ref="V602:V661">SUM(C602:U602)</f>
        <v>-16</v>
      </c>
      <c r="W602" s="536"/>
    </row>
    <row r="603" spans="1:23" s="609" customFormat="1" ht="18" customHeight="1">
      <c r="A603" s="735" t="s">
        <v>1575</v>
      </c>
      <c r="B603" s="737" t="s">
        <v>614</v>
      </c>
      <c r="C603" s="738"/>
      <c r="D603" s="738"/>
      <c r="E603" s="738"/>
      <c r="F603" s="738"/>
      <c r="G603" s="738"/>
      <c r="H603" s="738"/>
      <c r="I603" s="738"/>
      <c r="J603" s="738"/>
      <c r="K603" s="738">
        <v>-639</v>
      </c>
      <c r="L603" s="738"/>
      <c r="M603" s="738"/>
      <c r="N603" s="738"/>
      <c r="O603" s="738"/>
      <c r="P603" s="738"/>
      <c r="Q603" s="738"/>
      <c r="R603" s="738"/>
      <c r="S603" s="738"/>
      <c r="T603" s="738"/>
      <c r="U603" s="738"/>
      <c r="V603" s="1161">
        <f t="shared" si="24"/>
        <v>-639</v>
      </c>
      <c r="W603" s="536"/>
    </row>
    <row r="604" spans="1:23" s="609" customFormat="1" ht="18" customHeight="1">
      <c r="A604" s="739" t="s">
        <v>1576</v>
      </c>
      <c r="B604" s="737" t="s">
        <v>617</v>
      </c>
      <c r="C604" s="740"/>
      <c r="D604" s="740"/>
      <c r="E604" s="740"/>
      <c r="F604" s="740"/>
      <c r="G604" s="740"/>
      <c r="H604" s="740"/>
      <c r="I604" s="740"/>
      <c r="J604" s="740"/>
      <c r="K604" s="738">
        <v>-61</v>
      </c>
      <c r="L604" s="740"/>
      <c r="M604" s="740"/>
      <c r="N604" s="740"/>
      <c r="O604" s="740"/>
      <c r="P604" s="740"/>
      <c r="Q604" s="740"/>
      <c r="R604" s="740"/>
      <c r="S604" s="740"/>
      <c r="T604" s="740"/>
      <c r="U604" s="740"/>
      <c r="V604" s="1161">
        <f t="shared" si="24"/>
        <v>-61</v>
      </c>
      <c r="W604" s="536"/>
    </row>
    <row r="605" spans="1:23" s="609" customFormat="1" ht="18" customHeight="1">
      <c r="A605" s="735" t="s">
        <v>1577</v>
      </c>
      <c r="B605" s="741" t="s">
        <v>648</v>
      </c>
      <c r="C605" s="742"/>
      <c r="D605" s="742"/>
      <c r="E605" s="742"/>
      <c r="F605" s="742"/>
      <c r="G605" s="742"/>
      <c r="H605" s="742"/>
      <c r="I605" s="742"/>
      <c r="J605" s="742"/>
      <c r="K605" s="742">
        <v>500</v>
      </c>
      <c r="L605" s="742"/>
      <c r="M605" s="742"/>
      <c r="N605" s="742"/>
      <c r="O605" s="742"/>
      <c r="P605" s="742"/>
      <c r="Q605" s="742"/>
      <c r="R605" s="742"/>
      <c r="S605" s="742"/>
      <c r="T605" s="742"/>
      <c r="U605" s="742"/>
      <c r="V605" s="1168">
        <f t="shared" si="24"/>
        <v>500</v>
      </c>
      <c r="W605" s="536"/>
    </row>
    <row r="606" spans="1:23" s="609" customFormat="1" ht="18" customHeight="1" hidden="1">
      <c r="A606" s="735" t="s">
        <v>1578</v>
      </c>
      <c r="B606" s="737" t="s">
        <v>650</v>
      </c>
      <c r="C606" s="738"/>
      <c r="D606" s="738"/>
      <c r="E606" s="738"/>
      <c r="F606" s="738"/>
      <c r="G606" s="738"/>
      <c r="H606" s="738"/>
      <c r="I606" s="738"/>
      <c r="J606" s="738"/>
      <c r="K606" s="738"/>
      <c r="L606" s="738"/>
      <c r="M606" s="738"/>
      <c r="N606" s="738"/>
      <c r="O606" s="738"/>
      <c r="P606" s="738"/>
      <c r="Q606" s="738"/>
      <c r="R606" s="738"/>
      <c r="S606" s="738"/>
      <c r="T606" s="738"/>
      <c r="U606" s="738"/>
      <c r="V606" s="1161">
        <f t="shared" si="24"/>
        <v>0</v>
      </c>
      <c r="W606" s="536"/>
    </row>
    <row r="607" spans="1:23" s="609" customFormat="1" ht="18" customHeight="1">
      <c r="A607" s="739" t="s">
        <v>1579</v>
      </c>
      <c r="B607" s="737" t="s">
        <v>651</v>
      </c>
      <c r="C607" s="740"/>
      <c r="D607" s="740"/>
      <c r="E607" s="740"/>
      <c r="F607" s="740"/>
      <c r="G607" s="740"/>
      <c r="H607" s="740"/>
      <c r="I607" s="740"/>
      <c r="J607" s="740"/>
      <c r="K607" s="738">
        <v>2660</v>
      </c>
      <c r="L607" s="740"/>
      <c r="M607" s="740"/>
      <c r="N607" s="740"/>
      <c r="O607" s="740"/>
      <c r="P607" s="740"/>
      <c r="Q607" s="740"/>
      <c r="R607" s="740"/>
      <c r="S607" s="740"/>
      <c r="T607" s="740"/>
      <c r="U607" s="740"/>
      <c r="V607" s="1161">
        <f t="shared" si="24"/>
        <v>2660</v>
      </c>
      <c r="W607" s="536"/>
    </row>
    <row r="608" spans="1:23" s="609" customFormat="1" ht="18" customHeight="1">
      <c r="A608" s="735" t="s">
        <v>1580</v>
      </c>
      <c r="B608" s="737" t="s">
        <v>652</v>
      </c>
      <c r="C608" s="738"/>
      <c r="D608" s="738"/>
      <c r="E608" s="738"/>
      <c r="F608" s="738"/>
      <c r="G608" s="738"/>
      <c r="H608" s="738"/>
      <c r="I608" s="738"/>
      <c r="J608" s="738"/>
      <c r="K608" s="738">
        <v>1200</v>
      </c>
      <c r="L608" s="738"/>
      <c r="M608" s="738"/>
      <c r="N608" s="738"/>
      <c r="O608" s="738"/>
      <c r="P608" s="738"/>
      <c r="Q608" s="738"/>
      <c r="R608" s="738"/>
      <c r="S608" s="738"/>
      <c r="T608" s="738"/>
      <c r="U608" s="738"/>
      <c r="V608" s="1161">
        <f t="shared" si="24"/>
        <v>1200</v>
      </c>
      <c r="W608" s="536"/>
    </row>
    <row r="609" spans="1:23" s="609" customFormat="1" ht="18" customHeight="1">
      <c r="A609" s="739" t="s">
        <v>1581</v>
      </c>
      <c r="B609" s="737" t="s">
        <v>653</v>
      </c>
      <c r="C609" s="740"/>
      <c r="D609" s="740"/>
      <c r="E609" s="740"/>
      <c r="F609" s="740"/>
      <c r="G609" s="740"/>
      <c r="H609" s="740"/>
      <c r="I609" s="740"/>
      <c r="J609" s="740"/>
      <c r="K609" s="738">
        <v>1200</v>
      </c>
      <c r="L609" s="740"/>
      <c r="M609" s="740"/>
      <c r="N609" s="740"/>
      <c r="O609" s="740"/>
      <c r="P609" s="740"/>
      <c r="Q609" s="740"/>
      <c r="R609" s="740"/>
      <c r="S609" s="740"/>
      <c r="T609" s="740"/>
      <c r="U609" s="740"/>
      <c r="V609" s="1161">
        <f t="shared" si="24"/>
        <v>1200</v>
      </c>
      <c r="W609" s="536"/>
    </row>
    <row r="610" spans="1:23" s="609" customFormat="1" ht="18" customHeight="1" hidden="1">
      <c r="A610" s="735" t="s">
        <v>1582</v>
      </c>
      <c r="B610" s="737" t="s">
        <v>654</v>
      </c>
      <c r="C610" s="738"/>
      <c r="D610" s="738"/>
      <c r="E610" s="738"/>
      <c r="F610" s="738"/>
      <c r="G610" s="738"/>
      <c r="H610" s="738"/>
      <c r="I610" s="738"/>
      <c r="J610" s="738"/>
      <c r="K610" s="738"/>
      <c r="L610" s="738"/>
      <c r="M610" s="738"/>
      <c r="N610" s="738"/>
      <c r="O610" s="738"/>
      <c r="P610" s="738"/>
      <c r="Q610" s="738"/>
      <c r="R610" s="738"/>
      <c r="S610" s="738"/>
      <c r="T610" s="738"/>
      <c r="U610" s="738"/>
      <c r="V610" s="1161">
        <f t="shared" si="24"/>
        <v>0</v>
      </c>
      <c r="W610" s="536"/>
    </row>
    <row r="611" spans="1:23" s="609" customFormat="1" ht="18" customHeight="1" hidden="1">
      <c r="A611" s="739" t="s">
        <v>1583</v>
      </c>
      <c r="B611" s="737" t="s">
        <v>655</v>
      </c>
      <c r="C611" s="740"/>
      <c r="D611" s="740"/>
      <c r="E611" s="740"/>
      <c r="F611" s="740"/>
      <c r="G611" s="740"/>
      <c r="H611" s="740"/>
      <c r="I611" s="740"/>
      <c r="J611" s="740"/>
      <c r="K611" s="738"/>
      <c r="L611" s="740"/>
      <c r="M611" s="740"/>
      <c r="N611" s="740"/>
      <c r="O611" s="740"/>
      <c r="P611" s="740"/>
      <c r="Q611" s="740"/>
      <c r="R611" s="740"/>
      <c r="S611" s="740"/>
      <c r="T611" s="740"/>
      <c r="U611" s="740"/>
      <c r="V611" s="1161">
        <f t="shared" si="24"/>
        <v>0</v>
      </c>
      <c r="W611" s="536"/>
    </row>
    <row r="612" spans="1:23" s="609" customFormat="1" ht="18" customHeight="1">
      <c r="A612" s="735" t="s">
        <v>1584</v>
      </c>
      <c r="B612" s="737" t="s">
        <v>656</v>
      </c>
      <c r="C612" s="738"/>
      <c r="D612" s="738"/>
      <c r="E612" s="738"/>
      <c r="F612" s="738"/>
      <c r="G612" s="738"/>
      <c r="H612" s="738"/>
      <c r="I612" s="738"/>
      <c r="J612" s="738"/>
      <c r="K612" s="738">
        <v>3000</v>
      </c>
      <c r="L612" s="738"/>
      <c r="M612" s="738"/>
      <c r="N612" s="738"/>
      <c r="O612" s="738"/>
      <c r="P612" s="738"/>
      <c r="Q612" s="738"/>
      <c r="R612" s="738"/>
      <c r="S612" s="738"/>
      <c r="T612" s="738"/>
      <c r="U612" s="738"/>
      <c r="V612" s="1161">
        <f t="shared" si="24"/>
        <v>3000</v>
      </c>
      <c r="W612" s="536"/>
    </row>
    <row r="613" spans="1:23" s="609" customFormat="1" ht="18" customHeight="1" hidden="1">
      <c r="A613" s="739" t="s">
        <v>1585</v>
      </c>
      <c r="B613" s="737" t="s">
        <v>657</v>
      </c>
      <c r="C613" s="740"/>
      <c r="D613" s="740"/>
      <c r="E613" s="740"/>
      <c r="F613" s="740"/>
      <c r="G613" s="740"/>
      <c r="H613" s="740"/>
      <c r="I613" s="740"/>
      <c r="J613" s="740"/>
      <c r="K613" s="738"/>
      <c r="L613" s="740"/>
      <c r="M613" s="740"/>
      <c r="N613" s="740"/>
      <c r="O613" s="740"/>
      <c r="P613" s="740"/>
      <c r="Q613" s="740"/>
      <c r="R613" s="740"/>
      <c r="S613" s="740"/>
      <c r="T613" s="740"/>
      <c r="U613" s="740"/>
      <c r="V613" s="1161">
        <f t="shared" si="24"/>
        <v>0</v>
      </c>
      <c r="W613" s="536"/>
    </row>
    <row r="614" spans="1:23" s="609" customFormat="1" ht="18" customHeight="1" hidden="1">
      <c r="A614" s="735" t="s">
        <v>1586</v>
      </c>
      <c r="B614" s="737" t="s">
        <v>658</v>
      </c>
      <c r="C614" s="738"/>
      <c r="D614" s="738"/>
      <c r="E614" s="738"/>
      <c r="F614" s="738"/>
      <c r="G614" s="738"/>
      <c r="H614" s="738"/>
      <c r="I614" s="738"/>
      <c r="J614" s="738"/>
      <c r="K614" s="738"/>
      <c r="L614" s="738"/>
      <c r="M614" s="738"/>
      <c r="N614" s="738"/>
      <c r="O614" s="738"/>
      <c r="P614" s="738"/>
      <c r="Q614" s="738"/>
      <c r="R614" s="738"/>
      <c r="S614" s="738"/>
      <c r="T614" s="738"/>
      <c r="U614" s="738"/>
      <c r="V614" s="1161">
        <f t="shared" si="24"/>
        <v>0</v>
      </c>
      <c r="W614" s="536"/>
    </row>
    <row r="615" spans="1:23" s="609" customFormat="1" ht="18" customHeight="1" hidden="1">
      <c r="A615" s="739" t="s">
        <v>1587</v>
      </c>
      <c r="B615" s="737" t="s">
        <v>659</v>
      </c>
      <c r="C615" s="743"/>
      <c r="D615" s="743"/>
      <c r="E615" s="743"/>
      <c r="F615" s="743"/>
      <c r="G615" s="743"/>
      <c r="H615" s="743"/>
      <c r="I615" s="743"/>
      <c r="J615" s="743"/>
      <c r="K615" s="555"/>
      <c r="L615" s="743"/>
      <c r="M615" s="743"/>
      <c r="N615" s="743"/>
      <c r="O615" s="743"/>
      <c r="P615" s="743"/>
      <c r="Q615" s="743"/>
      <c r="R615" s="743"/>
      <c r="S615" s="743"/>
      <c r="T615" s="743"/>
      <c r="U615" s="743"/>
      <c r="V615" s="1161">
        <f t="shared" si="24"/>
        <v>0</v>
      </c>
      <c r="W615" s="536"/>
    </row>
    <row r="616" spans="1:23" s="609" customFormat="1" ht="18" customHeight="1" hidden="1">
      <c r="A616" s="735" t="s">
        <v>1588</v>
      </c>
      <c r="B616" s="737" t="s">
        <v>660</v>
      </c>
      <c r="C616" s="738"/>
      <c r="D616" s="738"/>
      <c r="E616" s="738"/>
      <c r="F616" s="738"/>
      <c r="G616" s="738"/>
      <c r="H616" s="738"/>
      <c r="I616" s="738"/>
      <c r="J616" s="738"/>
      <c r="K616" s="738"/>
      <c r="L616" s="738"/>
      <c r="M616" s="738"/>
      <c r="N616" s="738"/>
      <c r="O616" s="738"/>
      <c r="P616" s="738"/>
      <c r="Q616" s="738"/>
      <c r="R616" s="738"/>
      <c r="S616" s="738"/>
      <c r="T616" s="738"/>
      <c r="U616" s="738"/>
      <c r="V616" s="1161">
        <f t="shared" si="24"/>
        <v>0</v>
      </c>
      <c r="W616" s="536"/>
    </row>
    <row r="617" spans="1:23" s="609" customFormat="1" ht="18" customHeight="1" hidden="1">
      <c r="A617" s="739" t="s">
        <v>1589</v>
      </c>
      <c r="B617" s="737" t="s">
        <v>661</v>
      </c>
      <c r="C617" s="740"/>
      <c r="D617" s="740"/>
      <c r="E617" s="740"/>
      <c r="F617" s="740"/>
      <c r="G617" s="740"/>
      <c r="H617" s="740"/>
      <c r="I617" s="740"/>
      <c r="J617" s="740"/>
      <c r="K617" s="738"/>
      <c r="L617" s="740"/>
      <c r="M617" s="740"/>
      <c r="N617" s="740"/>
      <c r="O617" s="740"/>
      <c r="P617" s="740"/>
      <c r="Q617" s="740"/>
      <c r="R617" s="740"/>
      <c r="S617" s="740"/>
      <c r="T617" s="740"/>
      <c r="U617" s="740"/>
      <c r="V617" s="1161">
        <f t="shared" si="24"/>
        <v>0</v>
      </c>
      <c r="W617" s="536"/>
    </row>
    <row r="618" spans="1:23" s="609" customFormat="1" ht="18" customHeight="1" hidden="1">
      <c r="A618" s="735" t="s">
        <v>1590</v>
      </c>
      <c r="B618" s="737" t="s">
        <v>662</v>
      </c>
      <c r="C618" s="738"/>
      <c r="D618" s="738"/>
      <c r="E618" s="738"/>
      <c r="F618" s="738"/>
      <c r="G618" s="738"/>
      <c r="H618" s="738"/>
      <c r="I618" s="738"/>
      <c r="J618" s="738"/>
      <c r="K618" s="738"/>
      <c r="L618" s="738"/>
      <c r="M618" s="738"/>
      <c r="N618" s="738"/>
      <c r="O618" s="738"/>
      <c r="P618" s="738"/>
      <c r="Q618" s="738"/>
      <c r="R618" s="738"/>
      <c r="S618" s="738"/>
      <c r="T618" s="738"/>
      <c r="U618" s="738"/>
      <c r="V618" s="1161">
        <f t="shared" si="24"/>
        <v>0</v>
      </c>
      <c r="W618" s="536"/>
    </row>
    <row r="619" spans="1:23" s="609" customFormat="1" ht="18" customHeight="1" hidden="1">
      <c r="A619" s="739" t="s">
        <v>1591</v>
      </c>
      <c r="B619" s="737" t="s">
        <v>663</v>
      </c>
      <c r="C619" s="740"/>
      <c r="D619" s="740"/>
      <c r="E619" s="740"/>
      <c r="F619" s="740"/>
      <c r="G619" s="740"/>
      <c r="H619" s="740"/>
      <c r="I619" s="740"/>
      <c r="J619" s="740"/>
      <c r="K619" s="738"/>
      <c r="L619" s="740"/>
      <c r="M619" s="740"/>
      <c r="N619" s="740"/>
      <c r="O619" s="740"/>
      <c r="P619" s="740"/>
      <c r="Q619" s="740"/>
      <c r="R619" s="740"/>
      <c r="S619" s="740"/>
      <c r="T619" s="740"/>
      <c r="U619" s="740"/>
      <c r="V619" s="1161">
        <f t="shared" si="24"/>
        <v>0</v>
      </c>
      <c r="W619" s="536"/>
    </row>
    <row r="620" spans="1:23" s="609" customFormat="1" ht="18" customHeight="1" hidden="1">
      <c r="A620" s="735" t="s">
        <v>1592</v>
      </c>
      <c r="B620" s="737" t="s">
        <v>669</v>
      </c>
      <c r="C620" s="738"/>
      <c r="D620" s="738"/>
      <c r="E620" s="738"/>
      <c r="F620" s="738"/>
      <c r="G620" s="738"/>
      <c r="H620" s="738"/>
      <c r="I620" s="738"/>
      <c r="J620" s="738"/>
      <c r="K620" s="738"/>
      <c r="L620" s="738"/>
      <c r="M620" s="738"/>
      <c r="N620" s="738"/>
      <c r="O620" s="738"/>
      <c r="P620" s="738"/>
      <c r="Q620" s="738"/>
      <c r="R620" s="738"/>
      <c r="S620" s="738"/>
      <c r="T620" s="738"/>
      <c r="U620" s="738"/>
      <c r="V620" s="1161">
        <f t="shared" si="24"/>
        <v>0</v>
      </c>
      <c r="W620" s="536"/>
    </row>
    <row r="621" spans="1:23" s="609" customFormat="1" ht="18" customHeight="1" hidden="1">
      <c r="A621" s="739" t="s">
        <v>1593</v>
      </c>
      <c r="B621" s="737" t="s">
        <v>670</v>
      </c>
      <c r="C621" s="743"/>
      <c r="D621" s="743"/>
      <c r="E621" s="743"/>
      <c r="F621" s="743"/>
      <c r="G621" s="743"/>
      <c r="H621" s="743"/>
      <c r="I621" s="743"/>
      <c r="J621" s="743"/>
      <c r="K621" s="555"/>
      <c r="L621" s="743"/>
      <c r="M621" s="743"/>
      <c r="N621" s="743"/>
      <c r="O621" s="743"/>
      <c r="P621" s="743"/>
      <c r="Q621" s="743"/>
      <c r="R621" s="743"/>
      <c r="S621" s="743"/>
      <c r="T621" s="743"/>
      <c r="U621" s="743"/>
      <c r="V621" s="1161">
        <f t="shared" si="24"/>
        <v>0</v>
      </c>
      <c r="W621" s="536"/>
    </row>
    <row r="622" spans="1:23" s="609" customFormat="1" ht="18" customHeight="1" hidden="1">
      <c r="A622" s="735" t="s">
        <v>1594</v>
      </c>
      <c r="B622" s="737" t="s">
        <v>671</v>
      </c>
      <c r="C622" s="738"/>
      <c r="D622" s="738"/>
      <c r="E622" s="738"/>
      <c r="F622" s="738"/>
      <c r="G622" s="738"/>
      <c r="H622" s="738"/>
      <c r="I622" s="738"/>
      <c r="J622" s="738"/>
      <c r="K622" s="738"/>
      <c r="L622" s="738"/>
      <c r="M622" s="738"/>
      <c r="N622" s="738"/>
      <c r="O622" s="738"/>
      <c r="P622" s="738"/>
      <c r="Q622" s="738"/>
      <c r="R622" s="738"/>
      <c r="S622" s="738"/>
      <c r="T622" s="738"/>
      <c r="U622" s="738"/>
      <c r="V622" s="1161">
        <f t="shared" si="24"/>
        <v>0</v>
      </c>
      <c r="W622" s="536"/>
    </row>
    <row r="623" spans="1:23" s="609" customFormat="1" ht="18" customHeight="1" hidden="1">
      <c r="A623" s="739" t="s">
        <v>1595</v>
      </c>
      <c r="B623" s="737" t="s">
        <v>672</v>
      </c>
      <c r="C623" s="738"/>
      <c r="D623" s="738"/>
      <c r="E623" s="738"/>
      <c r="F623" s="738"/>
      <c r="G623" s="738"/>
      <c r="H623" s="738"/>
      <c r="I623" s="738"/>
      <c r="J623" s="738"/>
      <c r="K623" s="738"/>
      <c r="L623" s="738"/>
      <c r="M623" s="738"/>
      <c r="N623" s="738"/>
      <c r="O623" s="738"/>
      <c r="P623" s="738"/>
      <c r="Q623" s="738"/>
      <c r="R623" s="738"/>
      <c r="S623" s="738"/>
      <c r="T623" s="738"/>
      <c r="U623" s="738"/>
      <c r="V623" s="1161">
        <f t="shared" si="24"/>
        <v>0</v>
      </c>
      <c r="W623" s="536"/>
    </row>
    <row r="624" spans="1:23" s="609" customFormat="1" ht="18" customHeight="1" hidden="1">
      <c r="A624" s="735" t="s">
        <v>1596</v>
      </c>
      <c r="B624" s="737" t="s">
        <v>673</v>
      </c>
      <c r="C624" s="738"/>
      <c r="D624" s="738"/>
      <c r="E624" s="738"/>
      <c r="F624" s="738"/>
      <c r="G624" s="738"/>
      <c r="H624" s="738"/>
      <c r="I624" s="738"/>
      <c r="J624" s="738"/>
      <c r="K624" s="738"/>
      <c r="L624" s="738"/>
      <c r="M624" s="738"/>
      <c r="N624" s="738"/>
      <c r="O624" s="738"/>
      <c r="P624" s="738"/>
      <c r="Q624" s="738"/>
      <c r="R624" s="738"/>
      <c r="S624" s="738"/>
      <c r="T624" s="738"/>
      <c r="U624" s="738"/>
      <c r="V624" s="1161">
        <f t="shared" si="24"/>
        <v>0</v>
      </c>
      <c r="W624" s="536"/>
    </row>
    <row r="625" spans="1:23" s="609" customFormat="1" ht="18" customHeight="1" hidden="1">
      <c r="A625" s="739" t="s">
        <v>1597</v>
      </c>
      <c r="B625" s="737" t="s">
        <v>675</v>
      </c>
      <c r="C625" s="740"/>
      <c r="D625" s="740"/>
      <c r="E625" s="740"/>
      <c r="F625" s="740"/>
      <c r="G625" s="740"/>
      <c r="H625" s="740"/>
      <c r="I625" s="740"/>
      <c r="J625" s="740"/>
      <c r="K625" s="738"/>
      <c r="L625" s="740"/>
      <c r="M625" s="740"/>
      <c r="N625" s="740"/>
      <c r="O625" s="740"/>
      <c r="P625" s="740"/>
      <c r="Q625" s="740"/>
      <c r="R625" s="740"/>
      <c r="S625" s="740"/>
      <c r="T625" s="740"/>
      <c r="U625" s="740"/>
      <c r="V625" s="1161">
        <f t="shared" si="24"/>
        <v>0</v>
      </c>
      <c r="W625" s="536"/>
    </row>
    <row r="626" spans="1:23" s="609" customFormat="1" ht="18" customHeight="1" hidden="1">
      <c r="A626" s="735" t="s">
        <v>1598</v>
      </c>
      <c r="B626" s="737" t="s">
        <v>676</v>
      </c>
      <c r="C626" s="738"/>
      <c r="D626" s="738"/>
      <c r="E626" s="738"/>
      <c r="F626" s="738"/>
      <c r="G626" s="738"/>
      <c r="H626" s="738"/>
      <c r="I626" s="738"/>
      <c r="J626" s="738"/>
      <c r="K626" s="738"/>
      <c r="L626" s="738"/>
      <c r="M626" s="738"/>
      <c r="N626" s="738"/>
      <c r="O626" s="738"/>
      <c r="P626" s="738"/>
      <c r="Q626" s="738"/>
      <c r="R626" s="738"/>
      <c r="S626" s="738"/>
      <c r="T626" s="738"/>
      <c r="U626" s="738"/>
      <c r="V626" s="1161">
        <f t="shared" si="24"/>
        <v>0</v>
      </c>
      <c r="W626" s="536"/>
    </row>
    <row r="627" spans="1:23" s="609" customFormat="1" ht="18" customHeight="1" hidden="1">
      <c r="A627" s="739" t="s">
        <v>1599</v>
      </c>
      <c r="B627" s="737" t="s">
        <v>677</v>
      </c>
      <c r="C627" s="740"/>
      <c r="D627" s="740"/>
      <c r="E627" s="740"/>
      <c r="F627" s="740"/>
      <c r="G627" s="740"/>
      <c r="H627" s="740"/>
      <c r="I627" s="740"/>
      <c r="J627" s="740"/>
      <c r="K627" s="738"/>
      <c r="L627" s="740"/>
      <c r="M627" s="740"/>
      <c r="N627" s="740"/>
      <c r="O627" s="740"/>
      <c r="P627" s="740"/>
      <c r="Q627" s="740"/>
      <c r="R627" s="740"/>
      <c r="S627" s="740"/>
      <c r="T627" s="740"/>
      <c r="U627" s="740"/>
      <c r="V627" s="1161">
        <f t="shared" si="24"/>
        <v>0</v>
      </c>
      <c r="W627" s="536"/>
    </row>
    <row r="628" spans="1:23" s="609" customFormat="1" ht="18" customHeight="1" hidden="1">
      <c r="A628" s="744" t="s">
        <v>1600</v>
      </c>
      <c r="B628" s="737" t="s">
        <v>678</v>
      </c>
      <c r="C628" s="740"/>
      <c r="D628" s="740"/>
      <c r="E628" s="740"/>
      <c r="F628" s="740"/>
      <c r="G628" s="740"/>
      <c r="H628" s="740"/>
      <c r="I628" s="740"/>
      <c r="J628" s="740"/>
      <c r="K628" s="738"/>
      <c r="L628" s="740"/>
      <c r="M628" s="740"/>
      <c r="N628" s="740"/>
      <c r="O628" s="740"/>
      <c r="P628" s="740"/>
      <c r="Q628" s="740"/>
      <c r="R628" s="740"/>
      <c r="S628" s="740"/>
      <c r="T628" s="740"/>
      <c r="U628" s="740"/>
      <c r="V628" s="1161">
        <f t="shared" si="24"/>
        <v>0</v>
      </c>
      <c r="W628" s="536"/>
    </row>
    <row r="629" spans="1:23" s="609" customFormat="1" ht="18" customHeight="1">
      <c r="A629" s="744"/>
      <c r="B629" s="737" t="s">
        <v>662</v>
      </c>
      <c r="C629" s="740"/>
      <c r="D629" s="740"/>
      <c r="E629" s="740"/>
      <c r="F629" s="740"/>
      <c r="G629" s="740"/>
      <c r="H629" s="740"/>
      <c r="I629" s="740"/>
      <c r="J629" s="740"/>
      <c r="K629" s="738">
        <v>-677</v>
      </c>
      <c r="L629" s="740"/>
      <c r="M629" s="740"/>
      <c r="N629" s="740"/>
      <c r="O629" s="740"/>
      <c r="P629" s="740"/>
      <c r="Q629" s="740"/>
      <c r="R629" s="740"/>
      <c r="S629" s="740"/>
      <c r="T629" s="740"/>
      <c r="U629" s="740"/>
      <c r="V629" s="1161">
        <f t="shared" si="24"/>
        <v>-677</v>
      </c>
      <c r="W629" s="536"/>
    </row>
    <row r="630" spans="1:23" s="609" customFormat="1" ht="18" customHeight="1">
      <c r="A630" s="739" t="s">
        <v>1601</v>
      </c>
      <c r="B630" s="737" t="s">
        <v>679</v>
      </c>
      <c r="C630" s="740"/>
      <c r="D630" s="740"/>
      <c r="E630" s="740"/>
      <c r="F630" s="740"/>
      <c r="G630" s="740"/>
      <c r="H630" s="740"/>
      <c r="I630" s="740"/>
      <c r="J630" s="740"/>
      <c r="K630" s="738">
        <v>2000</v>
      </c>
      <c r="L630" s="740"/>
      <c r="M630" s="740"/>
      <c r="N630" s="740"/>
      <c r="O630" s="740"/>
      <c r="P630" s="740"/>
      <c r="Q630" s="740"/>
      <c r="R630" s="740"/>
      <c r="S630" s="740"/>
      <c r="T630" s="740"/>
      <c r="U630" s="740"/>
      <c r="V630" s="1161">
        <f t="shared" si="24"/>
        <v>2000</v>
      </c>
      <c r="W630" s="536"/>
    </row>
    <row r="631" spans="1:23" s="609" customFormat="1" ht="18" customHeight="1" hidden="1">
      <c r="A631" s="739" t="s">
        <v>1602</v>
      </c>
      <c r="B631" s="737" t="s">
        <v>680</v>
      </c>
      <c r="C631" s="740"/>
      <c r="D631" s="740"/>
      <c r="E631" s="740"/>
      <c r="F631" s="740"/>
      <c r="G631" s="740"/>
      <c r="H631" s="740"/>
      <c r="I631" s="740"/>
      <c r="J631" s="740"/>
      <c r="K631" s="738"/>
      <c r="L631" s="740"/>
      <c r="M631" s="740"/>
      <c r="N631" s="740"/>
      <c r="O631" s="740"/>
      <c r="P631" s="740"/>
      <c r="Q631" s="740"/>
      <c r="R631" s="740"/>
      <c r="S631" s="740"/>
      <c r="T631" s="740"/>
      <c r="U631" s="740"/>
      <c r="V631" s="1161">
        <f t="shared" si="24"/>
        <v>0</v>
      </c>
      <c r="W631" s="536"/>
    </row>
    <row r="632" spans="1:23" s="609" customFormat="1" ht="18" customHeight="1">
      <c r="A632" s="739" t="s">
        <v>1603</v>
      </c>
      <c r="B632" s="737" t="s">
        <v>709</v>
      </c>
      <c r="C632" s="740"/>
      <c r="D632" s="740"/>
      <c r="E632" s="740"/>
      <c r="F632" s="740"/>
      <c r="G632" s="740"/>
      <c r="H632" s="740"/>
      <c r="I632" s="740"/>
      <c r="J632" s="740"/>
      <c r="K632" s="738">
        <v>1500</v>
      </c>
      <c r="L632" s="740"/>
      <c r="M632" s="740"/>
      <c r="N632" s="740"/>
      <c r="O632" s="740"/>
      <c r="P632" s="740"/>
      <c r="Q632" s="740"/>
      <c r="R632" s="740"/>
      <c r="S632" s="740"/>
      <c r="T632" s="740"/>
      <c r="U632" s="740"/>
      <c r="V632" s="1161">
        <f t="shared" si="24"/>
        <v>1500</v>
      </c>
      <c r="W632" s="536"/>
    </row>
    <row r="633" spans="1:23" s="609" customFormat="1" ht="18" customHeight="1">
      <c r="A633" s="744" t="s">
        <v>1604</v>
      </c>
      <c r="B633" s="737" t="s">
        <v>710</v>
      </c>
      <c r="C633" s="740"/>
      <c r="D633" s="740"/>
      <c r="E633" s="740"/>
      <c r="F633" s="740"/>
      <c r="G633" s="740"/>
      <c r="H633" s="740"/>
      <c r="I633" s="740"/>
      <c r="J633" s="740"/>
      <c r="K633" s="738">
        <v>1500</v>
      </c>
      <c r="L633" s="740"/>
      <c r="M633" s="740"/>
      <c r="N633" s="740"/>
      <c r="O633" s="740"/>
      <c r="P633" s="740"/>
      <c r="Q633" s="740"/>
      <c r="R633" s="740"/>
      <c r="S633" s="740"/>
      <c r="T633" s="740"/>
      <c r="U633" s="740"/>
      <c r="V633" s="1161">
        <f t="shared" si="24"/>
        <v>1500</v>
      </c>
      <c r="W633" s="536"/>
    </row>
    <row r="634" spans="1:23" s="609" customFormat="1" ht="18" customHeight="1" hidden="1">
      <c r="A634" s="739" t="s">
        <v>1605</v>
      </c>
      <c r="B634" s="737" t="s">
        <v>711</v>
      </c>
      <c r="C634" s="740"/>
      <c r="D634" s="740"/>
      <c r="E634" s="740"/>
      <c r="F634" s="740"/>
      <c r="G634" s="740"/>
      <c r="H634" s="740"/>
      <c r="I634" s="740"/>
      <c r="J634" s="740"/>
      <c r="K634" s="738"/>
      <c r="L634" s="740"/>
      <c r="M634" s="740"/>
      <c r="N634" s="740"/>
      <c r="O634" s="740"/>
      <c r="P634" s="740"/>
      <c r="Q634" s="740"/>
      <c r="R634" s="740"/>
      <c r="S634" s="740"/>
      <c r="T634" s="740"/>
      <c r="U634" s="740"/>
      <c r="V634" s="1161">
        <f t="shared" si="24"/>
        <v>0</v>
      </c>
      <c r="W634" s="536"/>
    </row>
    <row r="635" spans="1:23" s="609" customFormat="1" ht="18" customHeight="1">
      <c r="A635" s="744" t="s">
        <v>1606</v>
      </c>
      <c r="B635" s="737" t="s">
        <v>713</v>
      </c>
      <c r="C635" s="740"/>
      <c r="D635" s="740"/>
      <c r="E635" s="740"/>
      <c r="F635" s="740"/>
      <c r="G635" s="740"/>
      <c r="H635" s="740"/>
      <c r="I635" s="740"/>
      <c r="J635" s="740"/>
      <c r="K635" s="738">
        <v>2000</v>
      </c>
      <c r="L635" s="740"/>
      <c r="M635" s="740"/>
      <c r="N635" s="740"/>
      <c r="O635" s="740"/>
      <c r="P635" s="740"/>
      <c r="Q635" s="740"/>
      <c r="R635" s="740"/>
      <c r="S635" s="740"/>
      <c r="T635" s="740"/>
      <c r="U635" s="740"/>
      <c r="V635" s="1161">
        <f t="shared" si="24"/>
        <v>2000</v>
      </c>
      <c r="W635" s="536"/>
    </row>
    <row r="636" spans="1:23" s="609" customFormat="1" ht="18" customHeight="1">
      <c r="A636" s="735" t="s">
        <v>1607</v>
      </c>
      <c r="B636" s="737" t="s">
        <v>715</v>
      </c>
      <c r="C636" s="738"/>
      <c r="D636" s="738"/>
      <c r="E636" s="738"/>
      <c r="F636" s="738"/>
      <c r="G636" s="738"/>
      <c r="H636" s="738"/>
      <c r="I636" s="738"/>
      <c r="J636" s="738"/>
      <c r="K636" s="738">
        <v>3500</v>
      </c>
      <c r="L636" s="738"/>
      <c r="M636" s="738"/>
      <c r="N636" s="738"/>
      <c r="O636" s="738"/>
      <c r="P636" s="738"/>
      <c r="Q636" s="738"/>
      <c r="R636" s="738"/>
      <c r="S636" s="738"/>
      <c r="T636" s="738"/>
      <c r="U636" s="738"/>
      <c r="V636" s="1161">
        <f t="shared" si="24"/>
        <v>3500</v>
      </c>
      <c r="W636" s="536"/>
    </row>
    <row r="637" spans="1:23" s="609" customFormat="1" ht="18" customHeight="1" hidden="1">
      <c r="A637" s="739" t="s">
        <v>1608</v>
      </c>
      <c r="B637" s="737" t="s">
        <v>716</v>
      </c>
      <c r="C637" s="738"/>
      <c r="D637" s="738"/>
      <c r="E637" s="738"/>
      <c r="F637" s="738"/>
      <c r="G637" s="738"/>
      <c r="H637" s="738"/>
      <c r="I637" s="738"/>
      <c r="J637" s="738"/>
      <c r="K637" s="738"/>
      <c r="L637" s="738"/>
      <c r="M637" s="738"/>
      <c r="N637" s="738"/>
      <c r="O637" s="738"/>
      <c r="P637" s="738"/>
      <c r="Q637" s="738"/>
      <c r="R637" s="738"/>
      <c r="S637" s="738"/>
      <c r="T637" s="738"/>
      <c r="U637" s="738"/>
      <c r="V637" s="1161">
        <f t="shared" si="24"/>
        <v>0</v>
      </c>
      <c r="W637" s="536"/>
    </row>
    <row r="638" spans="1:23" s="609" customFormat="1" ht="18" customHeight="1" hidden="1">
      <c r="A638" s="735" t="s">
        <v>1609</v>
      </c>
      <c r="B638" s="737" t="s">
        <v>717</v>
      </c>
      <c r="C638" s="738"/>
      <c r="D638" s="738"/>
      <c r="E638" s="738"/>
      <c r="F638" s="738"/>
      <c r="G638" s="738"/>
      <c r="H638" s="738"/>
      <c r="I638" s="738"/>
      <c r="J638" s="738"/>
      <c r="K638" s="738"/>
      <c r="L638" s="738"/>
      <c r="M638" s="738"/>
      <c r="N638" s="738"/>
      <c r="O638" s="738"/>
      <c r="P638" s="738"/>
      <c r="Q638" s="738"/>
      <c r="R638" s="738"/>
      <c r="S638" s="738"/>
      <c r="T638" s="738"/>
      <c r="U638" s="738"/>
      <c r="V638" s="1161">
        <f t="shared" si="24"/>
        <v>0</v>
      </c>
      <c r="W638" s="536"/>
    </row>
    <row r="639" spans="1:23" s="609" customFormat="1" ht="18" customHeight="1" hidden="1">
      <c r="A639" s="739" t="s">
        <v>1610</v>
      </c>
      <c r="B639" s="737" t="s">
        <v>718</v>
      </c>
      <c r="C639" s="738"/>
      <c r="D639" s="738"/>
      <c r="E639" s="738"/>
      <c r="F639" s="738"/>
      <c r="G639" s="738"/>
      <c r="H639" s="738"/>
      <c r="I639" s="738"/>
      <c r="J639" s="738"/>
      <c r="K639" s="738"/>
      <c r="L639" s="738"/>
      <c r="M639" s="738"/>
      <c r="N639" s="738"/>
      <c r="O639" s="738"/>
      <c r="P639" s="738"/>
      <c r="Q639" s="738"/>
      <c r="R639" s="738"/>
      <c r="S639" s="738"/>
      <c r="T639" s="738"/>
      <c r="U639" s="738"/>
      <c r="V639" s="1161">
        <f t="shared" si="24"/>
        <v>0</v>
      </c>
      <c r="W639" s="536"/>
    </row>
    <row r="640" spans="1:23" s="609" customFormat="1" ht="18" customHeight="1">
      <c r="A640" s="735" t="s">
        <v>1611</v>
      </c>
      <c r="B640" s="737" t="s">
        <v>719</v>
      </c>
      <c r="C640" s="738"/>
      <c r="D640" s="738"/>
      <c r="E640" s="738"/>
      <c r="F640" s="738"/>
      <c r="G640" s="738"/>
      <c r="H640" s="738"/>
      <c r="I640" s="738"/>
      <c r="J640" s="738"/>
      <c r="K640" s="738">
        <v>2500</v>
      </c>
      <c r="L640" s="738"/>
      <c r="M640" s="738"/>
      <c r="N640" s="738"/>
      <c r="O640" s="738"/>
      <c r="P640" s="738"/>
      <c r="Q640" s="738"/>
      <c r="R640" s="738"/>
      <c r="S640" s="738"/>
      <c r="T640" s="738"/>
      <c r="U640" s="738"/>
      <c r="V640" s="1161">
        <f t="shared" si="24"/>
        <v>2500</v>
      </c>
      <c r="W640" s="536"/>
    </row>
    <row r="641" spans="1:23" s="609" customFormat="1" ht="18" customHeight="1" hidden="1">
      <c r="A641" s="739" t="s">
        <v>1612</v>
      </c>
      <c r="B641" s="737" t="s">
        <v>720</v>
      </c>
      <c r="C641" s="740"/>
      <c r="D641" s="740"/>
      <c r="E641" s="740"/>
      <c r="F641" s="740"/>
      <c r="G641" s="740"/>
      <c r="H641" s="740"/>
      <c r="I641" s="740"/>
      <c r="J641" s="740"/>
      <c r="K641" s="738"/>
      <c r="L641" s="740"/>
      <c r="M641" s="740"/>
      <c r="N641" s="740"/>
      <c r="O641" s="740"/>
      <c r="P641" s="740"/>
      <c r="Q641" s="740"/>
      <c r="R641" s="740"/>
      <c r="S641" s="740"/>
      <c r="T641" s="740"/>
      <c r="U641" s="740"/>
      <c r="V641" s="1161">
        <f t="shared" si="24"/>
        <v>0</v>
      </c>
      <c r="W641" s="536"/>
    </row>
    <row r="642" spans="1:23" s="609" customFormat="1" ht="18" customHeight="1">
      <c r="A642" s="735" t="s">
        <v>1613</v>
      </c>
      <c r="B642" s="737" t="s">
        <v>721</v>
      </c>
      <c r="C642" s="738"/>
      <c r="D642" s="738"/>
      <c r="E642" s="738"/>
      <c r="F642" s="738"/>
      <c r="G642" s="738"/>
      <c r="H642" s="738"/>
      <c r="I642" s="738"/>
      <c r="J642" s="738"/>
      <c r="K642" s="738">
        <v>2000</v>
      </c>
      <c r="L642" s="738"/>
      <c r="M642" s="738"/>
      <c r="N642" s="738"/>
      <c r="O642" s="738"/>
      <c r="P642" s="738"/>
      <c r="Q642" s="738"/>
      <c r="R642" s="738"/>
      <c r="S642" s="738"/>
      <c r="T642" s="738"/>
      <c r="U642" s="738"/>
      <c r="V642" s="1161">
        <f t="shared" si="24"/>
        <v>2000</v>
      </c>
      <c r="W642" s="536"/>
    </row>
    <row r="643" spans="1:23" s="609" customFormat="1" ht="18" customHeight="1" hidden="1">
      <c r="A643" s="739" t="s">
        <v>1614</v>
      </c>
      <c r="B643" s="737" t="s">
        <v>722</v>
      </c>
      <c r="C643" s="740"/>
      <c r="D643" s="740"/>
      <c r="E643" s="740"/>
      <c r="F643" s="740"/>
      <c r="G643" s="740"/>
      <c r="H643" s="740"/>
      <c r="I643" s="740"/>
      <c r="J643" s="740"/>
      <c r="K643" s="738"/>
      <c r="L643" s="740"/>
      <c r="M643" s="740"/>
      <c r="N643" s="740"/>
      <c r="O643" s="740"/>
      <c r="P643" s="740"/>
      <c r="Q643" s="740"/>
      <c r="R643" s="740"/>
      <c r="S643" s="740"/>
      <c r="T643" s="740"/>
      <c r="U643" s="740"/>
      <c r="V643" s="1161">
        <f t="shared" si="24"/>
        <v>0</v>
      </c>
      <c r="W643" s="536"/>
    </row>
    <row r="644" spans="1:23" s="609" customFormat="1" ht="18" customHeight="1" hidden="1">
      <c r="A644" s="735" t="s">
        <v>1615</v>
      </c>
      <c r="B644" s="737" t="s">
        <v>723</v>
      </c>
      <c r="C644" s="738"/>
      <c r="D644" s="738"/>
      <c r="E644" s="738"/>
      <c r="F644" s="738"/>
      <c r="G644" s="738"/>
      <c r="H644" s="738"/>
      <c r="I644" s="738"/>
      <c r="J644" s="738"/>
      <c r="K644" s="738"/>
      <c r="L644" s="738"/>
      <c r="M644" s="738"/>
      <c r="N644" s="738"/>
      <c r="O644" s="738"/>
      <c r="P644" s="738"/>
      <c r="Q644" s="738"/>
      <c r="R644" s="738"/>
      <c r="S644" s="738"/>
      <c r="T644" s="738"/>
      <c r="U644" s="738"/>
      <c r="V644" s="1161">
        <f t="shared" si="24"/>
        <v>0</v>
      </c>
      <c r="W644" s="536"/>
    </row>
    <row r="645" spans="1:23" s="609" customFormat="1" ht="18" customHeight="1">
      <c r="A645" s="739" t="s">
        <v>1616</v>
      </c>
      <c r="B645" s="737" t="s">
        <v>724</v>
      </c>
      <c r="C645" s="740"/>
      <c r="D645" s="740"/>
      <c r="E645" s="740"/>
      <c r="F645" s="740"/>
      <c r="G645" s="740"/>
      <c r="H645" s="740"/>
      <c r="I645" s="740"/>
      <c r="J645" s="740"/>
      <c r="K645" s="738">
        <v>4000</v>
      </c>
      <c r="L645" s="740"/>
      <c r="M645" s="740"/>
      <c r="N645" s="740"/>
      <c r="O645" s="740"/>
      <c r="P645" s="740"/>
      <c r="Q645" s="740"/>
      <c r="R645" s="740"/>
      <c r="S645" s="740"/>
      <c r="T645" s="740"/>
      <c r="U645" s="740"/>
      <c r="V645" s="1161">
        <f t="shared" si="24"/>
        <v>4000</v>
      </c>
      <c r="W645" s="536"/>
    </row>
    <row r="646" spans="1:23" s="609" customFormat="1" ht="18" customHeight="1" hidden="1">
      <c r="A646" s="735" t="s">
        <v>1617</v>
      </c>
      <c r="B646" s="737" t="s">
        <v>725</v>
      </c>
      <c r="C646" s="738"/>
      <c r="D646" s="738"/>
      <c r="E646" s="738"/>
      <c r="F646" s="738"/>
      <c r="G646" s="738"/>
      <c r="H646" s="738"/>
      <c r="I646" s="738"/>
      <c r="J646" s="738"/>
      <c r="K646" s="738"/>
      <c r="L646" s="738"/>
      <c r="M646" s="738"/>
      <c r="N646" s="738"/>
      <c r="O646" s="738"/>
      <c r="P646" s="738"/>
      <c r="Q646" s="738"/>
      <c r="R646" s="738"/>
      <c r="S646" s="738"/>
      <c r="T646" s="738"/>
      <c r="U646" s="738"/>
      <c r="V646" s="1161">
        <f t="shared" si="24"/>
        <v>0</v>
      </c>
      <c r="W646" s="536"/>
    </row>
    <row r="647" spans="1:23" s="609" customFormat="1" ht="18" customHeight="1" hidden="1">
      <c r="A647" s="739" t="s">
        <v>1618</v>
      </c>
      <c r="B647" s="737" t="s">
        <v>726</v>
      </c>
      <c r="C647" s="740"/>
      <c r="D647" s="740"/>
      <c r="E647" s="740"/>
      <c r="F647" s="740"/>
      <c r="G647" s="740"/>
      <c r="H647" s="740"/>
      <c r="I647" s="740"/>
      <c r="J647" s="740"/>
      <c r="K647" s="738"/>
      <c r="L647" s="740"/>
      <c r="M647" s="740"/>
      <c r="N647" s="740"/>
      <c r="O647" s="740"/>
      <c r="P647" s="740"/>
      <c r="Q647" s="740"/>
      <c r="R647" s="740"/>
      <c r="S647" s="740"/>
      <c r="T647" s="740"/>
      <c r="U647" s="740"/>
      <c r="V647" s="1161">
        <f t="shared" si="24"/>
        <v>0</v>
      </c>
      <c r="W647" s="536"/>
    </row>
    <row r="648" spans="1:23" s="609" customFormat="1" ht="18" customHeight="1" hidden="1">
      <c r="A648" s="735" t="s">
        <v>1619</v>
      </c>
      <c r="B648" s="737" t="s">
        <v>727</v>
      </c>
      <c r="C648" s="738"/>
      <c r="D648" s="738"/>
      <c r="E648" s="738"/>
      <c r="F648" s="738"/>
      <c r="G648" s="738"/>
      <c r="H648" s="738"/>
      <c r="I648" s="738"/>
      <c r="J648" s="738"/>
      <c r="K648" s="738"/>
      <c r="L648" s="738"/>
      <c r="M648" s="738"/>
      <c r="N648" s="738"/>
      <c r="O648" s="738"/>
      <c r="P648" s="738"/>
      <c r="Q648" s="738"/>
      <c r="R648" s="738"/>
      <c r="S648" s="738"/>
      <c r="T648" s="738"/>
      <c r="U648" s="738"/>
      <c r="V648" s="1161">
        <f t="shared" si="24"/>
        <v>0</v>
      </c>
      <c r="W648" s="536"/>
    </row>
    <row r="649" spans="1:23" s="609" customFormat="1" ht="18" customHeight="1" hidden="1">
      <c r="A649" s="739" t="s">
        <v>1620</v>
      </c>
      <c r="B649" s="737" t="s">
        <v>744</v>
      </c>
      <c r="C649" s="740"/>
      <c r="D649" s="740"/>
      <c r="E649" s="740"/>
      <c r="F649" s="740"/>
      <c r="G649" s="740"/>
      <c r="H649" s="740"/>
      <c r="I649" s="740"/>
      <c r="J649" s="740"/>
      <c r="K649" s="738"/>
      <c r="L649" s="740"/>
      <c r="M649" s="740"/>
      <c r="N649" s="740"/>
      <c r="O649" s="740"/>
      <c r="P649" s="740"/>
      <c r="Q649" s="740"/>
      <c r="R649" s="740"/>
      <c r="S649" s="740"/>
      <c r="T649" s="740"/>
      <c r="U649" s="740"/>
      <c r="V649" s="1161">
        <f t="shared" si="24"/>
        <v>0</v>
      </c>
      <c r="W649" s="536"/>
    </row>
    <row r="650" spans="1:23" s="609" customFormat="1" ht="18" customHeight="1" hidden="1">
      <c r="A650" s="739" t="s">
        <v>1621</v>
      </c>
      <c r="B650" s="737" t="s">
        <v>748</v>
      </c>
      <c r="C650" s="740"/>
      <c r="D650" s="740"/>
      <c r="E650" s="740"/>
      <c r="F650" s="740"/>
      <c r="G650" s="740"/>
      <c r="H650" s="740"/>
      <c r="I650" s="740"/>
      <c r="J650" s="740"/>
      <c r="K650" s="738"/>
      <c r="L650" s="740"/>
      <c r="M650" s="740"/>
      <c r="N650" s="740"/>
      <c r="O650" s="740"/>
      <c r="P650" s="740"/>
      <c r="Q650" s="740"/>
      <c r="R650" s="740"/>
      <c r="S650" s="740"/>
      <c r="T650" s="740"/>
      <c r="U650" s="740"/>
      <c r="V650" s="1161">
        <f t="shared" si="24"/>
        <v>0</v>
      </c>
      <c r="W650" s="536"/>
    </row>
    <row r="651" spans="1:23" s="609" customFormat="1" ht="18" customHeight="1" hidden="1" thickBot="1">
      <c r="A651" s="735" t="s">
        <v>1622</v>
      </c>
      <c r="B651" s="737" t="s">
        <v>751</v>
      </c>
      <c r="C651" s="738"/>
      <c r="D651" s="738"/>
      <c r="E651" s="738"/>
      <c r="F651" s="738"/>
      <c r="G651" s="738"/>
      <c r="H651" s="738"/>
      <c r="I651" s="738"/>
      <c r="J651" s="738"/>
      <c r="K651" s="738"/>
      <c r="L651" s="738"/>
      <c r="M651" s="738"/>
      <c r="N651" s="738"/>
      <c r="O651" s="738"/>
      <c r="P651" s="738"/>
      <c r="Q651" s="738"/>
      <c r="R651" s="738"/>
      <c r="S651" s="738"/>
      <c r="T651" s="738"/>
      <c r="U651" s="738"/>
      <c r="V651" s="1161">
        <f t="shared" si="24"/>
        <v>0</v>
      </c>
      <c r="W651" s="536"/>
    </row>
    <row r="652" spans="1:23" s="609" customFormat="1" ht="18" customHeight="1">
      <c r="A652" s="745"/>
      <c r="B652" s="737" t="s">
        <v>751</v>
      </c>
      <c r="C652" s="738"/>
      <c r="D652" s="738"/>
      <c r="E652" s="738"/>
      <c r="F652" s="738"/>
      <c r="G652" s="738"/>
      <c r="H652" s="738"/>
      <c r="I652" s="738"/>
      <c r="J652" s="738"/>
      <c r="K652" s="738">
        <v>-656</v>
      </c>
      <c r="L652" s="738"/>
      <c r="M652" s="738"/>
      <c r="N652" s="738"/>
      <c r="O652" s="738"/>
      <c r="P652" s="738"/>
      <c r="Q652" s="738"/>
      <c r="R652" s="738"/>
      <c r="S652" s="738"/>
      <c r="T652" s="738"/>
      <c r="U652" s="738"/>
      <c r="V652" s="1169">
        <f t="shared" si="24"/>
        <v>-656</v>
      </c>
      <c r="W652" s="536"/>
    </row>
    <row r="653" spans="1:23" s="609" customFormat="1" ht="18" customHeight="1">
      <c r="A653" s="739" t="s">
        <v>1623</v>
      </c>
      <c r="B653" s="737" t="s">
        <v>752</v>
      </c>
      <c r="C653" s="740"/>
      <c r="D653" s="740"/>
      <c r="E653" s="740"/>
      <c r="F653" s="740"/>
      <c r="G653" s="740"/>
      <c r="H653" s="740"/>
      <c r="I653" s="740"/>
      <c r="J653" s="740"/>
      <c r="K653" s="738">
        <v>2500</v>
      </c>
      <c r="L653" s="740"/>
      <c r="M653" s="740"/>
      <c r="N653" s="740"/>
      <c r="O653" s="740"/>
      <c r="P653" s="740"/>
      <c r="Q653" s="740"/>
      <c r="R653" s="740"/>
      <c r="S653" s="740"/>
      <c r="T653" s="740"/>
      <c r="U653" s="740"/>
      <c r="V653" s="1169">
        <f t="shared" si="24"/>
        <v>2500</v>
      </c>
      <c r="W653" s="536"/>
    </row>
    <row r="654" spans="1:23" s="609" customFormat="1" ht="18" customHeight="1" hidden="1">
      <c r="A654" s="735" t="s">
        <v>1624</v>
      </c>
      <c r="B654" s="737" t="s">
        <v>1078</v>
      </c>
      <c r="C654" s="740"/>
      <c r="D654" s="740"/>
      <c r="E654" s="740"/>
      <c r="F654" s="740"/>
      <c r="G654" s="740"/>
      <c r="H654" s="740"/>
      <c r="I654" s="740"/>
      <c r="J654" s="740"/>
      <c r="K654" s="738"/>
      <c r="L654" s="740"/>
      <c r="M654" s="740"/>
      <c r="N654" s="740"/>
      <c r="O654" s="740"/>
      <c r="P654" s="740"/>
      <c r="Q654" s="740"/>
      <c r="R654" s="740"/>
      <c r="S654" s="740"/>
      <c r="T654" s="740"/>
      <c r="U654" s="740"/>
      <c r="V654" s="1169">
        <f t="shared" si="24"/>
        <v>0</v>
      </c>
      <c r="W654" s="536"/>
    </row>
    <row r="655" spans="1:23" s="609" customFormat="1" ht="18" customHeight="1" hidden="1">
      <c r="A655" s="735" t="s">
        <v>1625</v>
      </c>
      <c r="B655" s="737" t="s">
        <v>969</v>
      </c>
      <c r="C655" s="738"/>
      <c r="D655" s="738"/>
      <c r="E655" s="738"/>
      <c r="F655" s="738"/>
      <c r="G655" s="738"/>
      <c r="H655" s="738"/>
      <c r="I655" s="738"/>
      <c r="J655" s="738"/>
      <c r="K655" s="738"/>
      <c r="L655" s="738"/>
      <c r="M655" s="738"/>
      <c r="N655" s="738"/>
      <c r="O655" s="738"/>
      <c r="P655" s="738"/>
      <c r="Q655" s="738"/>
      <c r="R655" s="738"/>
      <c r="S655" s="738"/>
      <c r="T655" s="738"/>
      <c r="U655" s="738"/>
      <c r="V655" s="1169">
        <f t="shared" si="24"/>
        <v>0</v>
      </c>
      <c r="W655" s="536"/>
    </row>
    <row r="656" spans="1:23" s="609" customFormat="1" ht="18" customHeight="1" hidden="1">
      <c r="A656" s="735" t="s">
        <v>1626</v>
      </c>
      <c r="B656" s="737" t="s">
        <v>970</v>
      </c>
      <c r="C656" s="738"/>
      <c r="D656" s="738"/>
      <c r="E656" s="738"/>
      <c r="F656" s="738"/>
      <c r="G656" s="738"/>
      <c r="H656" s="738"/>
      <c r="I656" s="738"/>
      <c r="J656" s="738"/>
      <c r="K656" s="738"/>
      <c r="L656" s="738"/>
      <c r="M656" s="738"/>
      <c r="N656" s="738"/>
      <c r="O656" s="738"/>
      <c r="P656" s="738"/>
      <c r="Q656" s="738"/>
      <c r="R656" s="738"/>
      <c r="S656" s="738"/>
      <c r="T656" s="738"/>
      <c r="U656" s="738"/>
      <c r="V656" s="1169">
        <f t="shared" si="24"/>
        <v>0</v>
      </c>
      <c r="W656" s="536"/>
    </row>
    <row r="657" spans="1:23" s="609" customFormat="1" ht="18" customHeight="1" hidden="1">
      <c r="A657" s="735" t="s">
        <v>1627</v>
      </c>
      <c r="B657" s="737" t="s">
        <v>971</v>
      </c>
      <c r="C657" s="740"/>
      <c r="D657" s="740"/>
      <c r="E657" s="740"/>
      <c r="F657" s="740"/>
      <c r="G657" s="740"/>
      <c r="H657" s="740"/>
      <c r="I657" s="740"/>
      <c r="J657" s="740"/>
      <c r="K657" s="738"/>
      <c r="L657" s="740"/>
      <c r="M657" s="740"/>
      <c r="N657" s="740"/>
      <c r="O657" s="740"/>
      <c r="P657" s="740"/>
      <c r="Q657" s="740"/>
      <c r="R657" s="740"/>
      <c r="S657" s="740"/>
      <c r="T657" s="740"/>
      <c r="U657" s="740"/>
      <c r="V657" s="1169">
        <f t="shared" si="24"/>
        <v>0</v>
      </c>
      <c r="W657" s="536"/>
    </row>
    <row r="658" spans="1:23" s="609" customFormat="1" ht="18" customHeight="1" hidden="1">
      <c r="A658" s="735" t="s">
        <v>1628</v>
      </c>
      <c r="B658" s="737" t="s">
        <v>972</v>
      </c>
      <c r="C658" s="738"/>
      <c r="D658" s="738"/>
      <c r="E658" s="738"/>
      <c r="F658" s="738"/>
      <c r="G658" s="738"/>
      <c r="H658" s="738"/>
      <c r="I658" s="738"/>
      <c r="J658" s="738"/>
      <c r="K658" s="738"/>
      <c r="L658" s="738"/>
      <c r="M658" s="738"/>
      <c r="N658" s="738"/>
      <c r="O658" s="738"/>
      <c r="P658" s="738"/>
      <c r="Q658" s="738"/>
      <c r="R658" s="738"/>
      <c r="S658" s="738"/>
      <c r="T658" s="738"/>
      <c r="U658" s="738"/>
      <c r="V658" s="1169">
        <f t="shared" si="24"/>
        <v>0</v>
      </c>
      <c r="W658" s="536"/>
    </row>
    <row r="659" spans="1:23" s="609" customFormat="1" ht="18" customHeight="1" hidden="1">
      <c r="A659" s="739" t="s">
        <v>1629</v>
      </c>
      <c r="B659" s="633" t="s">
        <v>697</v>
      </c>
      <c r="C659" s="740"/>
      <c r="D659" s="740"/>
      <c r="E659" s="740"/>
      <c r="F659" s="740"/>
      <c r="G659" s="740"/>
      <c r="H659" s="740"/>
      <c r="I659" s="740"/>
      <c r="J659" s="740"/>
      <c r="K659" s="738"/>
      <c r="L659" s="740"/>
      <c r="M659" s="740"/>
      <c r="N659" s="740"/>
      <c r="O659" s="740"/>
      <c r="P659" s="740"/>
      <c r="Q659" s="740"/>
      <c r="R659" s="740"/>
      <c r="S659" s="740"/>
      <c r="T659" s="740"/>
      <c r="U659" s="740"/>
      <c r="V659" s="1169">
        <f t="shared" si="24"/>
        <v>0</v>
      </c>
      <c r="W659" s="536"/>
    </row>
    <row r="660" spans="1:23" s="609" customFormat="1" ht="18" customHeight="1" hidden="1">
      <c r="A660" s="735" t="s">
        <v>1630</v>
      </c>
      <c r="B660" s="737" t="s">
        <v>858</v>
      </c>
      <c r="C660" s="738"/>
      <c r="D660" s="738"/>
      <c r="E660" s="738"/>
      <c r="F660" s="738"/>
      <c r="G660" s="738"/>
      <c r="H660" s="738"/>
      <c r="I660" s="738"/>
      <c r="J660" s="738"/>
      <c r="K660" s="738"/>
      <c r="L660" s="738"/>
      <c r="M660" s="738"/>
      <c r="N660" s="738"/>
      <c r="O660" s="738"/>
      <c r="P660" s="738"/>
      <c r="Q660" s="738"/>
      <c r="R660" s="738"/>
      <c r="S660" s="738"/>
      <c r="T660" s="738"/>
      <c r="U660" s="738"/>
      <c r="V660" s="1169">
        <f t="shared" si="24"/>
        <v>0</v>
      </c>
      <c r="W660" s="536"/>
    </row>
    <row r="661" spans="1:23" s="609" customFormat="1" ht="18" customHeight="1" hidden="1">
      <c r="A661" s="739" t="s">
        <v>1631</v>
      </c>
      <c r="B661" s="737" t="s">
        <v>1079</v>
      </c>
      <c r="C661" s="740"/>
      <c r="D661" s="740"/>
      <c r="E661" s="740"/>
      <c r="F661" s="740"/>
      <c r="G661" s="740"/>
      <c r="H661" s="740"/>
      <c r="I661" s="740"/>
      <c r="J661" s="740"/>
      <c r="K661" s="738"/>
      <c r="L661" s="740"/>
      <c r="M661" s="740"/>
      <c r="N661" s="740"/>
      <c r="O661" s="740"/>
      <c r="P661" s="740"/>
      <c r="Q661" s="740"/>
      <c r="R661" s="740"/>
      <c r="S661" s="740"/>
      <c r="T661" s="740"/>
      <c r="U661" s="740"/>
      <c r="V661" s="1169">
        <f t="shared" si="24"/>
        <v>0</v>
      </c>
      <c r="W661" s="536"/>
    </row>
    <row r="662" spans="1:23" s="609" customFormat="1" ht="18" customHeight="1" hidden="1" thickBot="1">
      <c r="A662" s="735" t="s">
        <v>1632</v>
      </c>
      <c r="B662" s="737" t="s">
        <v>702</v>
      </c>
      <c r="C662" s="738"/>
      <c r="D662" s="738"/>
      <c r="E662" s="738"/>
      <c r="F662" s="738"/>
      <c r="G662" s="738"/>
      <c r="H662" s="738"/>
      <c r="I662" s="738"/>
      <c r="J662" s="738"/>
      <c r="K662" s="738"/>
      <c r="L662" s="738"/>
      <c r="M662" s="738"/>
      <c r="N662" s="738"/>
      <c r="O662" s="738"/>
      <c r="P662" s="738"/>
      <c r="Q662" s="738"/>
      <c r="R662" s="738"/>
      <c r="S662" s="738"/>
      <c r="T662" s="738"/>
      <c r="U662" s="738"/>
      <c r="V662" s="1169">
        <f aca="true" t="shared" si="25" ref="V662:V726">SUM(C662:U662)</f>
        <v>0</v>
      </c>
      <c r="W662" s="536"/>
    </row>
    <row r="663" spans="1:23" s="609" customFormat="1" ht="25.5" hidden="1">
      <c r="A663" s="739" t="s">
        <v>1633</v>
      </c>
      <c r="B663" s="746" t="s">
        <v>1080</v>
      </c>
      <c r="C663" s="740"/>
      <c r="D663" s="740"/>
      <c r="E663" s="740"/>
      <c r="F663" s="740"/>
      <c r="G663" s="740"/>
      <c r="H663" s="740"/>
      <c r="I663" s="740"/>
      <c r="J663" s="740"/>
      <c r="K663" s="738"/>
      <c r="L663" s="740"/>
      <c r="M663" s="740"/>
      <c r="N663" s="740"/>
      <c r="O663" s="740"/>
      <c r="P663" s="740"/>
      <c r="Q663" s="740"/>
      <c r="R663" s="740"/>
      <c r="S663" s="740"/>
      <c r="T663" s="740"/>
      <c r="U663" s="740"/>
      <c r="V663" s="1169">
        <f t="shared" si="25"/>
        <v>0</v>
      </c>
      <c r="W663" s="536"/>
    </row>
    <row r="664" spans="1:23" s="609" customFormat="1" ht="25.5" hidden="1">
      <c r="A664" s="735" t="s">
        <v>0</v>
      </c>
      <c r="B664" s="746" t="s">
        <v>1081</v>
      </c>
      <c r="C664" s="738"/>
      <c r="D664" s="738"/>
      <c r="E664" s="738"/>
      <c r="F664" s="738"/>
      <c r="G664" s="738"/>
      <c r="H664" s="738"/>
      <c r="I664" s="738"/>
      <c r="J664" s="738"/>
      <c r="K664" s="738"/>
      <c r="L664" s="738"/>
      <c r="M664" s="738"/>
      <c r="N664" s="738"/>
      <c r="O664" s="738"/>
      <c r="P664" s="738"/>
      <c r="Q664" s="738"/>
      <c r="R664" s="738"/>
      <c r="S664" s="738"/>
      <c r="T664" s="738"/>
      <c r="U664" s="738"/>
      <c r="V664" s="1169">
        <f t="shared" si="25"/>
        <v>0</v>
      </c>
      <c r="W664" s="536"/>
    </row>
    <row r="665" spans="1:23" s="609" customFormat="1" ht="18" customHeight="1" hidden="1">
      <c r="A665" s="747"/>
      <c r="B665" s="748" t="s">
        <v>695</v>
      </c>
      <c r="C665" s="749"/>
      <c r="D665" s="749"/>
      <c r="E665" s="749"/>
      <c r="F665" s="749"/>
      <c r="G665" s="749"/>
      <c r="H665" s="749"/>
      <c r="I665" s="749"/>
      <c r="J665" s="749"/>
      <c r="K665" s="749"/>
      <c r="L665" s="749"/>
      <c r="M665" s="749"/>
      <c r="N665" s="749"/>
      <c r="O665" s="749"/>
      <c r="P665" s="749"/>
      <c r="Q665" s="749"/>
      <c r="R665" s="749"/>
      <c r="S665" s="749"/>
      <c r="T665" s="749"/>
      <c r="U665" s="749"/>
      <c r="V665" s="1169">
        <f t="shared" si="25"/>
        <v>0</v>
      </c>
      <c r="W665" s="536"/>
    </row>
    <row r="666" spans="1:23" s="609" customFormat="1" ht="18" customHeight="1">
      <c r="A666" s="747"/>
      <c r="B666" s="750" t="s">
        <v>858</v>
      </c>
      <c r="C666" s="751"/>
      <c r="D666" s="751"/>
      <c r="E666" s="751"/>
      <c r="F666" s="751"/>
      <c r="G666" s="751"/>
      <c r="H666" s="751"/>
      <c r="I666" s="751"/>
      <c r="J666" s="751"/>
      <c r="K666" s="409">
        <v>-546</v>
      </c>
      <c r="L666" s="751"/>
      <c r="M666" s="751"/>
      <c r="N666" s="751"/>
      <c r="O666" s="751"/>
      <c r="P666" s="751"/>
      <c r="Q666" s="751"/>
      <c r="R666" s="751"/>
      <c r="S666" s="751"/>
      <c r="T666" s="751"/>
      <c r="U666" s="751"/>
      <c r="V666" s="1169">
        <f t="shared" si="25"/>
        <v>-546</v>
      </c>
      <c r="W666" s="536"/>
    </row>
    <row r="667" spans="1:23" s="609" customFormat="1" ht="18.75" customHeight="1">
      <c r="A667" s="752"/>
      <c r="B667" s="1368" t="s">
        <v>554</v>
      </c>
      <c r="C667" s="753">
        <f>SUM(C668:C760)</f>
        <v>0</v>
      </c>
      <c r="D667" s="753">
        <f>SUM(D668:D760)</f>
        <v>0</v>
      </c>
      <c r="E667" s="753">
        <f>SUM(E668:E760)</f>
        <v>0</v>
      </c>
      <c r="F667" s="753"/>
      <c r="G667" s="753"/>
      <c r="H667" s="753"/>
      <c r="I667" s="753"/>
      <c r="J667" s="753">
        <f>SUM(J668:J760)</f>
        <v>0</v>
      </c>
      <c r="K667" s="753">
        <f>SUM(K668:K760)</f>
        <v>90141</v>
      </c>
      <c r="L667" s="753"/>
      <c r="M667" s="753"/>
      <c r="N667" s="753"/>
      <c r="O667" s="753"/>
      <c r="P667" s="753"/>
      <c r="Q667" s="753"/>
      <c r="R667" s="753"/>
      <c r="S667" s="753"/>
      <c r="T667" s="753"/>
      <c r="U667" s="753"/>
      <c r="V667" s="1369">
        <f t="shared" si="25"/>
        <v>90141</v>
      </c>
      <c r="W667" s="536"/>
    </row>
    <row r="668" spans="1:23" s="609" customFormat="1" ht="18" customHeight="1" hidden="1">
      <c r="A668" s="739" t="s">
        <v>1</v>
      </c>
      <c r="B668" s="685" t="s">
        <v>603</v>
      </c>
      <c r="C668" s="736"/>
      <c r="D668" s="736"/>
      <c r="E668" s="736"/>
      <c r="F668" s="736"/>
      <c r="G668" s="736"/>
      <c r="H668" s="736"/>
      <c r="I668" s="736"/>
      <c r="J668" s="736"/>
      <c r="K668" s="551"/>
      <c r="L668" s="736"/>
      <c r="M668" s="736"/>
      <c r="N668" s="736"/>
      <c r="O668" s="736"/>
      <c r="P668" s="736"/>
      <c r="Q668" s="736"/>
      <c r="R668" s="736"/>
      <c r="S668" s="736"/>
      <c r="T668" s="736"/>
      <c r="U668" s="736"/>
      <c r="V668" s="1163">
        <f t="shared" si="25"/>
        <v>0</v>
      </c>
      <c r="W668" s="536"/>
    </row>
    <row r="669" spans="1:23" s="609" customFormat="1" ht="18" customHeight="1" hidden="1">
      <c r="A669" s="754" t="s">
        <v>2</v>
      </c>
      <c r="B669" s="750" t="s">
        <v>604</v>
      </c>
      <c r="C669" s="755"/>
      <c r="D669" s="755"/>
      <c r="E669" s="755"/>
      <c r="F669" s="755"/>
      <c r="G669" s="755"/>
      <c r="H669" s="755"/>
      <c r="I669" s="755"/>
      <c r="J669" s="755"/>
      <c r="K669" s="695"/>
      <c r="L669" s="755"/>
      <c r="M669" s="755"/>
      <c r="N669" s="755"/>
      <c r="O669" s="755"/>
      <c r="P669" s="755"/>
      <c r="Q669" s="755"/>
      <c r="R669" s="755"/>
      <c r="S669" s="755"/>
      <c r="T669" s="755"/>
      <c r="U669" s="755"/>
      <c r="V669" s="1157">
        <f t="shared" si="25"/>
        <v>0</v>
      </c>
      <c r="W669" s="536"/>
    </row>
    <row r="670" spans="1:23" s="609" customFormat="1" ht="18" customHeight="1">
      <c r="A670" s="756" t="s">
        <v>3</v>
      </c>
      <c r="B670" s="741" t="s">
        <v>605</v>
      </c>
      <c r="C670" s="757"/>
      <c r="D670" s="757"/>
      <c r="E670" s="757"/>
      <c r="F670" s="757"/>
      <c r="G670" s="757"/>
      <c r="H670" s="757"/>
      <c r="I670" s="757"/>
      <c r="J670" s="757"/>
      <c r="K670" s="758">
        <v>280</v>
      </c>
      <c r="L670" s="757"/>
      <c r="M670" s="757"/>
      <c r="N670" s="757"/>
      <c r="O670" s="757"/>
      <c r="P670" s="757"/>
      <c r="Q670" s="757"/>
      <c r="R670" s="757"/>
      <c r="S670" s="757"/>
      <c r="T670" s="757"/>
      <c r="U670" s="757"/>
      <c r="V670" s="1168">
        <f t="shared" si="25"/>
        <v>280</v>
      </c>
      <c r="W670" s="536"/>
    </row>
    <row r="671" spans="1:23" s="609" customFormat="1" ht="18" customHeight="1" hidden="1">
      <c r="A671" s="735" t="s">
        <v>4</v>
      </c>
      <c r="B671" s="737" t="s">
        <v>606</v>
      </c>
      <c r="C671" s="743"/>
      <c r="D671" s="743"/>
      <c r="E671" s="743"/>
      <c r="F671" s="743"/>
      <c r="G671" s="743"/>
      <c r="H671" s="743"/>
      <c r="I671" s="743"/>
      <c r="J671" s="743"/>
      <c r="K671" s="555"/>
      <c r="L671" s="743"/>
      <c r="M671" s="743"/>
      <c r="N671" s="743"/>
      <c r="O671" s="743"/>
      <c r="P671" s="743"/>
      <c r="Q671" s="743"/>
      <c r="R671" s="743"/>
      <c r="S671" s="743"/>
      <c r="T671" s="743"/>
      <c r="U671" s="743"/>
      <c r="V671" s="1161">
        <f t="shared" si="25"/>
        <v>0</v>
      </c>
      <c r="W671" s="536"/>
    </row>
    <row r="672" spans="1:23" s="609" customFormat="1" ht="18" customHeight="1">
      <c r="A672" s="739" t="s">
        <v>5</v>
      </c>
      <c r="B672" s="737" t="s">
        <v>607</v>
      </c>
      <c r="C672" s="740"/>
      <c r="D672" s="740"/>
      <c r="E672" s="740"/>
      <c r="F672" s="740"/>
      <c r="G672" s="740"/>
      <c r="H672" s="740"/>
      <c r="I672" s="740"/>
      <c r="J672" s="740"/>
      <c r="K672" s="738">
        <v>1120</v>
      </c>
      <c r="L672" s="740"/>
      <c r="M672" s="740"/>
      <c r="N672" s="740"/>
      <c r="O672" s="740"/>
      <c r="P672" s="740"/>
      <c r="Q672" s="740"/>
      <c r="R672" s="740"/>
      <c r="S672" s="740"/>
      <c r="T672" s="740"/>
      <c r="U672" s="740"/>
      <c r="V672" s="1161">
        <f t="shared" si="25"/>
        <v>1120</v>
      </c>
      <c r="W672" s="536"/>
    </row>
    <row r="673" spans="1:23" s="609" customFormat="1" ht="18" customHeight="1" hidden="1">
      <c r="A673" s="739" t="s">
        <v>6</v>
      </c>
      <c r="B673" s="737" t="s">
        <v>608</v>
      </c>
      <c r="C673" s="738"/>
      <c r="D673" s="738"/>
      <c r="E673" s="738"/>
      <c r="F673" s="738"/>
      <c r="G673" s="738"/>
      <c r="H673" s="738"/>
      <c r="I673" s="738"/>
      <c r="J673" s="738"/>
      <c r="K673" s="738"/>
      <c r="L673" s="738"/>
      <c r="M673" s="738"/>
      <c r="N673" s="738"/>
      <c r="O673" s="738"/>
      <c r="P673" s="738"/>
      <c r="Q673" s="738"/>
      <c r="R673" s="738"/>
      <c r="S673" s="738"/>
      <c r="T673" s="738"/>
      <c r="U673" s="738"/>
      <c r="V673" s="1161">
        <f t="shared" si="25"/>
        <v>0</v>
      </c>
      <c r="W673" s="536"/>
    </row>
    <row r="674" spans="1:23" s="609" customFormat="1" ht="18" customHeight="1" hidden="1">
      <c r="A674" s="739" t="s">
        <v>7</v>
      </c>
      <c r="B674" s="737" t="s">
        <v>609</v>
      </c>
      <c r="C674" s="738"/>
      <c r="D674" s="738"/>
      <c r="E674" s="738"/>
      <c r="F674" s="738"/>
      <c r="G674" s="738"/>
      <c r="H674" s="738"/>
      <c r="I674" s="738"/>
      <c r="J674" s="738"/>
      <c r="K674" s="738"/>
      <c r="L674" s="738"/>
      <c r="M674" s="738"/>
      <c r="N674" s="738"/>
      <c r="O674" s="738"/>
      <c r="P674" s="738"/>
      <c r="Q674" s="738"/>
      <c r="R674" s="738"/>
      <c r="S674" s="738"/>
      <c r="T674" s="738"/>
      <c r="U674" s="738"/>
      <c r="V674" s="1161">
        <f t="shared" si="25"/>
        <v>0</v>
      </c>
      <c r="W674" s="536"/>
    </row>
    <row r="675" spans="1:23" s="609" customFormat="1" ht="18" customHeight="1" hidden="1">
      <c r="A675" s="739" t="s">
        <v>8</v>
      </c>
      <c r="B675" s="737" t="s">
        <v>610</v>
      </c>
      <c r="C675" s="740"/>
      <c r="D675" s="740"/>
      <c r="E675" s="740"/>
      <c r="F675" s="740"/>
      <c r="G675" s="740"/>
      <c r="H675" s="740"/>
      <c r="I675" s="740"/>
      <c r="J675" s="740"/>
      <c r="K675" s="738"/>
      <c r="L675" s="740"/>
      <c r="M675" s="740"/>
      <c r="N675" s="740"/>
      <c r="O675" s="740"/>
      <c r="P675" s="740"/>
      <c r="Q675" s="740"/>
      <c r="R675" s="740"/>
      <c r="S675" s="740"/>
      <c r="T675" s="740"/>
      <c r="U675" s="740"/>
      <c r="V675" s="1161">
        <f t="shared" si="25"/>
        <v>0</v>
      </c>
      <c r="W675" s="536"/>
    </row>
    <row r="676" spans="1:23" s="609" customFormat="1" ht="18" customHeight="1" hidden="1">
      <c r="A676" s="739" t="s">
        <v>9</v>
      </c>
      <c r="B676" s="737" t="s">
        <v>612</v>
      </c>
      <c r="C676" s="740"/>
      <c r="D676" s="740"/>
      <c r="E676" s="740"/>
      <c r="F676" s="740"/>
      <c r="G676" s="740"/>
      <c r="H676" s="740"/>
      <c r="I676" s="740"/>
      <c r="J676" s="740"/>
      <c r="K676" s="738"/>
      <c r="L676" s="740"/>
      <c r="M676" s="740"/>
      <c r="N676" s="740"/>
      <c r="O676" s="740"/>
      <c r="P676" s="740"/>
      <c r="Q676" s="740"/>
      <c r="R676" s="740"/>
      <c r="S676" s="740"/>
      <c r="T676" s="740"/>
      <c r="U676" s="740"/>
      <c r="V676" s="1161">
        <f t="shared" si="25"/>
        <v>0</v>
      </c>
      <c r="W676" s="536"/>
    </row>
    <row r="677" spans="1:23" s="609" customFormat="1" ht="18" customHeight="1">
      <c r="A677" s="739" t="s">
        <v>10</v>
      </c>
      <c r="B677" s="737" t="s">
        <v>613</v>
      </c>
      <c r="C677" s="740"/>
      <c r="D677" s="740"/>
      <c r="E677" s="740"/>
      <c r="F677" s="740"/>
      <c r="G677" s="740"/>
      <c r="H677" s="740"/>
      <c r="I677" s="740"/>
      <c r="J677" s="740"/>
      <c r="K677" s="738">
        <v>1400</v>
      </c>
      <c r="L677" s="740"/>
      <c r="M677" s="740"/>
      <c r="N677" s="740"/>
      <c r="O677" s="740"/>
      <c r="P677" s="740"/>
      <c r="Q677" s="740"/>
      <c r="R677" s="740"/>
      <c r="S677" s="740"/>
      <c r="T677" s="740"/>
      <c r="U677" s="740"/>
      <c r="V677" s="1161">
        <f t="shared" si="25"/>
        <v>1400</v>
      </c>
      <c r="W677" s="536"/>
    </row>
    <row r="678" spans="1:23" s="609" customFormat="1" ht="18" customHeight="1" hidden="1">
      <c r="A678" s="739" t="s">
        <v>11</v>
      </c>
      <c r="B678" s="737" t="s">
        <v>614</v>
      </c>
      <c r="C678" s="738"/>
      <c r="D678" s="738"/>
      <c r="E678" s="738"/>
      <c r="F678" s="738"/>
      <c r="G678" s="738"/>
      <c r="H678" s="738"/>
      <c r="I678" s="738"/>
      <c r="J678" s="738"/>
      <c r="K678" s="738"/>
      <c r="L678" s="738"/>
      <c r="M678" s="738"/>
      <c r="N678" s="738"/>
      <c r="O678" s="738"/>
      <c r="P678" s="738"/>
      <c r="Q678" s="738"/>
      <c r="R678" s="738"/>
      <c r="S678" s="738"/>
      <c r="T678" s="738"/>
      <c r="U678" s="738"/>
      <c r="V678" s="1161">
        <f t="shared" si="25"/>
        <v>0</v>
      </c>
      <c r="W678" s="536"/>
    </row>
    <row r="679" spans="1:23" s="609" customFormat="1" ht="18" customHeight="1" hidden="1">
      <c r="A679" s="739" t="s">
        <v>12</v>
      </c>
      <c r="B679" s="737" t="s">
        <v>615</v>
      </c>
      <c r="C679" s="740"/>
      <c r="D679" s="740"/>
      <c r="E679" s="740"/>
      <c r="F679" s="740"/>
      <c r="G679" s="740"/>
      <c r="H679" s="740"/>
      <c r="I679" s="740"/>
      <c r="J679" s="740"/>
      <c r="K679" s="738"/>
      <c r="L679" s="740"/>
      <c r="M679" s="740"/>
      <c r="N679" s="740"/>
      <c r="O679" s="740"/>
      <c r="P679" s="740"/>
      <c r="Q679" s="740"/>
      <c r="R679" s="740"/>
      <c r="S679" s="740"/>
      <c r="T679" s="740"/>
      <c r="U679" s="740"/>
      <c r="V679" s="1161">
        <f t="shared" si="25"/>
        <v>0</v>
      </c>
      <c r="W679" s="536"/>
    </row>
    <row r="680" spans="1:23" s="609" customFormat="1" ht="18" customHeight="1" hidden="1">
      <c r="A680" s="739" t="s">
        <v>13</v>
      </c>
      <c r="B680" s="737" t="s">
        <v>617</v>
      </c>
      <c r="C680" s="740"/>
      <c r="D680" s="740"/>
      <c r="E680" s="740"/>
      <c r="F680" s="740"/>
      <c r="G680" s="740"/>
      <c r="H680" s="740"/>
      <c r="I680" s="740"/>
      <c r="J680" s="740"/>
      <c r="K680" s="738"/>
      <c r="L680" s="740"/>
      <c r="M680" s="740"/>
      <c r="N680" s="740"/>
      <c r="O680" s="740"/>
      <c r="P680" s="740"/>
      <c r="Q680" s="740"/>
      <c r="R680" s="740"/>
      <c r="S680" s="740"/>
      <c r="T680" s="740"/>
      <c r="U680" s="740"/>
      <c r="V680" s="1161">
        <f t="shared" si="25"/>
        <v>0</v>
      </c>
      <c r="W680" s="536"/>
    </row>
    <row r="681" spans="1:23" s="609" customFormat="1" ht="18" customHeight="1">
      <c r="A681" s="739" t="s">
        <v>14</v>
      </c>
      <c r="B681" s="737" t="s">
        <v>618</v>
      </c>
      <c r="C681" s="740"/>
      <c r="D681" s="740"/>
      <c r="E681" s="740"/>
      <c r="F681" s="740"/>
      <c r="G681" s="740"/>
      <c r="H681" s="740"/>
      <c r="I681" s="740"/>
      <c r="J681" s="740"/>
      <c r="K681" s="738">
        <v>840</v>
      </c>
      <c r="L681" s="740"/>
      <c r="M681" s="740"/>
      <c r="N681" s="740"/>
      <c r="O681" s="740"/>
      <c r="P681" s="740"/>
      <c r="Q681" s="740"/>
      <c r="R681" s="740"/>
      <c r="S681" s="740"/>
      <c r="T681" s="740"/>
      <c r="U681" s="740"/>
      <c r="V681" s="1161">
        <f t="shared" si="25"/>
        <v>840</v>
      </c>
      <c r="W681" s="536"/>
    </row>
    <row r="682" spans="1:23" s="609" customFormat="1" ht="18" customHeight="1">
      <c r="A682" s="739" t="s">
        <v>15</v>
      </c>
      <c r="B682" s="737" t="s">
        <v>648</v>
      </c>
      <c r="C682" s="738"/>
      <c r="D682" s="738"/>
      <c r="E682" s="738"/>
      <c r="F682" s="738"/>
      <c r="G682" s="738"/>
      <c r="H682" s="738"/>
      <c r="I682" s="738"/>
      <c r="J682" s="738"/>
      <c r="K682" s="738">
        <v>280</v>
      </c>
      <c r="L682" s="738"/>
      <c r="M682" s="738"/>
      <c r="N682" s="738"/>
      <c r="O682" s="738"/>
      <c r="P682" s="738"/>
      <c r="Q682" s="738"/>
      <c r="R682" s="738"/>
      <c r="S682" s="738"/>
      <c r="T682" s="738"/>
      <c r="U682" s="738"/>
      <c r="V682" s="1161">
        <f t="shared" si="25"/>
        <v>280</v>
      </c>
      <c r="W682" s="536"/>
    </row>
    <row r="683" spans="1:23" s="609" customFormat="1" ht="18" customHeight="1">
      <c r="A683" s="739" t="s">
        <v>16</v>
      </c>
      <c r="B683" s="737" t="s">
        <v>650</v>
      </c>
      <c r="C683" s="738"/>
      <c r="D683" s="738"/>
      <c r="E683" s="738"/>
      <c r="F683" s="738"/>
      <c r="G683" s="738"/>
      <c r="H683" s="738"/>
      <c r="I683" s="738"/>
      <c r="J683" s="738"/>
      <c r="K683" s="738">
        <v>280</v>
      </c>
      <c r="L683" s="738"/>
      <c r="M683" s="738"/>
      <c r="N683" s="738"/>
      <c r="O683" s="738"/>
      <c r="P683" s="738"/>
      <c r="Q683" s="738"/>
      <c r="R683" s="738"/>
      <c r="S683" s="738"/>
      <c r="T683" s="738"/>
      <c r="U683" s="738"/>
      <c r="V683" s="1161">
        <f t="shared" si="25"/>
        <v>280</v>
      </c>
      <c r="W683" s="536"/>
    </row>
    <row r="684" spans="1:23" s="609" customFormat="1" ht="18" customHeight="1">
      <c r="A684" s="739" t="s">
        <v>17</v>
      </c>
      <c r="B684" s="737" t="s">
        <v>651</v>
      </c>
      <c r="C684" s="740"/>
      <c r="D684" s="740"/>
      <c r="E684" s="740"/>
      <c r="F684" s="740"/>
      <c r="G684" s="740"/>
      <c r="H684" s="740"/>
      <c r="I684" s="740"/>
      <c r="J684" s="740"/>
      <c r="K684" s="738">
        <v>280</v>
      </c>
      <c r="L684" s="740"/>
      <c r="M684" s="740"/>
      <c r="N684" s="740"/>
      <c r="O684" s="740"/>
      <c r="P684" s="740"/>
      <c r="Q684" s="740"/>
      <c r="R684" s="740"/>
      <c r="S684" s="740"/>
      <c r="T684" s="740"/>
      <c r="U684" s="740"/>
      <c r="V684" s="1161">
        <f t="shared" si="25"/>
        <v>280</v>
      </c>
      <c r="W684" s="536"/>
    </row>
    <row r="685" spans="1:23" s="609" customFormat="1" ht="18" customHeight="1">
      <c r="A685" s="739" t="s">
        <v>18</v>
      </c>
      <c r="B685" s="737" t="s">
        <v>652</v>
      </c>
      <c r="C685" s="738"/>
      <c r="D685" s="738"/>
      <c r="E685" s="738"/>
      <c r="F685" s="738"/>
      <c r="G685" s="738"/>
      <c r="H685" s="738"/>
      <c r="I685" s="738"/>
      <c r="J685" s="738"/>
      <c r="K685" s="738">
        <v>1400</v>
      </c>
      <c r="L685" s="738"/>
      <c r="M685" s="738"/>
      <c r="N685" s="738"/>
      <c r="O685" s="738"/>
      <c r="P685" s="738"/>
      <c r="Q685" s="738"/>
      <c r="R685" s="738"/>
      <c r="S685" s="738"/>
      <c r="T685" s="738"/>
      <c r="U685" s="738"/>
      <c r="V685" s="1161">
        <f t="shared" si="25"/>
        <v>1400</v>
      </c>
      <c r="W685" s="536"/>
    </row>
    <row r="686" spans="1:23" s="609" customFormat="1" ht="18" customHeight="1">
      <c r="A686" s="739" t="s">
        <v>19</v>
      </c>
      <c r="B686" s="737" t="s">
        <v>653</v>
      </c>
      <c r="C686" s="740"/>
      <c r="D686" s="740"/>
      <c r="E686" s="740"/>
      <c r="F686" s="740"/>
      <c r="G686" s="740"/>
      <c r="H686" s="740"/>
      <c r="I686" s="740"/>
      <c r="J686" s="740"/>
      <c r="K686" s="738">
        <v>560</v>
      </c>
      <c r="L686" s="740"/>
      <c r="M686" s="740"/>
      <c r="N686" s="740"/>
      <c r="O686" s="740"/>
      <c r="P686" s="740"/>
      <c r="Q686" s="740"/>
      <c r="R686" s="740"/>
      <c r="S686" s="740"/>
      <c r="T686" s="740"/>
      <c r="U686" s="740"/>
      <c r="V686" s="1161">
        <f t="shared" si="25"/>
        <v>560</v>
      </c>
      <c r="W686" s="536"/>
    </row>
    <row r="687" spans="1:23" s="609" customFormat="1" ht="18" customHeight="1">
      <c r="A687" s="739" t="s">
        <v>20</v>
      </c>
      <c r="B687" s="737" t="s">
        <v>654</v>
      </c>
      <c r="C687" s="738"/>
      <c r="D687" s="738"/>
      <c r="E687" s="738"/>
      <c r="F687" s="738"/>
      <c r="G687" s="738"/>
      <c r="H687" s="738"/>
      <c r="I687" s="738"/>
      <c r="J687" s="738"/>
      <c r="K687" s="738">
        <v>1400</v>
      </c>
      <c r="L687" s="738"/>
      <c r="M687" s="738"/>
      <c r="N687" s="738"/>
      <c r="O687" s="738"/>
      <c r="P687" s="738"/>
      <c r="Q687" s="738"/>
      <c r="R687" s="738"/>
      <c r="S687" s="738"/>
      <c r="T687" s="738"/>
      <c r="U687" s="738"/>
      <c r="V687" s="1161">
        <f t="shared" si="25"/>
        <v>1400</v>
      </c>
      <c r="W687" s="536"/>
    </row>
    <row r="688" spans="1:23" s="609" customFormat="1" ht="18" customHeight="1" hidden="1">
      <c r="A688" s="739" t="s">
        <v>21</v>
      </c>
      <c r="B688" s="737" t="s">
        <v>655</v>
      </c>
      <c r="C688" s="740"/>
      <c r="D688" s="740"/>
      <c r="E688" s="740"/>
      <c r="F688" s="740"/>
      <c r="G688" s="740"/>
      <c r="H688" s="740"/>
      <c r="I688" s="740"/>
      <c r="J688" s="740"/>
      <c r="K688" s="738"/>
      <c r="L688" s="740"/>
      <c r="M688" s="740"/>
      <c r="N688" s="740"/>
      <c r="O688" s="740"/>
      <c r="P688" s="740"/>
      <c r="Q688" s="740"/>
      <c r="R688" s="740"/>
      <c r="S688" s="740"/>
      <c r="T688" s="740"/>
      <c r="U688" s="740"/>
      <c r="V688" s="1161">
        <f t="shared" si="25"/>
        <v>0</v>
      </c>
      <c r="W688" s="536"/>
    </row>
    <row r="689" spans="1:23" s="609" customFormat="1" ht="18" customHeight="1">
      <c r="A689" s="739" t="s">
        <v>22</v>
      </c>
      <c r="B689" s="737" t="s">
        <v>656</v>
      </c>
      <c r="C689" s="738"/>
      <c r="D689" s="738"/>
      <c r="E689" s="738"/>
      <c r="F689" s="738"/>
      <c r="G689" s="738"/>
      <c r="H689" s="738"/>
      <c r="I689" s="738"/>
      <c r="J689" s="738"/>
      <c r="K689" s="738">
        <v>560</v>
      </c>
      <c r="L689" s="738"/>
      <c r="M689" s="738"/>
      <c r="N689" s="738"/>
      <c r="O689" s="738"/>
      <c r="P689" s="738"/>
      <c r="Q689" s="738"/>
      <c r="R689" s="738"/>
      <c r="S689" s="738"/>
      <c r="T689" s="738"/>
      <c r="U689" s="738"/>
      <c r="V689" s="1161">
        <f t="shared" si="25"/>
        <v>560</v>
      </c>
      <c r="W689" s="536"/>
    </row>
    <row r="690" spans="1:23" s="609" customFormat="1" ht="18" customHeight="1" hidden="1">
      <c r="A690" s="739" t="s">
        <v>23</v>
      </c>
      <c r="B690" s="737" t="s">
        <v>657</v>
      </c>
      <c r="C690" s="740"/>
      <c r="D690" s="740"/>
      <c r="E690" s="740"/>
      <c r="F690" s="740"/>
      <c r="G690" s="740"/>
      <c r="H690" s="740"/>
      <c r="I690" s="740"/>
      <c r="J690" s="740"/>
      <c r="K690" s="738"/>
      <c r="L690" s="740"/>
      <c r="M690" s="740"/>
      <c r="N690" s="740"/>
      <c r="O690" s="740"/>
      <c r="P690" s="740"/>
      <c r="Q690" s="740"/>
      <c r="R690" s="740"/>
      <c r="S690" s="740"/>
      <c r="T690" s="740"/>
      <c r="U690" s="740"/>
      <c r="V690" s="1161">
        <f t="shared" si="25"/>
        <v>0</v>
      </c>
      <c r="W690" s="536"/>
    </row>
    <row r="691" spans="1:23" s="609" customFormat="1" ht="18" customHeight="1">
      <c r="A691" s="739" t="s">
        <v>24</v>
      </c>
      <c r="B691" s="737" t="s">
        <v>658</v>
      </c>
      <c r="C691" s="738"/>
      <c r="D691" s="738"/>
      <c r="E691" s="738"/>
      <c r="F691" s="738"/>
      <c r="G691" s="738"/>
      <c r="H691" s="738"/>
      <c r="I691" s="738"/>
      <c r="J691" s="738"/>
      <c r="K691" s="738">
        <v>2520</v>
      </c>
      <c r="L691" s="738"/>
      <c r="M691" s="738"/>
      <c r="N691" s="738"/>
      <c r="O691" s="738"/>
      <c r="P691" s="738"/>
      <c r="Q691" s="738"/>
      <c r="R691" s="738"/>
      <c r="S691" s="738"/>
      <c r="T691" s="738"/>
      <c r="U691" s="738"/>
      <c r="V691" s="1161">
        <f t="shared" si="25"/>
        <v>2520</v>
      </c>
      <c r="W691" s="536"/>
    </row>
    <row r="692" spans="1:23" s="609" customFormat="1" ht="18" customHeight="1" hidden="1">
      <c r="A692" s="739" t="s">
        <v>25</v>
      </c>
      <c r="B692" s="737" t="s">
        <v>659</v>
      </c>
      <c r="C692" s="743"/>
      <c r="D692" s="743"/>
      <c r="E692" s="743"/>
      <c r="F692" s="743"/>
      <c r="G692" s="743"/>
      <c r="H692" s="743"/>
      <c r="I692" s="743"/>
      <c r="J692" s="743"/>
      <c r="K692" s="555"/>
      <c r="L692" s="743"/>
      <c r="M692" s="743"/>
      <c r="N692" s="743"/>
      <c r="O692" s="743"/>
      <c r="P692" s="743"/>
      <c r="Q692" s="743"/>
      <c r="R692" s="743"/>
      <c r="S692" s="743"/>
      <c r="T692" s="743"/>
      <c r="U692" s="743"/>
      <c r="V692" s="1161">
        <f t="shared" si="25"/>
        <v>0</v>
      </c>
      <c r="W692" s="536"/>
    </row>
    <row r="693" spans="1:23" s="609" customFormat="1" ht="18" customHeight="1">
      <c r="A693" s="739" t="s">
        <v>26</v>
      </c>
      <c r="B693" s="737" t="s">
        <v>660</v>
      </c>
      <c r="C693" s="738"/>
      <c r="D693" s="738"/>
      <c r="E693" s="738"/>
      <c r="F693" s="738"/>
      <c r="G693" s="738"/>
      <c r="H693" s="738"/>
      <c r="I693" s="738"/>
      <c r="J693" s="738"/>
      <c r="K693" s="738">
        <v>560</v>
      </c>
      <c r="L693" s="738"/>
      <c r="M693" s="738"/>
      <c r="N693" s="738"/>
      <c r="O693" s="738"/>
      <c r="P693" s="738"/>
      <c r="Q693" s="738"/>
      <c r="R693" s="738"/>
      <c r="S693" s="738"/>
      <c r="T693" s="738"/>
      <c r="U693" s="738"/>
      <c r="V693" s="1161">
        <f t="shared" si="25"/>
        <v>560</v>
      </c>
      <c r="W693" s="536"/>
    </row>
    <row r="694" spans="1:23" s="609" customFormat="1" ht="18" customHeight="1" hidden="1">
      <c r="A694" s="739" t="s">
        <v>27</v>
      </c>
      <c r="B694" s="737" t="s">
        <v>661</v>
      </c>
      <c r="C694" s="740"/>
      <c r="D694" s="740"/>
      <c r="E694" s="740"/>
      <c r="F694" s="740"/>
      <c r="G694" s="740"/>
      <c r="H694" s="740"/>
      <c r="I694" s="740"/>
      <c r="J694" s="740"/>
      <c r="K694" s="738"/>
      <c r="L694" s="740"/>
      <c r="M694" s="740"/>
      <c r="N694" s="740"/>
      <c r="O694" s="740"/>
      <c r="P694" s="740"/>
      <c r="Q694" s="740"/>
      <c r="R694" s="740"/>
      <c r="S694" s="740"/>
      <c r="T694" s="740"/>
      <c r="U694" s="740"/>
      <c r="V694" s="1161">
        <f t="shared" si="25"/>
        <v>0</v>
      </c>
      <c r="W694" s="536"/>
    </row>
    <row r="695" spans="1:23" s="609" customFormat="1" ht="18" customHeight="1" hidden="1">
      <c r="A695" s="739" t="s">
        <v>28</v>
      </c>
      <c r="B695" s="737" t="s">
        <v>662</v>
      </c>
      <c r="C695" s="738"/>
      <c r="D695" s="738"/>
      <c r="E695" s="738"/>
      <c r="F695" s="738"/>
      <c r="G695" s="738"/>
      <c r="H695" s="738"/>
      <c r="I695" s="738"/>
      <c r="J695" s="738"/>
      <c r="K695" s="738"/>
      <c r="L695" s="738"/>
      <c r="M695" s="738"/>
      <c r="N695" s="738"/>
      <c r="O695" s="738"/>
      <c r="P695" s="738"/>
      <c r="Q695" s="738"/>
      <c r="R695" s="738"/>
      <c r="S695" s="738"/>
      <c r="T695" s="738"/>
      <c r="U695" s="738"/>
      <c r="V695" s="1161">
        <f t="shared" si="25"/>
        <v>0</v>
      </c>
      <c r="W695" s="536"/>
    </row>
    <row r="696" spans="1:23" s="609" customFormat="1" ht="18" customHeight="1" hidden="1">
      <c r="A696" s="739" t="s">
        <v>29</v>
      </c>
      <c r="B696" s="737" t="s">
        <v>663</v>
      </c>
      <c r="C696" s="740"/>
      <c r="D696" s="740"/>
      <c r="E696" s="740"/>
      <c r="F696" s="740"/>
      <c r="G696" s="740"/>
      <c r="H696" s="740"/>
      <c r="I696" s="740"/>
      <c r="J696" s="740"/>
      <c r="K696" s="738"/>
      <c r="L696" s="740"/>
      <c r="M696" s="740"/>
      <c r="N696" s="740"/>
      <c r="O696" s="740"/>
      <c r="P696" s="740"/>
      <c r="Q696" s="740"/>
      <c r="R696" s="740"/>
      <c r="S696" s="740"/>
      <c r="T696" s="740"/>
      <c r="U696" s="740"/>
      <c r="V696" s="1161">
        <f t="shared" si="25"/>
        <v>0</v>
      </c>
      <c r="W696" s="536"/>
    </row>
    <row r="697" spans="1:23" s="609" customFormat="1" ht="18" customHeight="1">
      <c r="A697" s="739" t="s">
        <v>30</v>
      </c>
      <c r="B697" s="737" t="s">
        <v>669</v>
      </c>
      <c r="C697" s="738"/>
      <c r="D697" s="738"/>
      <c r="E697" s="738"/>
      <c r="F697" s="738"/>
      <c r="G697" s="738"/>
      <c r="H697" s="738"/>
      <c r="I697" s="738"/>
      <c r="J697" s="738"/>
      <c r="K697" s="738">
        <v>560</v>
      </c>
      <c r="L697" s="738"/>
      <c r="M697" s="738"/>
      <c r="N697" s="738"/>
      <c r="O697" s="738"/>
      <c r="P697" s="738"/>
      <c r="Q697" s="738"/>
      <c r="R697" s="738"/>
      <c r="S697" s="738"/>
      <c r="T697" s="738"/>
      <c r="U697" s="738"/>
      <c r="V697" s="1161">
        <f t="shared" si="25"/>
        <v>560</v>
      </c>
      <c r="W697" s="536"/>
    </row>
    <row r="698" spans="1:23" s="609" customFormat="1" ht="18" customHeight="1">
      <c r="A698" s="739" t="s">
        <v>31</v>
      </c>
      <c r="B698" s="737" t="s">
        <v>670</v>
      </c>
      <c r="C698" s="743"/>
      <c r="D698" s="743"/>
      <c r="E698" s="743"/>
      <c r="F698" s="743"/>
      <c r="G698" s="743"/>
      <c r="H698" s="743"/>
      <c r="I698" s="743"/>
      <c r="J698" s="743"/>
      <c r="K698" s="555">
        <v>280</v>
      </c>
      <c r="L698" s="743"/>
      <c r="M698" s="743"/>
      <c r="N698" s="743"/>
      <c r="O698" s="743"/>
      <c r="P698" s="743"/>
      <c r="Q698" s="743"/>
      <c r="R698" s="743"/>
      <c r="S698" s="743"/>
      <c r="T698" s="743"/>
      <c r="U698" s="743"/>
      <c r="V698" s="1161">
        <f t="shared" si="25"/>
        <v>280</v>
      </c>
      <c r="W698" s="536"/>
    </row>
    <row r="699" spans="1:23" s="609" customFormat="1" ht="18" customHeight="1">
      <c r="A699" s="739" t="s">
        <v>32</v>
      </c>
      <c r="B699" s="737" t="s">
        <v>671</v>
      </c>
      <c r="C699" s="738"/>
      <c r="D699" s="738"/>
      <c r="E699" s="738"/>
      <c r="F699" s="738"/>
      <c r="G699" s="738"/>
      <c r="H699" s="738"/>
      <c r="I699" s="738"/>
      <c r="J699" s="738"/>
      <c r="K699" s="738">
        <v>1680</v>
      </c>
      <c r="L699" s="738"/>
      <c r="M699" s="738"/>
      <c r="N699" s="738"/>
      <c r="O699" s="738"/>
      <c r="P699" s="738"/>
      <c r="Q699" s="738"/>
      <c r="R699" s="738"/>
      <c r="S699" s="738"/>
      <c r="T699" s="738"/>
      <c r="U699" s="738"/>
      <c r="V699" s="1161">
        <f t="shared" si="25"/>
        <v>1680</v>
      </c>
      <c r="W699" s="536"/>
    </row>
    <row r="700" spans="1:23" s="609" customFormat="1" ht="18" customHeight="1" hidden="1">
      <c r="A700" s="739" t="s">
        <v>33</v>
      </c>
      <c r="B700" s="737" t="s">
        <v>672</v>
      </c>
      <c r="C700" s="738"/>
      <c r="D700" s="738"/>
      <c r="E700" s="738"/>
      <c r="F700" s="738"/>
      <c r="G700" s="738"/>
      <c r="H700" s="738"/>
      <c r="I700" s="738"/>
      <c r="J700" s="738"/>
      <c r="K700" s="738"/>
      <c r="L700" s="738"/>
      <c r="M700" s="738"/>
      <c r="N700" s="738"/>
      <c r="O700" s="738"/>
      <c r="P700" s="738"/>
      <c r="Q700" s="738"/>
      <c r="R700" s="738"/>
      <c r="S700" s="738"/>
      <c r="T700" s="738"/>
      <c r="U700" s="738"/>
      <c r="V700" s="1161">
        <f t="shared" si="25"/>
        <v>0</v>
      </c>
      <c r="W700" s="536"/>
    </row>
    <row r="701" spans="1:23" s="609" customFormat="1" ht="18" customHeight="1">
      <c r="A701" s="739" t="s">
        <v>34</v>
      </c>
      <c r="B701" s="737" t="s">
        <v>673</v>
      </c>
      <c r="C701" s="738"/>
      <c r="D701" s="738"/>
      <c r="E701" s="738"/>
      <c r="F701" s="738"/>
      <c r="G701" s="738"/>
      <c r="H701" s="738"/>
      <c r="I701" s="738"/>
      <c r="J701" s="738"/>
      <c r="K701" s="738">
        <v>1960</v>
      </c>
      <c r="L701" s="738"/>
      <c r="M701" s="738"/>
      <c r="N701" s="738"/>
      <c r="O701" s="738"/>
      <c r="P701" s="738"/>
      <c r="Q701" s="738"/>
      <c r="R701" s="738"/>
      <c r="S701" s="738"/>
      <c r="T701" s="738"/>
      <c r="U701" s="738"/>
      <c r="V701" s="1161">
        <f t="shared" si="25"/>
        <v>1960</v>
      </c>
      <c r="W701" s="536"/>
    </row>
    <row r="702" spans="1:23" s="609" customFormat="1" ht="18" customHeight="1">
      <c r="A702" s="739" t="s">
        <v>35</v>
      </c>
      <c r="B702" s="737" t="s">
        <v>675</v>
      </c>
      <c r="C702" s="740"/>
      <c r="D702" s="740"/>
      <c r="E702" s="740"/>
      <c r="F702" s="740"/>
      <c r="G702" s="740"/>
      <c r="H702" s="740"/>
      <c r="I702" s="740"/>
      <c r="J702" s="740"/>
      <c r="K702" s="738">
        <v>560</v>
      </c>
      <c r="L702" s="740"/>
      <c r="M702" s="740"/>
      <c r="N702" s="740"/>
      <c r="O702" s="740"/>
      <c r="P702" s="740"/>
      <c r="Q702" s="740"/>
      <c r="R702" s="740"/>
      <c r="S702" s="740"/>
      <c r="T702" s="740"/>
      <c r="U702" s="740"/>
      <c r="V702" s="1161">
        <f t="shared" si="25"/>
        <v>560</v>
      </c>
      <c r="W702" s="536"/>
    </row>
    <row r="703" spans="1:23" s="609" customFormat="1" ht="18" customHeight="1" hidden="1">
      <c r="A703" s="739" t="s">
        <v>36</v>
      </c>
      <c r="B703" s="737" t="s">
        <v>676</v>
      </c>
      <c r="C703" s="738"/>
      <c r="D703" s="738"/>
      <c r="E703" s="738"/>
      <c r="F703" s="738"/>
      <c r="G703" s="738"/>
      <c r="H703" s="738"/>
      <c r="I703" s="738"/>
      <c r="J703" s="738"/>
      <c r="K703" s="738"/>
      <c r="L703" s="738"/>
      <c r="M703" s="738"/>
      <c r="N703" s="738"/>
      <c r="O703" s="738"/>
      <c r="P703" s="738"/>
      <c r="Q703" s="738"/>
      <c r="R703" s="738"/>
      <c r="S703" s="738"/>
      <c r="T703" s="738"/>
      <c r="U703" s="738"/>
      <c r="V703" s="1161">
        <f t="shared" si="25"/>
        <v>0</v>
      </c>
      <c r="W703" s="536"/>
    </row>
    <row r="704" spans="1:23" s="609" customFormat="1" ht="18" customHeight="1" hidden="1">
      <c r="A704" s="739" t="s">
        <v>37</v>
      </c>
      <c r="B704" s="737" t="s">
        <v>677</v>
      </c>
      <c r="C704" s="740"/>
      <c r="D704" s="740"/>
      <c r="E704" s="740"/>
      <c r="F704" s="740"/>
      <c r="G704" s="740"/>
      <c r="H704" s="740"/>
      <c r="I704" s="740"/>
      <c r="J704" s="740"/>
      <c r="K704" s="738"/>
      <c r="L704" s="740"/>
      <c r="M704" s="740"/>
      <c r="N704" s="740"/>
      <c r="O704" s="740"/>
      <c r="P704" s="740"/>
      <c r="Q704" s="740"/>
      <c r="R704" s="740"/>
      <c r="S704" s="740"/>
      <c r="T704" s="740"/>
      <c r="U704" s="740"/>
      <c r="V704" s="1161">
        <f t="shared" si="25"/>
        <v>0</v>
      </c>
      <c r="W704" s="536"/>
    </row>
    <row r="705" spans="1:23" s="609" customFormat="1" ht="18" customHeight="1" hidden="1">
      <c r="A705" s="739" t="s">
        <v>38</v>
      </c>
      <c r="B705" s="737" t="s">
        <v>678</v>
      </c>
      <c r="C705" s="740"/>
      <c r="D705" s="740"/>
      <c r="E705" s="740"/>
      <c r="F705" s="740"/>
      <c r="G705" s="740"/>
      <c r="H705" s="740"/>
      <c r="I705" s="740"/>
      <c r="J705" s="740"/>
      <c r="K705" s="738"/>
      <c r="L705" s="740"/>
      <c r="M705" s="740"/>
      <c r="N705" s="740"/>
      <c r="O705" s="740"/>
      <c r="P705" s="740"/>
      <c r="Q705" s="740"/>
      <c r="R705" s="740"/>
      <c r="S705" s="740"/>
      <c r="T705" s="740"/>
      <c r="U705" s="740"/>
      <c r="V705" s="1161">
        <f t="shared" si="25"/>
        <v>0</v>
      </c>
      <c r="W705" s="536"/>
    </row>
    <row r="706" spans="1:23" s="609" customFormat="1" ht="18" customHeight="1">
      <c r="A706" s="739" t="s">
        <v>39</v>
      </c>
      <c r="B706" s="737" t="s">
        <v>679</v>
      </c>
      <c r="C706" s="740"/>
      <c r="D706" s="740"/>
      <c r="E706" s="740"/>
      <c r="F706" s="740"/>
      <c r="G706" s="740"/>
      <c r="H706" s="740"/>
      <c r="I706" s="740"/>
      <c r="J706" s="740"/>
      <c r="K706" s="738">
        <v>280</v>
      </c>
      <c r="L706" s="740"/>
      <c r="M706" s="740"/>
      <c r="N706" s="740"/>
      <c r="O706" s="740"/>
      <c r="P706" s="740"/>
      <c r="Q706" s="740"/>
      <c r="R706" s="740"/>
      <c r="S706" s="740"/>
      <c r="T706" s="740"/>
      <c r="U706" s="740"/>
      <c r="V706" s="1161">
        <f t="shared" si="25"/>
        <v>280</v>
      </c>
      <c r="W706" s="536"/>
    </row>
    <row r="707" spans="1:23" s="609" customFormat="1" ht="18" customHeight="1" hidden="1">
      <c r="A707" s="739" t="s">
        <v>40</v>
      </c>
      <c r="B707" s="737" t="s">
        <v>680</v>
      </c>
      <c r="C707" s="740"/>
      <c r="D707" s="740"/>
      <c r="E707" s="740"/>
      <c r="F707" s="740"/>
      <c r="G707" s="740"/>
      <c r="H707" s="740"/>
      <c r="I707" s="740"/>
      <c r="J707" s="740"/>
      <c r="K707" s="738"/>
      <c r="L707" s="740"/>
      <c r="M707" s="740"/>
      <c r="N707" s="740"/>
      <c r="O707" s="740"/>
      <c r="P707" s="740"/>
      <c r="Q707" s="740"/>
      <c r="R707" s="740"/>
      <c r="S707" s="740"/>
      <c r="T707" s="740"/>
      <c r="U707" s="740"/>
      <c r="V707" s="1161">
        <f t="shared" si="25"/>
        <v>0</v>
      </c>
      <c r="W707" s="536"/>
    </row>
    <row r="708" spans="1:23" s="609" customFormat="1" ht="18" customHeight="1" hidden="1">
      <c r="A708" s="739" t="s">
        <v>41</v>
      </c>
      <c r="B708" s="759" t="s">
        <v>697</v>
      </c>
      <c r="C708" s="740"/>
      <c r="D708" s="740"/>
      <c r="E708" s="740"/>
      <c r="F708" s="740"/>
      <c r="G708" s="740"/>
      <c r="H708" s="740"/>
      <c r="I708" s="740"/>
      <c r="J708" s="740"/>
      <c r="K708" s="738"/>
      <c r="L708" s="740"/>
      <c r="M708" s="740"/>
      <c r="N708" s="740"/>
      <c r="O708" s="740"/>
      <c r="P708" s="740"/>
      <c r="Q708" s="740"/>
      <c r="R708" s="740"/>
      <c r="S708" s="740"/>
      <c r="T708" s="740"/>
      <c r="U708" s="740"/>
      <c r="V708" s="1161">
        <f t="shared" si="25"/>
        <v>0</v>
      </c>
      <c r="W708" s="536"/>
    </row>
    <row r="709" spans="1:23" s="609" customFormat="1" ht="18" customHeight="1">
      <c r="A709" s="739" t="s">
        <v>42</v>
      </c>
      <c r="B709" s="737" t="s">
        <v>709</v>
      </c>
      <c r="C709" s="740"/>
      <c r="D709" s="740"/>
      <c r="E709" s="740"/>
      <c r="F709" s="740"/>
      <c r="G709" s="740"/>
      <c r="H709" s="740"/>
      <c r="I709" s="740"/>
      <c r="J709" s="740"/>
      <c r="K709" s="738">
        <v>400</v>
      </c>
      <c r="L709" s="740"/>
      <c r="M709" s="740"/>
      <c r="N709" s="740"/>
      <c r="O709" s="740"/>
      <c r="P709" s="740"/>
      <c r="Q709" s="740"/>
      <c r="R709" s="740"/>
      <c r="S709" s="740"/>
      <c r="T709" s="740"/>
      <c r="U709" s="740"/>
      <c r="V709" s="1161">
        <f t="shared" si="25"/>
        <v>400</v>
      </c>
      <c r="W709" s="536"/>
    </row>
    <row r="710" spans="1:23" s="609" customFormat="1" ht="18" customHeight="1">
      <c r="A710" s="739" t="s">
        <v>43</v>
      </c>
      <c r="B710" s="737" t="s">
        <v>710</v>
      </c>
      <c r="C710" s="740"/>
      <c r="D710" s="740"/>
      <c r="E710" s="740"/>
      <c r="F710" s="740"/>
      <c r="G710" s="740"/>
      <c r="H710" s="740"/>
      <c r="I710" s="740"/>
      <c r="J710" s="740"/>
      <c r="K710" s="738">
        <v>400</v>
      </c>
      <c r="L710" s="740"/>
      <c r="M710" s="740"/>
      <c r="N710" s="740"/>
      <c r="O710" s="740"/>
      <c r="P710" s="740"/>
      <c r="Q710" s="740"/>
      <c r="R710" s="740"/>
      <c r="S710" s="740"/>
      <c r="T710" s="740"/>
      <c r="U710" s="740"/>
      <c r="V710" s="1161">
        <f t="shared" si="25"/>
        <v>400</v>
      </c>
      <c r="W710" s="536"/>
    </row>
    <row r="711" spans="1:23" s="609" customFormat="1" ht="18" customHeight="1" hidden="1" thickBot="1">
      <c r="A711" s="739" t="s">
        <v>44</v>
      </c>
      <c r="B711" s="737" t="s">
        <v>711</v>
      </c>
      <c r="C711" s="740"/>
      <c r="D711" s="740"/>
      <c r="E711" s="740"/>
      <c r="F711" s="740"/>
      <c r="G711" s="740"/>
      <c r="H711" s="740"/>
      <c r="I711" s="740"/>
      <c r="J711" s="740"/>
      <c r="K711" s="738"/>
      <c r="L711" s="740"/>
      <c r="M711" s="740"/>
      <c r="N711" s="740"/>
      <c r="O711" s="740"/>
      <c r="P711" s="740"/>
      <c r="Q711" s="740"/>
      <c r="R711" s="740"/>
      <c r="S711" s="740"/>
      <c r="T711" s="740"/>
      <c r="U711" s="740"/>
      <c r="V711" s="1161">
        <f t="shared" si="25"/>
        <v>0</v>
      </c>
      <c r="W711" s="536"/>
    </row>
    <row r="712" spans="1:23" s="609" customFormat="1" ht="18" customHeight="1" hidden="1">
      <c r="A712" s="739" t="s">
        <v>45</v>
      </c>
      <c r="B712" s="737" t="s">
        <v>713</v>
      </c>
      <c r="C712" s="740"/>
      <c r="D712" s="740"/>
      <c r="E712" s="740"/>
      <c r="F712" s="740"/>
      <c r="G712" s="740"/>
      <c r="H712" s="740"/>
      <c r="I712" s="740"/>
      <c r="J712" s="740"/>
      <c r="K712" s="738"/>
      <c r="L712" s="740"/>
      <c r="M712" s="740"/>
      <c r="N712" s="740"/>
      <c r="O712" s="740"/>
      <c r="P712" s="740"/>
      <c r="Q712" s="740"/>
      <c r="R712" s="740"/>
      <c r="S712" s="740"/>
      <c r="T712" s="740"/>
      <c r="U712" s="740"/>
      <c r="V712" s="1161">
        <f t="shared" si="25"/>
        <v>0</v>
      </c>
      <c r="W712" s="536"/>
    </row>
    <row r="713" spans="1:23" s="609" customFormat="1" ht="18" customHeight="1">
      <c r="A713" s="739" t="s">
        <v>46</v>
      </c>
      <c r="B713" s="737" t="s">
        <v>715</v>
      </c>
      <c r="C713" s="738"/>
      <c r="D713" s="738"/>
      <c r="E713" s="738"/>
      <c r="F713" s="738"/>
      <c r="G713" s="738"/>
      <c r="H713" s="738"/>
      <c r="I713" s="738"/>
      <c r="J713" s="738"/>
      <c r="K713" s="738">
        <v>400</v>
      </c>
      <c r="L713" s="738"/>
      <c r="M713" s="738"/>
      <c r="N713" s="738"/>
      <c r="O713" s="738"/>
      <c r="P713" s="738"/>
      <c r="Q713" s="738"/>
      <c r="R713" s="738"/>
      <c r="S713" s="738"/>
      <c r="T713" s="738"/>
      <c r="U713" s="738"/>
      <c r="V713" s="1161">
        <f t="shared" si="25"/>
        <v>400</v>
      </c>
      <c r="W713" s="536"/>
    </row>
    <row r="714" spans="1:23" s="609" customFormat="1" ht="18" customHeight="1">
      <c r="A714" s="739" t="s">
        <v>47</v>
      </c>
      <c r="B714" s="737" t="s">
        <v>716</v>
      </c>
      <c r="C714" s="738"/>
      <c r="D714" s="738"/>
      <c r="E714" s="738"/>
      <c r="F714" s="738"/>
      <c r="G714" s="738"/>
      <c r="H714" s="738"/>
      <c r="I714" s="738"/>
      <c r="J714" s="738"/>
      <c r="K714" s="738">
        <v>800</v>
      </c>
      <c r="L714" s="738"/>
      <c r="M714" s="738"/>
      <c r="N714" s="738"/>
      <c r="O714" s="738"/>
      <c r="P714" s="738"/>
      <c r="Q714" s="738"/>
      <c r="R714" s="738"/>
      <c r="S714" s="738"/>
      <c r="T714" s="738"/>
      <c r="U714" s="738"/>
      <c r="V714" s="1161">
        <f t="shared" si="25"/>
        <v>800</v>
      </c>
      <c r="W714" s="536"/>
    </row>
    <row r="715" spans="1:23" s="609" customFormat="1" ht="18" customHeight="1">
      <c r="A715" s="739" t="s">
        <v>48</v>
      </c>
      <c r="B715" s="737" t="s">
        <v>717</v>
      </c>
      <c r="C715" s="738"/>
      <c r="D715" s="738"/>
      <c r="E715" s="738"/>
      <c r="F715" s="738"/>
      <c r="G715" s="738"/>
      <c r="H715" s="738"/>
      <c r="I715" s="738"/>
      <c r="J715" s="738"/>
      <c r="K715" s="738">
        <v>800</v>
      </c>
      <c r="L715" s="738"/>
      <c r="M715" s="738"/>
      <c r="N715" s="738"/>
      <c r="O715" s="738"/>
      <c r="P715" s="738"/>
      <c r="Q715" s="738"/>
      <c r="R715" s="738"/>
      <c r="S715" s="738"/>
      <c r="T715" s="738"/>
      <c r="U715" s="738"/>
      <c r="V715" s="1161">
        <f t="shared" si="25"/>
        <v>800</v>
      </c>
      <c r="W715" s="536"/>
    </row>
    <row r="716" spans="1:23" s="609" customFormat="1" ht="18" customHeight="1" hidden="1" thickBot="1">
      <c r="A716" s="739" t="s">
        <v>49</v>
      </c>
      <c r="B716" s="737" t="s">
        <v>718</v>
      </c>
      <c r="C716" s="738"/>
      <c r="D716" s="738"/>
      <c r="E716" s="738"/>
      <c r="F716" s="738"/>
      <c r="G716" s="738"/>
      <c r="H716" s="738"/>
      <c r="I716" s="738"/>
      <c r="J716" s="738"/>
      <c r="K716" s="738"/>
      <c r="L716" s="738"/>
      <c r="M716" s="738"/>
      <c r="N716" s="738"/>
      <c r="O716" s="738"/>
      <c r="P716" s="738"/>
      <c r="Q716" s="738"/>
      <c r="R716" s="738"/>
      <c r="S716" s="738"/>
      <c r="T716" s="738"/>
      <c r="U716" s="738"/>
      <c r="V716" s="1161">
        <f t="shared" si="25"/>
        <v>0</v>
      </c>
      <c r="W716" s="536"/>
    </row>
    <row r="717" spans="1:23" s="609" customFormat="1" ht="18" customHeight="1">
      <c r="A717" s="739" t="s">
        <v>50</v>
      </c>
      <c r="B717" s="737" t="s">
        <v>719</v>
      </c>
      <c r="C717" s="738"/>
      <c r="D717" s="738"/>
      <c r="E717" s="738"/>
      <c r="F717" s="738"/>
      <c r="G717" s="738"/>
      <c r="H717" s="738"/>
      <c r="I717" s="738"/>
      <c r="J717" s="738"/>
      <c r="K717" s="738">
        <v>800</v>
      </c>
      <c r="L717" s="738"/>
      <c r="M717" s="738"/>
      <c r="N717" s="738"/>
      <c r="O717" s="738"/>
      <c r="P717" s="738"/>
      <c r="Q717" s="738"/>
      <c r="R717" s="738"/>
      <c r="S717" s="738"/>
      <c r="T717" s="738"/>
      <c r="U717" s="738"/>
      <c r="V717" s="1161">
        <f t="shared" si="25"/>
        <v>800</v>
      </c>
      <c r="W717" s="536"/>
    </row>
    <row r="718" spans="1:23" s="609" customFormat="1" ht="18" customHeight="1" hidden="1" thickBot="1">
      <c r="A718" s="739" t="s">
        <v>51</v>
      </c>
      <c r="B718" s="737" t="s">
        <v>720</v>
      </c>
      <c r="C718" s="740"/>
      <c r="D718" s="740"/>
      <c r="E718" s="740"/>
      <c r="F718" s="740"/>
      <c r="G718" s="740"/>
      <c r="H718" s="740"/>
      <c r="I718" s="740"/>
      <c r="J718" s="740"/>
      <c r="K718" s="738"/>
      <c r="L718" s="740"/>
      <c r="M718" s="740"/>
      <c r="N718" s="740"/>
      <c r="O718" s="740"/>
      <c r="P718" s="740"/>
      <c r="Q718" s="740"/>
      <c r="R718" s="740"/>
      <c r="S718" s="740"/>
      <c r="T718" s="740"/>
      <c r="U718" s="740"/>
      <c r="V718" s="1161">
        <f t="shared" si="25"/>
        <v>0</v>
      </c>
      <c r="W718" s="536"/>
    </row>
    <row r="719" spans="1:23" s="609" customFormat="1" ht="18" customHeight="1" hidden="1">
      <c r="A719" s="739" t="s">
        <v>52</v>
      </c>
      <c r="B719" s="737" t="s">
        <v>721</v>
      </c>
      <c r="C719" s="738"/>
      <c r="D719" s="738"/>
      <c r="E719" s="738"/>
      <c r="F719" s="738"/>
      <c r="G719" s="738"/>
      <c r="H719" s="738"/>
      <c r="I719" s="738"/>
      <c r="J719" s="738"/>
      <c r="K719" s="738"/>
      <c r="L719" s="738"/>
      <c r="M719" s="738"/>
      <c r="N719" s="738"/>
      <c r="O719" s="738"/>
      <c r="P719" s="738"/>
      <c r="Q719" s="738"/>
      <c r="R719" s="738"/>
      <c r="S719" s="738"/>
      <c r="T719" s="738"/>
      <c r="U719" s="738"/>
      <c r="V719" s="1161">
        <f t="shared" si="25"/>
        <v>0</v>
      </c>
      <c r="W719" s="536"/>
    </row>
    <row r="720" spans="1:23" s="609" customFormat="1" ht="18" customHeight="1" hidden="1">
      <c r="A720" s="739" t="s">
        <v>53</v>
      </c>
      <c r="B720" s="737" t="s">
        <v>722</v>
      </c>
      <c r="C720" s="740"/>
      <c r="D720" s="740"/>
      <c r="E720" s="740"/>
      <c r="F720" s="740"/>
      <c r="G720" s="740"/>
      <c r="H720" s="740"/>
      <c r="I720" s="740"/>
      <c r="J720" s="740"/>
      <c r="K720" s="738"/>
      <c r="L720" s="740"/>
      <c r="M720" s="740"/>
      <c r="N720" s="740"/>
      <c r="O720" s="740"/>
      <c r="P720" s="740"/>
      <c r="Q720" s="740"/>
      <c r="R720" s="740"/>
      <c r="S720" s="740"/>
      <c r="T720" s="740"/>
      <c r="U720" s="740"/>
      <c r="V720" s="1161">
        <f t="shared" si="25"/>
        <v>0</v>
      </c>
      <c r="W720" s="536"/>
    </row>
    <row r="721" spans="1:23" s="609" customFormat="1" ht="18" customHeight="1">
      <c r="A721" s="739" t="s">
        <v>54</v>
      </c>
      <c r="B721" s="737" t="s">
        <v>723</v>
      </c>
      <c r="C721" s="738"/>
      <c r="D721" s="738"/>
      <c r="E721" s="738"/>
      <c r="F721" s="738"/>
      <c r="G721" s="738"/>
      <c r="H721" s="738"/>
      <c r="I721" s="738"/>
      <c r="J721" s="738"/>
      <c r="K721" s="738">
        <v>3200</v>
      </c>
      <c r="L721" s="738"/>
      <c r="M721" s="738"/>
      <c r="N721" s="738"/>
      <c r="O721" s="738"/>
      <c r="P721" s="738"/>
      <c r="Q721" s="738"/>
      <c r="R721" s="738"/>
      <c r="S721" s="738"/>
      <c r="T721" s="738"/>
      <c r="U721" s="738"/>
      <c r="V721" s="1161">
        <f t="shared" si="25"/>
        <v>3200</v>
      </c>
      <c r="W721" s="536"/>
    </row>
    <row r="722" spans="1:23" s="609" customFormat="1" ht="18" customHeight="1">
      <c r="A722" s="739" t="s">
        <v>55</v>
      </c>
      <c r="B722" s="737" t="s">
        <v>724</v>
      </c>
      <c r="C722" s="740"/>
      <c r="D722" s="740"/>
      <c r="E722" s="740"/>
      <c r="F722" s="740"/>
      <c r="G722" s="740"/>
      <c r="H722" s="740"/>
      <c r="I722" s="740"/>
      <c r="J722" s="740"/>
      <c r="K722" s="738">
        <v>4400</v>
      </c>
      <c r="L722" s="740"/>
      <c r="M722" s="740"/>
      <c r="N722" s="740"/>
      <c r="O722" s="740"/>
      <c r="P722" s="740"/>
      <c r="Q722" s="740"/>
      <c r="R722" s="740"/>
      <c r="S722" s="740"/>
      <c r="T722" s="740"/>
      <c r="U722" s="740"/>
      <c r="V722" s="1161">
        <f t="shared" si="25"/>
        <v>4400</v>
      </c>
      <c r="W722" s="536"/>
    </row>
    <row r="723" spans="1:23" s="609" customFormat="1" ht="18" customHeight="1" hidden="1">
      <c r="A723" s="739" t="s">
        <v>56</v>
      </c>
      <c r="B723" s="737" t="s">
        <v>725</v>
      </c>
      <c r="C723" s="738"/>
      <c r="D723" s="738"/>
      <c r="E723" s="738"/>
      <c r="F723" s="738"/>
      <c r="G723" s="738"/>
      <c r="H723" s="738"/>
      <c r="I723" s="738"/>
      <c r="J723" s="738"/>
      <c r="K723" s="738"/>
      <c r="L723" s="738"/>
      <c r="M723" s="738"/>
      <c r="N723" s="738"/>
      <c r="O723" s="738"/>
      <c r="P723" s="738"/>
      <c r="Q723" s="738"/>
      <c r="R723" s="738"/>
      <c r="S723" s="738"/>
      <c r="T723" s="738"/>
      <c r="U723" s="738"/>
      <c r="V723" s="1161">
        <f t="shared" si="25"/>
        <v>0</v>
      </c>
      <c r="W723" s="536"/>
    </row>
    <row r="724" spans="1:23" s="609" customFormat="1" ht="18" customHeight="1" hidden="1">
      <c r="A724" s="739" t="s">
        <v>57</v>
      </c>
      <c r="B724" s="737" t="s">
        <v>726</v>
      </c>
      <c r="C724" s="740"/>
      <c r="D724" s="740"/>
      <c r="E724" s="740"/>
      <c r="F724" s="740"/>
      <c r="G724" s="740"/>
      <c r="H724" s="740"/>
      <c r="I724" s="740"/>
      <c r="J724" s="740"/>
      <c r="K724" s="738"/>
      <c r="L724" s="740"/>
      <c r="M724" s="740"/>
      <c r="N724" s="740"/>
      <c r="O724" s="740"/>
      <c r="P724" s="740"/>
      <c r="Q724" s="740"/>
      <c r="R724" s="740"/>
      <c r="S724" s="740"/>
      <c r="T724" s="740"/>
      <c r="U724" s="740"/>
      <c r="V724" s="1161">
        <f t="shared" si="25"/>
        <v>0</v>
      </c>
      <c r="W724" s="536"/>
    </row>
    <row r="725" spans="1:23" s="609" customFormat="1" ht="18" customHeight="1" hidden="1" thickBot="1">
      <c r="A725" s="739" t="s">
        <v>58</v>
      </c>
      <c r="B725" s="737" t="s">
        <v>727</v>
      </c>
      <c r="C725" s="738"/>
      <c r="D725" s="738"/>
      <c r="E725" s="738"/>
      <c r="F725" s="738"/>
      <c r="G725" s="738"/>
      <c r="H725" s="738"/>
      <c r="I725" s="738"/>
      <c r="J725" s="738"/>
      <c r="K725" s="738"/>
      <c r="L725" s="738"/>
      <c r="M725" s="738"/>
      <c r="N725" s="738"/>
      <c r="O725" s="738"/>
      <c r="P725" s="738"/>
      <c r="Q725" s="738"/>
      <c r="R725" s="738"/>
      <c r="S725" s="738"/>
      <c r="T725" s="738"/>
      <c r="U725" s="738"/>
      <c r="V725" s="1161">
        <f t="shared" si="25"/>
        <v>0</v>
      </c>
      <c r="W725" s="536"/>
    </row>
    <row r="726" spans="1:23" s="609" customFormat="1" ht="18" customHeight="1">
      <c r="A726" s="739" t="s">
        <v>59</v>
      </c>
      <c r="B726" s="737" t="s">
        <v>744</v>
      </c>
      <c r="C726" s="740"/>
      <c r="D726" s="740"/>
      <c r="E726" s="740"/>
      <c r="F726" s="740"/>
      <c r="G726" s="740"/>
      <c r="H726" s="740"/>
      <c r="I726" s="740"/>
      <c r="J726" s="740"/>
      <c r="K726" s="738">
        <v>5600</v>
      </c>
      <c r="L726" s="740"/>
      <c r="M726" s="740"/>
      <c r="N726" s="740"/>
      <c r="O726" s="740"/>
      <c r="P726" s="740"/>
      <c r="Q726" s="740"/>
      <c r="R726" s="740"/>
      <c r="S726" s="740"/>
      <c r="T726" s="740"/>
      <c r="U726" s="740"/>
      <c r="V726" s="1161">
        <f t="shared" si="25"/>
        <v>5600</v>
      </c>
      <c r="W726" s="536"/>
    </row>
    <row r="727" spans="1:23" s="609" customFormat="1" ht="18" customHeight="1">
      <c r="A727" s="739" t="s">
        <v>60</v>
      </c>
      <c r="B727" s="737" t="s">
        <v>745</v>
      </c>
      <c r="C727" s="738"/>
      <c r="D727" s="738"/>
      <c r="E727" s="738"/>
      <c r="F727" s="738"/>
      <c r="G727" s="738"/>
      <c r="H727" s="738"/>
      <c r="I727" s="738"/>
      <c r="J727" s="738"/>
      <c r="K727" s="738">
        <v>1680</v>
      </c>
      <c r="L727" s="738"/>
      <c r="M727" s="738"/>
      <c r="N727" s="738"/>
      <c r="O727" s="738"/>
      <c r="P727" s="738"/>
      <c r="Q727" s="738"/>
      <c r="R727" s="738"/>
      <c r="S727" s="738"/>
      <c r="T727" s="738"/>
      <c r="U727" s="738"/>
      <c r="V727" s="1161">
        <f aca="true" t="shared" si="26" ref="V727:V790">SUM(C727:U727)</f>
        <v>1680</v>
      </c>
      <c r="W727" s="536"/>
    </row>
    <row r="728" spans="1:23" s="609" customFormat="1" ht="18" customHeight="1">
      <c r="A728" s="739" t="s">
        <v>61</v>
      </c>
      <c r="B728" s="737" t="s">
        <v>746</v>
      </c>
      <c r="C728" s="740"/>
      <c r="D728" s="740"/>
      <c r="E728" s="740"/>
      <c r="F728" s="740"/>
      <c r="G728" s="740"/>
      <c r="H728" s="740"/>
      <c r="I728" s="740"/>
      <c r="J728" s="740"/>
      <c r="K728" s="738">
        <v>7280</v>
      </c>
      <c r="L728" s="740"/>
      <c r="M728" s="740"/>
      <c r="N728" s="740"/>
      <c r="O728" s="740"/>
      <c r="P728" s="740"/>
      <c r="Q728" s="740"/>
      <c r="R728" s="740"/>
      <c r="S728" s="740"/>
      <c r="T728" s="740"/>
      <c r="U728" s="740"/>
      <c r="V728" s="1161">
        <f t="shared" si="26"/>
        <v>7280</v>
      </c>
      <c r="W728" s="536"/>
    </row>
    <row r="729" spans="1:23" s="609" customFormat="1" ht="18" customHeight="1">
      <c r="A729" s="739" t="s">
        <v>62</v>
      </c>
      <c r="B729" s="737" t="s">
        <v>747</v>
      </c>
      <c r="C729" s="738"/>
      <c r="D729" s="738"/>
      <c r="E729" s="738"/>
      <c r="F729" s="738"/>
      <c r="G729" s="738"/>
      <c r="H729" s="738"/>
      <c r="I729" s="738"/>
      <c r="J729" s="738"/>
      <c r="K729" s="738">
        <v>5600</v>
      </c>
      <c r="L729" s="738"/>
      <c r="M729" s="738"/>
      <c r="N729" s="738"/>
      <c r="O729" s="738"/>
      <c r="P729" s="738"/>
      <c r="Q729" s="738"/>
      <c r="R729" s="738"/>
      <c r="S729" s="738"/>
      <c r="T729" s="738"/>
      <c r="U729" s="738"/>
      <c r="V729" s="1161">
        <f t="shared" si="26"/>
        <v>5600</v>
      </c>
      <c r="W729" s="536"/>
    </row>
    <row r="730" spans="1:23" s="609" customFormat="1" ht="18" customHeight="1">
      <c r="A730" s="739" t="s">
        <v>63</v>
      </c>
      <c r="B730" s="737" t="s">
        <v>748</v>
      </c>
      <c r="C730" s="740"/>
      <c r="D730" s="740"/>
      <c r="E730" s="740"/>
      <c r="F730" s="740"/>
      <c r="G730" s="740"/>
      <c r="H730" s="740"/>
      <c r="I730" s="740"/>
      <c r="J730" s="740"/>
      <c r="K730" s="738">
        <v>5040</v>
      </c>
      <c r="L730" s="740"/>
      <c r="M730" s="740"/>
      <c r="N730" s="740"/>
      <c r="O730" s="740"/>
      <c r="P730" s="740"/>
      <c r="Q730" s="740"/>
      <c r="R730" s="740"/>
      <c r="S730" s="740"/>
      <c r="T730" s="740"/>
      <c r="U730" s="740"/>
      <c r="V730" s="1161">
        <f t="shared" si="26"/>
        <v>5040</v>
      </c>
      <c r="W730" s="536"/>
    </row>
    <row r="731" spans="1:23" s="609" customFormat="1" ht="18" customHeight="1">
      <c r="A731" s="739" t="s">
        <v>64</v>
      </c>
      <c r="B731" s="737" t="s">
        <v>749</v>
      </c>
      <c r="C731" s="738"/>
      <c r="D731" s="738"/>
      <c r="E731" s="738"/>
      <c r="F731" s="738"/>
      <c r="G731" s="738"/>
      <c r="H731" s="738"/>
      <c r="I731" s="738"/>
      <c r="J731" s="738"/>
      <c r="K731" s="738">
        <v>1680</v>
      </c>
      <c r="L731" s="738"/>
      <c r="M731" s="738"/>
      <c r="N731" s="738"/>
      <c r="O731" s="738"/>
      <c r="P731" s="738"/>
      <c r="Q731" s="738"/>
      <c r="R731" s="738"/>
      <c r="S731" s="738"/>
      <c r="T731" s="738"/>
      <c r="U731" s="738"/>
      <c r="V731" s="1161">
        <f t="shared" si="26"/>
        <v>1680</v>
      </c>
      <c r="W731" s="536"/>
    </row>
    <row r="732" spans="1:23" s="609" customFormat="1" ht="18" customHeight="1">
      <c r="A732" s="739" t="s">
        <v>65</v>
      </c>
      <c r="B732" s="737" t="s">
        <v>750</v>
      </c>
      <c r="C732" s="740"/>
      <c r="D732" s="740"/>
      <c r="E732" s="740"/>
      <c r="F732" s="740"/>
      <c r="G732" s="740"/>
      <c r="H732" s="740"/>
      <c r="I732" s="740"/>
      <c r="J732" s="740"/>
      <c r="K732" s="738">
        <v>560</v>
      </c>
      <c r="L732" s="740"/>
      <c r="M732" s="740"/>
      <c r="N732" s="740"/>
      <c r="O732" s="740"/>
      <c r="P732" s="740"/>
      <c r="Q732" s="740"/>
      <c r="R732" s="740"/>
      <c r="S732" s="740"/>
      <c r="T732" s="740"/>
      <c r="U732" s="740"/>
      <c r="V732" s="1161">
        <f t="shared" si="26"/>
        <v>560</v>
      </c>
      <c r="W732" s="536"/>
    </row>
    <row r="733" spans="1:23" s="609" customFormat="1" ht="18" customHeight="1">
      <c r="A733" s="739" t="s">
        <v>66</v>
      </c>
      <c r="B733" s="737" t="s">
        <v>751</v>
      </c>
      <c r="C733" s="738"/>
      <c r="D733" s="738"/>
      <c r="E733" s="738"/>
      <c r="F733" s="738"/>
      <c r="G733" s="738"/>
      <c r="H733" s="738"/>
      <c r="I733" s="738"/>
      <c r="J733" s="738"/>
      <c r="K733" s="738">
        <v>560</v>
      </c>
      <c r="L733" s="738"/>
      <c r="M733" s="738"/>
      <c r="N733" s="738"/>
      <c r="O733" s="738"/>
      <c r="P733" s="738"/>
      <c r="Q733" s="738"/>
      <c r="R733" s="738"/>
      <c r="S733" s="738"/>
      <c r="T733" s="738"/>
      <c r="U733" s="738"/>
      <c r="V733" s="1161">
        <f t="shared" si="26"/>
        <v>560</v>
      </c>
      <c r="W733" s="536"/>
    </row>
    <row r="734" spans="1:23" s="609" customFormat="1" ht="18" customHeight="1">
      <c r="A734" s="739" t="s">
        <v>67</v>
      </c>
      <c r="B734" s="737" t="s">
        <v>752</v>
      </c>
      <c r="C734" s="740"/>
      <c r="D734" s="740"/>
      <c r="E734" s="740"/>
      <c r="F734" s="740"/>
      <c r="G734" s="740"/>
      <c r="H734" s="740"/>
      <c r="I734" s="740"/>
      <c r="J734" s="740"/>
      <c r="K734" s="738">
        <v>3920</v>
      </c>
      <c r="L734" s="740"/>
      <c r="M734" s="740"/>
      <c r="N734" s="740"/>
      <c r="O734" s="740"/>
      <c r="P734" s="740"/>
      <c r="Q734" s="740"/>
      <c r="R734" s="740"/>
      <c r="S734" s="740"/>
      <c r="T734" s="740"/>
      <c r="U734" s="740"/>
      <c r="V734" s="1161">
        <f t="shared" si="26"/>
        <v>3920</v>
      </c>
      <c r="W734" s="536"/>
    </row>
    <row r="735" spans="1:23" s="609" customFormat="1" ht="18" customHeight="1">
      <c r="A735" s="735" t="s">
        <v>68</v>
      </c>
      <c r="B735" s="737" t="s">
        <v>1078</v>
      </c>
      <c r="C735" s="738"/>
      <c r="D735" s="738"/>
      <c r="E735" s="738"/>
      <c r="F735" s="738"/>
      <c r="G735" s="738"/>
      <c r="H735" s="738"/>
      <c r="I735" s="738"/>
      <c r="J735" s="738"/>
      <c r="K735" s="738">
        <v>1120</v>
      </c>
      <c r="L735" s="738"/>
      <c r="M735" s="738"/>
      <c r="N735" s="738"/>
      <c r="O735" s="738"/>
      <c r="P735" s="738"/>
      <c r="Q735" s="738"/>
      <c r="R735" s="738"/>
      <c r="S735" s="738"/>
      <c r="T735" s="738"/>
      <c r="U735" s="738"/>
      <c r="V735" s="1161">
        <f t="shared" si="26"/>
        <v>1120</v>
      </c>
      <c r="W735" s="536"/>
    </row>
    <row r="736" spans="1:23" s="609" customFormat="1" ht="18" customHeight="1">
      <c r="A736" s="735" t="s">
        <v>69</v>
      </c>
      <c r="B736" s="737" t="s">
        <v>969</v>
      </c>
      <c r="C736" s="740"/>
      <c r="D736" s="740"/>
      <c r="E736" s="740"/>
      <c r="F736" s="740"/>
      <c r="G736" s="740"/>
      <c r="H736" s="740"/>
      <c r="I736" s="740"/>
      <c r="J736" s="740"/>
      <c r="K736" s="738">
        <v>1035</v>
      </c>
      <c r="L736" s="740"/>
      <c r="M736" s="740"/>
      <c r="N736" s="740"/>
      <c r="O736" s="740"/>
      <c r="P736" s="740"/>
      <c r="Q736" s="740"/>
      <c r="R736" s="740"/>
      <c r="S736" s="740"/>
      <c r="T736" s="740"/>
      <c r="U736" s="740"/>
      <c r="V736" s="1161">
        <f t="shared" si="26"/>
        <v>1035</v>
      </c>
      <c r="W736" s="536"/>
    </row>
    <row r="737" spans="1:23" s="609" customFormat="1" ht="18" customHeight="1">
      <c r="A737" s="735" t="s">
        <v>70</v>
      </c>
      <c r="B737" s="737" t="s">
        <v>970</v>
      </c>
      <c r="C737" s="738"/>
      <c r="D737" s="738"/>
      <c r="E737" s="738"/>
      <c r="F737" s="738"/>
      <c r="G737" s="738"/>
      <c r="H737" s="738"/>
      <c r="I737" s="738"/>
      <c r="J737" s="738"/>
      <c r="K737" s="738">
        <v>2480</v>
      </c>
      <c r="L737" s="738"/>
      <c r="M737" s="738"/>
      <c r="N737" s="738"/>
      <c r="O737" s="738"/>
      <c r="P737" s="738"/>
      <c r="Q737" s="738"/>
      <c r="R737" s="738"/>
      <c r="S737" s="738"/>
      <c r="T737" s="738"/>
      <c r="U737" s="738"/>
      <c r="V737" s="1161">
        <f t="shared" si="26"/>
        <v>2480</v>
      </c>
      <c r="W737" s="536"/>
    </row>
    <row r="738" spans="1:23" s="609" customFormat="1" ht="18" customHeight="1">
      <c r="A738" s="735" t="s">
        <v>71</v>
      </c>
      <c r="B738" s="737" t="s">
        <v>971</v>
      </c>
      <c r="C738" s="740"/>
      <c r="D738" s="740"/>
      <c r="E738" s="740"/>
      <c r="F738" s="740"/>
      <c r="G738" s="740"/>
      <c r="H738" s="740"/>
      <c r="I738" s="740"/>
      <c r="J738" s="740"/>
      <c r="K738" s="738">
        <v>4760</v>
      </c>
      <c r="L738" s="740"/>
      <c r="M738" s="740"/>
      <c r="N738" s="740"/>
      <c r="O738" s="740"/>
      <c r="P738" s="740"/>
      <c r="Q738" s="740"/>
      <c r="R738" s="740"/>
      <c r="S738" s="740"/>
      <c r="T738" s="740"/>
      <c r="U738" s="740"/>
      <c r="V738" s="1161">
        <f t="shared" si="26"/>
        <v>4760</v>
      </c>
      <c r="W738" s="536"/>
    </row>
    <row r="739" spans="1:23" s="609" customFormat="1" ht="18" customHeight="1">
      <c r="A739" s="735" t="s">
        <v>72</v>
      </c>
      <c r="B739" s="737" t="s">
        <v>972</v>
      </c>
      <c r="C739" s="738"/>
      <c r="D739" s="738"/>
      <c r="E739" s="738"/>
      <c r="F739" s="738"/>
      <c r="G739" s="738"/>
      <c r="H739" s="738"/>
      <c r="I739" s="738"/>
      <c r="J739" s="738"/>
      <c r="K739" s="738">
        <v>280</v>
      </c>
      <c r="L739" s="738"/>
      <c r="M739" s="738"/>
      <c r="N739" s="738"/>
      <c r="O739" s="738"/>
      <c r="P739" s="738"/>
      <c r="Q739" s="738"/>
      <c r="R739" s="738"/>
      <c r="S739" s="738"/>
      <c r="T739" s="738"/>
      <c r="U739" s="738"/>
      <c r="V739" s="1161">
        <f t="shared" si="26"/>
        <v>280</v>
      </c>
      <c r="W739" s="536"/>
    </row>
    <row r="740" spans="1:23" s="609" customFormat="1" ht="18" customHeight="1" hidden="1" thickBot="1" thickTop="1">
      <c r="A740" s="739" t="s">
        <v>73</v>
      </c>
      <c r="B740" s="737" t="s">
        <v>855</v>
      </c>
      <c r="C740" s="740"/>
      <c r="D740" s="740"/>
      <c r="E740" s="740"/>
      <c r="F740" s="740"/>
      <c r="G740" s="740"/>
      <c r="H740" s="740"/>
      <c r="I740" s="740"/>
      <c r="J740" s="740"/>
      <c r="K740" s="738"/>
      <c r="L740" s="740"/>
      <c r="M740" s="740"/>
      <c r="N740" s="740"/>
      <c r="O740" s="740"/>
      <c r="P740" s="740"/>
      <c r="Q740" s="740"/>
      <c r="R740" s="740"/>
      <c r="S740" s="740"/>
      <c r="T740" s="740"/>
      <c r="U740" s="740"/>
      <c r="V740" s="1161">
        <f t="shared" si="26"/>
        <v>0</v>
      </c>
      <c r="W740" s="536"/>
    </row>
    <row r="741" spans="1:23" s="609" customFormat="1" ht="18" customHeight="1" hidden="1" thickBot="1">
      <c r="A741" s="735" t="s">
        <v>74</v>
      </c>
      <c r="B741" s="737" t="s">
        <v>856</v>
      </c>
      <c r="C741" s="738"/>
      <c r="D741" s="738"/>
      <c r="E741" s="738"/>
      <c r="F741" s="738"/>
      <c r="G741" s="738"/>
      <c r="H741" s="738"/>
      <c r="I741" s="738"/>
      <c r="J741" s="738"/>
      <c r="K741" s="738"/>
      <c r="L741" s="738"/>
      <c r="M741" s="738"/>
      <c r="N741" s="738"/>
      <c r="O741" s="738"/>
      <c r="P741" s="738"/>
      <c r="Q741" s="738"/>
      <c r="R741" s="738"/>
      <c r="S741" s="738"/>
      <c r="T741" s="738"/>
      <c r="U741" s="738"/>
      <c r="V741" s="1161">
        <f t="shared" si="26"/>
        <v>0</v>
      </c>
      <c r="W741" s="536"/>
    </row>
    <row r="742" spans="1:23" s="609" customFormat="1" ht="18" customHeight="1" hidden="1">
      <c r="A742" s="739" t="s">
        <v>75</v>
      </c>
      <c r="B742" s="737" t="s">
        <v>857</v>
      </c>
      <c r="C742" s="740"/>
      <c r="D742" s="740"/>
      <c r="E742" s="740"/>
      <c r="F742" s="740"/>
      <c r="G742" s="740"/>
      <c r="H742" s="740"/>
      <c r="I742" s="740"/>
      <c r="J742" s="740"/>
      <c r="K742" s="738"/>
      <c r="L742" s="740"/>
      <c r="M742" s="740"/>
      <c r="N742" s="740"/>
      <c r="O742" s="740"/>
      <c r="P742" s="740"/>
      <c r="Q742" s="740"/>
      <c r="R742" s="740"/>
      <c r="S742" s="740"/>
      <c r="T742" s="740"/>
      <c r="U742" s="740"/>
      <c r="V742" s="1161">
        <f t="shared" si="26"/>
        <v>0</v>
      </c>
      <c r="W742" s="536"/>
    </row>
    <row r="743" spans="1:23" s="609" customFormat="1" ht="18" customHeight="1">
      <c r="A743" s="735" t="s">
        <v>76</v>
      </c>
      <c r="B743" s="737" t="s">
        <v>858</v>
      </c>
      <c r="C743" s="738"/>
      <c r="D743" s="738"/>
      <c r="E743" s="738"/>
      <c r="F743" s="738"/>
      <c r="G743" s="738"/>
      <c r="H743" s="738"/>
      <c r="I743" s="738"/>
      <c r="J743" s="738"/>
      <c r="K743" s="738">
        <v>2240</v>
      </c>
      <c r="L743" s="738"/>
      <c r="M743" s="738"/>
      <c r="N743" s="738"/>
      <c r="O743" s="738"/>
      <c r="P743" s="738"/>
      <c r="Q743" s="738"/>
      <c r="R743" s="738"/>
      <c r="S743" s="738"/>
      <c r="T743" s="738"/>
      <c r="U743" s="738"/>
      <c r="V743" s="1161">
        <f t="shared" si="26"/>
        <v>2240</v>
      </c>
      <c r="W743" s="536"/>
    </row>
    <row r="744" spans="1:23" s="609" customFormat="1" ht="18" customHeight="1">
      <c r="A744" s="1314" t="s">
        <v>77</v>
      </c>
      <c r="B744" s="737" t="s">
        <v>859</v>
      </c>
      <c r="C744" s="740"/>
      <c r="D744" s="740"/>
      <c r="E744" s="740"/>
      <c r="F744" s="740"/>
      <c r="G744" s="740"/>
      <c r="H744" s="740"/>
      <c r="I744" s="740"/>
      <c r="J744" s="740"/>
      <c r="K744" s="738">
        <v>2800</v>
      </c>
      <c r="L744" s="740"/>
      <c r="M744" s="740"/>
      <c r="N744" s="740"/>
      <c r="O744" s="740"/>
      <c r="P744" s="740"/>
      <c r="Q744" s="740"/>
      <c r="R744" s="740"/>
      <c r="S744" s="740"/>
      <c r="T744" s="740"/>
      <c r="U744" s="740"/>
      <c r="V744" s="1161">
        <f t="shared" si="26"/>
        <v>2800</v>
      </c>
      <c r="W744" s="536"/>
    </row>
    <row r="745" spans="1:23" s="609" customFormat="1" ht="18" customHeight="1" hidden="1" thickBot="1">
      <c r="A745" s="735" t="s">
        <v>78</v>
      </c>
      <c r="B745" s="737" t="s">
        <v>860</v>
      </c>
      <c r="C745" s="738"/>
      <c r="D745" s="738"/>
      <c r="E745" s="738"/>
      <c r="F745" s="738"/>
      <c r="G745" s="738"/>
      <c r="H745" s="738"/>
      <c r="I745" s="738"/>
      <c r="J745" s="738"/>
      <c r="K745" s="738"/>
      <c r="L745" s="738"/>
      <c r="M745" s="738"/>
      <c r="N745" s="738"/>
      <c r="O745" s="738"/>
      <c r="P745" s="738"/>
      <c r="Q745" s="738"/>
      <c r="R745" s="738"/>
      <c r="S745" s="738"/>
      <c r="T745" s="738"/>
      <c r="U745" s="738"/>
      <c r="V745" s="1161">
        <f t="shared" si="26"/>
        <v>0</v>
      </c>
      <c r="W745" s="536"/>
    </row>
    <row r="746" spans="1:23" s="609" customFormat="1" ht="18" customHeight="1">
      <c r="A746" s="735" t="s">
        <v>79</v>
      </c>
      <c r="B746" s="737" t="s">
        <v>1072</v>
      </c>
      <c r="C746" s="738"/>
      <c r="D746" s="738"/>
      <c r="E746" s="738"/>
      <c r="F746" s="738"/>
      <c r="G746" s="738"/>
      <c r="H746" s="738"/>
      <c r="I746" s="738"/>
      <c r="J746" s="738"/>
      <c r="K746" s="738">
        <v>946</v>
      </c>
      <c r="L746" s="738"/>
      <c r="M746" s="738"/>
      <c r="N746" s="738"/>
      <c r="O746" s="738"/>
      <c r="P746" s="738"/>
      <c r="Q746" s="738"/>
      <c r="R746" s="738"/>
      <c r="S746" s="738"/>
      <c r="T746" s="738"/>
      <c r="U746" s="738"/>
      <c r="V746" s="1161">
        <f t="shared" si="26"/>
        <v>946</v>
      </c>
      <c r="W746" s="536"/>
    </row>
    <row r="747" spans="1:23" s="609" customFormat="1" ht="18" customHeight="1" hidden="1">
      <c r="A747" s="739" t="s">
        <v>80</v>
      </c>
      <c r="B747" s="737" t="s">
        <v>864</v>
      </c>
      <c r="C747" s="740"/>
      <c r="D747" s="740"/>
      <c r="E747" s="740"/>
      <c r="F747" s="740"/>
      <c r="G747" s="740"/>
      <c r="H747" s="740"/>
      <c r="I747" s="740"/>
      <c r="J747" s="740"/>
      <c r="K747" s="738"/>
      <c r="L747" s="740"/>
      <c r="M747" s="740"/>
      <c r="N747" s="740"/>
      <c r="O747" s="740"/>
      <c r="P747" s="740"/>
      <c r="Q747" s="740"/>
      <c r="R747" s="740"/>
      <c r="S747" s="740"/>
      <c r="T747" s="740"/>
      <c r="U747" s="740"/>
      <c r="V747" s="1161">
        <f t="shared" si="26"/>
        <v>0</v>
      </c>
      <c r="W747" s="536"/>
    </row>
    <row r="748" spans="1:23" s="609" customFormat="1" ht="18" customHeight="1" hidden="1">
      <c r="A748" s="735" t="s">
        <v>81</v>
      </c>
      <c r="B748" s="737" t="s">
        <v>863</v>
      </c>
      <c r="C748" s="738"/>
      <c r="D748" s="738"/>
      <c r="E748" s="738"/>
      <c r="F748" s="738"/>
      <c r="G748" s="738"/>
      <c r="H748" s="738"/>
      <c r="I748" s="738"/>
      <c r="J748" s="738"/>
      <c r="K748" s="738"/>
      <c r="L748" s="738"/>
      <c r="M748" s="738"/>
      <c r="N748" s="738"/>
      <c r="O748" s="738"/>
      <c r="P748" s="738"/>
      <c r="Q748" s="738"/>
      <c r="R748" s="738"/>
      <c r="S748" s="738"/>
      <c r="T748" s="738"/>
      <c r="U748" s="738"/>
      <c r="V748" s="1161">
        <f t="shared" si="26"/>
        <v>0</v>
      </c>
      <c r="W748" s="536"/>
    </row>
    <row r="749" spans="1:23" s="609" customFormat="1" ht="18" customHeight="1">
      <c r="A749" s="739" t="s">
        <v>82</v>
      </c>
      <c r="B749" s="737" t="s">
        <v>865</v>
      </c>
      <c r="C749" s="740"/>
      <c r="D749" s="740"/>
      <c r="E749" s="740"/>
      <c r="F749" s="740"/>
      <c r="G749" s="740"/>
      <c r="H749" s="740"/>
      <c r="I749" s="740"/>
      <c r="J749" s="740"/>
      <c r="K749" s="738">
        <v>1120</v>
      </c>
      <c r="L749" s="740"/>
      <c r="M749" s="740"/>
      <c r="N749" s="740"/>
      <c r="O749" s="740"/>
      <c r="P749" s="740"/>
      <c r="Q749" s="740"/>
      <c r="R749" s="740"/>
      <c r="S749" s="740"/>
      <c r="T749" s="740"/>
      <c r="U749" s="740"/>
      <c r="V749" s="1161">
        <f t="shared" si="26"/>
        <v>1120</v>
      </c>
      <c r="W749" s="536"/>
    </row>
    <row r="750" spans="1:23" s="609" customFormat="1" ht="18" customHeight="1" hidden="1">
      <c r="A750" s="735" t="s">
        <v>83</v>
      </c>
      <c r="B750" s="737" t="s">
        <v>866</v>
      </c>
      <c r="C750" s="738"/>
      <c r="D750" s="738"/>
      <c r="E750" s="738"/>
      <c r="F750" s="738"/>
      <c r="G750" s="738"/>
      <c r="H750" s="738"/>
      <c r="I750" s="738"/>
      <c r="J750" s="738"/>
      <c r="K750" s="738"/>
      <c r="L750" s="738"/>
      <c r="M750" s="738"/>
      <c r="N750" s="738"/>
      <c r="O750" s="738"/>
      <c r="P750" s="738"/>
      <c r="Q750" s="738"/>
      <c r="R750" s="738"/>
      <c r="S750" s="738"/>
      <c r="T750" s="738"/>
      <c r="U750" s="738"/>
      <c r="V750" s="1161">
        <f t="shared" si="26"/>
        <v>0</v>
      </c>
      <c r="W750" s="536"/>
    </row>
    <row r="751" spans="1:23" s="609" customFormat="1" ht="18" customHeight="1">
      <c r="A751" s="739" t="s">
        <v>84</v>
      </c>
      <c r="B751" s="737" t="s">
        <v>867</v>
      </c>
      <c r="C751" s="740"/>
      <c r="D751" s="740"/>
      <c r="E751" s="740"/>
      <c r="F751" s="740"/>
      <c r="G751" s="740"/>
      <c r="H751" s="740"/>
      <c r="I751" s="740"/>
      <c r="J751" s="740"/>
      <c r="K751" s="738">
        <v>7840</v>
      </c>
      <c r="L751" s="740"/>
      <c r="M751" s="740"/>
      <c r="N751" s="740"/>
      <c r="O751" s="740"/>
      <c r="P751" s="740"/>
      <c r="Q751" s="740"/>
      <c r="R751" s="740"/>
      <c r="S751" s="740"/>
      <c r="T751" s="740"/>
      <c r="U751" s="740"/>
      <c r="V751" s="1161">
        <f t="shared" si="26"/>
        <v>7840</v>
      </c>
      <c r="W751" s="536"/>
    </row>
    <row r="752" spans="1:23" s="609" customFormat="1" ht="18" customHeight="1" hidden="1">
      <c r="A752" s="735" t="s">
        <v>85</v>
      </c>
      <c r="B752" s="737" t="s">
        <v>862</v>
      </c>
      <c r="C752" s="738"/>
      <c r="D752" s="738"/>
      <c r="E752" s="738"/>
      <c r="F752" s="738"/>
      <c r="G752" s="738"/>
      <c r="H752" s="738"/>
      <c r="I752" s="738"/>
      <c r="J752" s="738"/>
      <c r="K752" s="738"/>
      <c r="L752" s="738"/>
      <c r="M752" s="738"/>
      <c r="N752" s="738"/>
      <c r="O752" s="738"/>
      <c r="P752" s="738"/>
      <c r="Q752" s="738"/>
      <c r="R752" s="738"/>
      <c r="S752" s="738"/>
      <c r="T752" s="738"/>
      <c r="U752" s="738"/>
      <c r="V752" s="1161">
        <f t="shared" si="26"/>
        <v>0</v>
      </c>
      <c r="W752" s="536"/>
    </row>
    <row r="753" spans="1:23" s="609" customFormat="1" ht="18" customHeight="1" thickBot="1">
      <c r="A753" s="739" t="s">
        <v>86</v>
      </c>
      <c r="B753" s="737" t="s">
        <v>986</v>
      </c>
      <c r="C753" s="740"/>
      <c r="D753" s="740"/>
      <c r="E753" s="740"/>
      <c r="F753" s="740"/>
      <c r="G753" s="740"/>
      <c r="H753" s="740"/>
      <c r="I753" s="740"/>
      <c r="J753" s="740"/>
      <c r="K753" s="738">
        <v>5600</v>
      </c>
      <c r="L753" s="740"/>
      <c r="M753" s="740"/>
      <c r="N753" s="740"/>
      <c r="O753" s="740"/>
      <c r="P753" s="740"/>
      <c r="Q753" s="740"/>
      <c r="R753" s="740"/>
      <c r="S753" s="740"/>
      <c r="T753" s="740"/>
      <c r="U753" s="740"/>
      <c r="V753" s="1161">
        <f t="shared" si="26"/>
        <v>5600</v>
      </c>
      <c r="W753" s="536"/>
    </row>
    <row r="754" spans="1:23" s="609" customFormat="1" ht="18" customHeight="1" hidden="1" thickBot="1">
      <c r="A754" s="739" t="s">
        <v>87</v>
      </c>
      <c r="B754" s="737" t="s">
        <v>987</v>
      </c>
      <c r="C754" s="740"/>
      <c r="D754" s="740"/>
      <c r="E754" s="740"/>
      <c r="F754" s="740"/>
      <c r="G754" s="740"/>
      <c r="H754" s="740"/>
      <c r="I754" s="740"/>
      <c r="J754" s="740"/>
      <c r="K754" s="738"/>
      <c r="L754" s="740"/>
      <c r="M754" s="740"/>
      <c r="N754" s="740"/>
      <c r="O754" s="740"/>
      <c r="P754" s="740"/>
      <c r="Q754" s="740"/>
      <c r="R754" s="740"/>
      <c r="S754" s="740"/>
      <c r="T754" s="740"/>
      <c r="U754" s="740"/>
      <c r="V754" s="1160">
        <f t="shared" si="26"/>
        <v>0</v>
      </c>
      <c r="W754" s="536"/>
    </row>
    <row r="755" spans="1:23" s="609" customFormat="1" ht="18" customHeight="1" hidden="1" thickBot="1">
      <c r="A755" s="735" t="s">
        <v>88</v>
      </c>
      <c r="B755" s="1251" t="s">
        <v>868</v>
      </c>
      <c r="C755" s="760"/>
      <c r="D755" s="760"/>
      <c r="E755" s="760"/>
      <c r="F755" s="760"/>
      <c r="G755" s="760"/>
      <c r="H755" s="760"/>
      <c r="I755" s="760"/>
      <c r="J755" s="760"/>
      <c r="K755" s="760"/>
      <c r="L755" s="760"/>
      <c r="M755" s="760"/>
      <c r="N755" s="760"/>
      <c r="O755" s="760"/>
      <c r="P755" s="760"/>
      <c r="Q755" s="760"/>
      <c r="R755" s="760"/>
      <c r="S755" s="760"/>
      <c r="T755" s="760"/>
      <c r="U755" s="760"/>
      <c r="V755" s="1160">
        <f t="shared" si="26"/>
        <v>0</v>
      </c>
      <c r="W755" s="536"/>
    </row>
    <row r="756" spans="1:23" s="609" customFormat="1" ht="18" customHeight="1" hidden="1" thickBot="1">
      <c r="A756" s="745" t="s">
        <v>89</v>
      </c>
      <c r="B756" s="737" t="s">
        <v>1079</v>
      </c>
      <c r="C756" s="740"/>
      <c r="D756" s="740"/>
      <c r="E756" s="740"/>
      <c r="F756" s="740"/>
      <c r="G756" s="740"/>
      <c r="H756" s="740"/>
      <c r="I756" s="740"/>
      <c r="J756" s="740"/>
      <c r="K756" s="738"/>
      <c r="L756" s="740"/>
      <c r="M756" s="740"/>
      <c r="N756" s="740"/>
      <c r="O756" s="740"/>
      <c r="P756" s="740"/>
      <c r="Q756" s="740"/>
      <c r="R756" s="740"/>
      <c r="S756" s="740"/>
      <c r="T756" s="740"/>
      <c r="U756" s="740"/>
      <c r="V756" s="1160">
        <f t="shared" si="26"/>
        <v>0</v>
      </c>
      <c r="W756" s="536"/>
    </row>
    <row r="757" spans="1:23" s="609" customFormat="1" ht="26.25" hidden="1" thickBot="1">
      <c r="A757" s="745" t="s">
        <v>90</v>
      </c>
      <c r="B757" s="1252" t="s">
        <v>699</v>
      </c>
      <c r="C757" s="760"/>
      <c r="D757" s="760"/>
      <c r="E757" s="760"/>
      <c r="F757" s="760"/>
      <c r="G757" s="760"/>
      <c r="H757" s="760"/>
      <c r="I757" s="760"/>
      <c r="J757" s="760"/>
      <c r="K757" s="760"/>
      <c r="L757" s="760"/>
      <c r="M757" s="760"/>
      <c r="N757" s="760"/>
      <c r="O757" s="760"/>
      <c r="P757" s="760"/>
      <c r="Q757" s="760"/>
      <c r="R757" s="760"/>
      <c r="S757" s="760"/>
      <c r="T757" s="760"/>
      <c r="U757" s="760"/>
      <c r="V757" s="1160">
        <f t="shared" si="26"/>
        <v>0</v>
      </c>
      <c r="W757" s="536"/>
    </row>
    <row r="758" spans="1:23" s="609" customFormat="1" ht="26.25" hidden="1" thickBot="1">
      <c r="A758" s="735" t="s">
        <v>91</v>
      </c>
      <c r="B758" s="1253" t="s">
        <v>1081</v>
      </c>
      <c r="C758" s="761"/>
      <c r="D758" s="761"/>
      <c r="E758" s="761"/>
      <c r="F758" s="761"/>
      <c r="G758" s="761"/>
      <c r="H758" s="761"/>
      <c r="I758" s="761"/>
      <c r="J758" s="761"/>
      <c r="K758" s="761"/>
      <c r="L758" s="761"/>
      <c r="M758" s="761"/>
      <c r="N758" s="761"/>
      <c r="O758" s="761"/>
      <c r="P758" s="761"/>
      <c r="Q758" s="761"/>
      <c r="R758" s="761"/>
      <c r="S758" s="761"/>
      <c r="T758" s="761"/>
      <c r="U758" s="761"/>
      <c r="V758" s="1160">
        <f t="shared" si="26"/>
        <v>0</v>
      </c>
      <c r="W758" s="536"/>
    </row>
    <row r="759" spans="1:23" s="609" customFormat="1" ht="18" customHeight="1" hidden="1" thickBot="1">
      <c r="A759" s="762" t="s">
        <v>92</v>
      </c>
      <c r="B759" s="750" t="s">
        <v>961</v>
      </c>
      <c r="C759" s="763"/>
      <c r="D759" s="763"/>
      <c r="E759" s="763"/>
      <c r="F759" s="763"/>
      <c r="G759" s="763"/>
      <c r="H759" s="763"/>
      <c r="I759" s="763"/>
      <c r="J759" s="763"/>
      <c r="K759" s="763"/>
      <c r="L759" s="763"/>
      <c r="M759" s="763"/>
      <c r="N759" s="763"/>
      <c r="O759" s="763"/>
      <c r="P759" s="763"/>
      <c r="Q759" s="763"/>
      <c r="R759" s="763"/>
      <c r="S759" s="763"/>
      <c r="T759" s="763"/>
      <c r="U759" s="763"/>
      <c r="V759" s="1160">
        <f t="shared" si="26"/>
        <v>0</v>
      </c>
      <c r="W759" s="536"/>
    </row>
    <row r="760" spans="1:23" s="609" customFormat="1" ht="18" customHeight="1" hidden="1" thickBot="1">
      <c r="A760" s="747"/>
      <c r="B760" s="1203" t="s">
        <v>695</v>
      </c>
      <c r="C760" s="545"/>
      <c r="D760" s="545"/>
      <c r="E760" s="545"/>
      <c r="F760" s="545"/>
      <c r="G760" s="545"/>
      <c r="H760" s="545"/>
      <c r="I760" s="545"/>
      <c r="J760" s="545"/>
      <c r="K760" s="545"/>
      <c r="L760" s="545"/>
      <c r="M760" s="545"/>
      <c r="N760" s="545"/>
      <c r="O760" s="545"/>
      <c r="P760" s="545"/>
      <c r="Q760" s="545"/>
      <c r="R760" s="545"/>
      <c r="S760" s="545"/>
      <c r="T760" s="545"/>
      <c r="U760" s="764"/>
      <c r="V760" s="1160">
        <f t="shared" si="26"/>
        <v>0</v>
      </c>
      <c r="W760" s="536"/>
    </row>
    <row r="761" spans="1:23" s="609" customFormat="1" ht="18" customHeight="1" hidden="1">
      <c r="A761" s="752"/>
      <c r="B761" s="766" t="s">
        <v>552</v>
      </c>
      <c r="C761" s="767">
        <f>SUM(C762:C794)</f>
        <v>0</v>
      </c>
      <c r="D761" s="767">
        <f aca="true" t="shared" si="27" ref="D761:U761">SUM(D762:D794)</f>
        <v>0</v>
      </c>
      <c r="E761" s="767">
        <f t="shared" si="27"/>
        <v>0</v>
      </c>
      <c r="F761" s="767">
        <f t="shared" si="27"/>
        <v>0</v>
      </c>
      <c r="G761" s="767">
        <f t="shared" si="27"/>
        <v>0</v>
      </c>
      <c r="H761" s="767">
        <f t="shared" si="27"/>
        <v>0</v>
      </c>
      <c r="I761" s="767">
        <f t="shared" si="27"/>
        <v>0</v>
      </c>
      <c r="J761" s="767">
        <f t="shared" si="27"/>
        <v>0</v>
      </c>
      <c r="K761" s="767">
        <f t="shared" si="27"/>
        <v>0</v>
      </c>
      <c r="L761" s="767">
        <f t="shared" si="27"/>
        <v>0</v>
      </c>
      <c r="M761" s="767">
        <f t="shared" si="27"/>
        <v>0</v>
      </c>
      <c r="N761" s="767">
        <f t="shared" si="27"/>
        <v>0</v>
      </c>
      <c r="O761" s="767">
        <f t="shared" si="27"/>
        <v>0</v>
      </c>
      <c r="P761" s="767">
        <f t="shared" si="27"/>
        <v>0</v>
      </c>
      <c r="Q761" s="767">
        <f t="shared" si="27"/>
        <v>0</v>
      </c>
      <c r="R761" s="767">
        <f t="shared" si="27"/>
        <v>0</v>
      </c>
      <c r="S761" s="767">
        <f t="shared" si="27"/>
        <v>0</v>
      </c>
      <c r="T761" s="767">
        <f t="shared" si="27"/>
        <v>0</v>
      </c>
      <c r="U761" s="767">
        <f t="shared" si="27"/>
        <v>0</v>
      </c>
      <c r="V761" s="1160">
        <f t="shared" si="26"/>
        <v>0</v>
      </c>
      <c r="W761" s="536"/>
    </row>
    <row r="762" spans="1:23" s="609" customFormat="1" ht="18" customHeight="1" hidden="1">
      <c r="A762" s="752" t="s">
        <v>93</v>
      </c>
      <c r="B762" s="737" t="s">
        <v>744</v>
      </c>
      <c r="C762" s="768"/>
      <c r="D762" s="556"/>
      <c r="E762" s="556"/>
      <c r="F762" s="556"/>
      <c r="G762" s="556"/>
      <c r="H762" s="556"/>
      <c r="I762" s="556"/>
      <c r="J762" s="556"/>
      <c r="K762" s="556"/>
      <c r="L762" s="556"/>
      <c r="M762" s="556"/>
      <c r="N762" s="556"/>
      <c r="O762" s="556"/>
      <c r="P762" s="556"/>
      <c r="Q762" s="556"/>
      <c r="R762" s="556"/>
      <c r="S762" s="556"/>
      <c r="T762" s="556"/>
      <c r="U762" s="556"/>
      <c r="V762" s="1160">
        <f t="shared" si="26"/>
        <v>0</v>
      </c>
      <c r="W762" s="536"/>
    </row>
    <row r="763" spans="1:23" s="609" customFormat="1" ht="18" customHeight="1" hidden="1">
      <c r="A763" s="752" t="s">
        <v>94</v>
      </c>
      <c r="B763" s="1251" t="s">
        <v>745</v>
      </c>
      <c r="C763" s="556"/>
      <c r="D763" s="556"/>
      <c r="E763" s="556"/>
      <c r="F763" s="556"/>
      <c r="G763" s="556"/>
      <c r="H763" s="556"/>
      <c r="I763" s="556"/>
      <c r="J763" s="556"/>
      <c r="K763" s="556"/>
      <c r="L763" s="556"/>
      <c r="M763" s="556"/>
      <c r="N763" s="556"/>
      <c r="O763" s="556"/>
      <c r="P763" s="556"/>
      <c r="Q763" s="556"/>
      <c r="R763" s="556"/>
      <c r="S763" s="556"/>
      <c r="T763" s="556"/>
      <c r="U763" s="556"/>
      <c r="V763" s="1160">
        <f t="shared" si="26"/>
        <v>0</v>
      </c>
      <c r="W763" s="536"/>
    </row>
    <row r="764" spans="1:23" s="609" customFormat="1" ht="18" customHeight="1" hidden="1">
      <c r="A764" s="752" t="s">
        <v>95</v>
      </c>
      <c r="B764" s="737" t="s">
        <v>746</v>
      </c>
      <c r="C764" s="556"/>
      <c r="D764" s="556"/>
      <c r="E764" s="556"/>
      <c r="F764" s="556"/>
      <c r="G764" s="556"/>
      <c r="H764" s="556"/>
      <c r="I764" s="556"/>
      <c r="J764" s="556"/>
      <c r="K764" s="556"/>
      <c r="L764" s="556"/>
      <c r="M764" s="556"/>
      <c r="N764" s="556"/>
      <c r="O764" s="556"/>
      <c r="P764" s="556"/>
      <c r="Q764" s="556"/>
      <c r="R764" s="556"/>
      <c r="S764" s="556"/>
      <c r="T764" s="556"/>
      <c r="U764" s="556"/>
      <c r="V764" s="1160">
        <f t="shared" si="26"/>
        <v>0</v>
      </c>
      <c r="W764" s="536"/>
    </row>
    <row r="765" spans="1:23" s="609" customFormat="1" ht="18" customHeight="1" hidden="1" thickBot="1">
      <c r="A765" s="752" t="s">
        <v>96</v>
      </c>
      <c r="B765" s="1251" t="s">
        <v>747</v>
      </c>
      <c r="C765" s="556"/>
      <c r="D765" s="556"/>
      <c r="E765" s="556"/>
      <c r="F765" s="556"/>
      <c r="G765" s="556"/>
      <c r="H765" s="556"/>
      <c r="I765" s="556"/>
      <c r="J765" s="556"/>
      <c r="K765" s="556"/>
      <c r="L765" s="556"/>
      <c r="M765" s="556"/>
      <c r="N765" s="556"/>
      <c r="O765" s="556"/>
      <c r="P765" s="556"/>
      <c r="Q765" s="556"/>
      <c r="R765" s="556"/>
      <c r="S765" s="556"/>
      <c r="T765" s="556"/>
      <c r="U765" s="556"/>
      <c r="V765" s="1160">
        <f t="shared" si="26"/>
        <v>0</v>
      </c>
      <c r="W765" s="536"/>
    </row>
    <row r="766" spans="1:23" s="609" customFormat="1" ht="18" customHeight="1" hidden="1">
      <c r="A766" s="752" t="s">
        <v>97</v>
      </c>
      <c r="B766" s="737" t="s">
        <v>748</v>
      </c>
      <c r="C766" s="556"/>
      <c r="D766" s="556"/>
      <c r="E766" s="556"/>
      <c r="F766" s="556"/>
      <c r="G766" s="556"/>
      <c r="H766" s="556"/>
      <c r="I766" s="556"/>
      <c r="J766" s="556"/>
      <c r="K766" s="556"/>
      <c r="L766" s="556"/>
      <c r="M766" s="556"/>
      <c r="N766" s="556"/>
      <c r="O766" s="556"/>
      <c r="P766" s="556"/>
      <c r="Q766" s="556"/>
      <c r="R766" s="556"/>
      <c r="S766" s="556"/>
      <c r="T766" s="556"/>
      <c r="U766" s="556"/>
      <c r="V766" s="1160">
        <f t="shared" si="26"/>
        <v>0</v>
      </c>
      <c r="W766" s="536"/>
    </row>
    <row r="767" spans="1:23" s="609" customFormat="1" ht="18" customHeight="1" hidden="1">
      <c r="A767" s="752" t="s">
        <v>98</v>
      </c>
      <c r="B767" s="1251" t="s">
        <v>749</v>
      </c>
      <c r="C767" s="556"/>
      <c r="D767" s="556"/>
      <c r="E767" s="556"/>
      <c r="F767" s="556"/>
      <c r="G767" s="556"/>
      <c r="H767" s="556"/>
      <c r="I767" s="556"/>
      <c r="J767" s="556"/>
      <c r="K767" s="556"/>
      <c r="L767" s="556"/>
      <c r="M767" s="556"/>
      <c r="N767" s="556"/>
      <c r="O767" s="556"/>
      <c r="P767" s="556"/>
      <c r="Q767" s="556"/>
      <c r="R767" s="556"/>
      <c r="S767" s="556"/>
      <c r="T767" s="556"/>
      <c r="U767" s="556"/>
      <c r="V767" s="1160">
        <f t="shared" si="26"/>
        <v>0</v>
      </c>
      <c r="W767" s="536"/>
    </row>
    <row r="768" spans="1:23" s="609" customFormat="1" ht="18" customHeight="1" hidden="1">
      <c r="A768" s="752" t="s">
        <v>99</v>
      </c>
      <c r="B768" s="737" t="s">
        <v>750</v>
      </c>
      <c r="C768" s="556"/>
      <c r="D768" s="556"/>
      <c r="E768" s="556"/>
      <c r="F768" s="556"/>
      <c r="G768" s="556"/>
      <c r="H768" s="556"/>
      <c r="I768" s="556"/>
      <c r="J768" s="556"/>
      <c r="K768" s="556"/>
      <c r="L768" s="556"/>
      <c r="M768" s="556"/>
      <c r="N768" s="556"/>
      <c r="O768" s="556"/>
      <c r="P768" s="556"/>
      <c r="Q768" s="556"/>
      <c r="R768" s="556"/>
      <c r="S768" s="556"/>
      <c r="T768" s="556"/>
      <c r="U768" s="556"/>
      <c r="V768" s="1160">
        <f t="shared" si="26"/>
        <v>0</v>
      </c>
      <c r="W768" s="536"/>
    </row>
    <row r="769" spans="1:23" s="609" customFormat="1" ht="18" customHeight="1" hidden="1">
      <c r="A769" s="752" t="s">
        <v>100</v>
      </c>
      <c r="B769" s="1251" t="s">
        <v>751</v>
      </c>
      <c r="C769" s="556"/>
      <c r="D769" s="556"/>
      <c r="E769" s="556"/>
      <c r="F769" s="556"/>
      <c r="G769" s="556"/>
      <c r="H769" s="556"/>
      <c r="I769" s="556"/>
      <c r="J769" s="556"/>
      <c r="K769" s="556"/>
      <c r="L769" s="556"/>
      <c r="M769" s="556"/>
      <c r="N769" s="556"/>
      <c r="O769" s="556"/>
      <c r="P769" s="556"/>
      <c r="Q769" s="556"/>
      <c r="R769" s="556"/>
      <c r="S769" s="556"/>
      <c r="T769" s="556"/>
      <c r="U769" s="556"/>
      <c r="V769" s="1160">
        <f t="shared" si="26"/>
        <v>0</v>
      </c>
      <c r="W769" s="536"/>
    </row>
    <row r="770" spans="1:23" s="609" customFormat="1" ht="18" customHeight="1" hidden="1">
      <c r="A770" s="752" t="s">
        <v>101</v>
      </c>
      <c r="B770" s="737" t="s">
        <v>752</v>
      </c>
      <c r="C770" s="556"/>
      <c r="D770" s="556"/>
      <c r="E770" s="556"/>
      <c r="F770" s="556"/>
      <c r="G770" s="556"/>
      <c r="H770" s="556"/>
      <c r="I770" s="556"/>
      <c r="J770" s="556"/>
      <c r="K770" s="556"/>
      <c r="L770" s="556"/>
      <c r="M770" s="556"/>
      <c r="N770" s="556"/>
      <c r="O770" s="556"/>
      <c r="P770" s="556"/>
      <c r="Q770" s="556"/>
      <c r="R770" s="556"/>
      <c r="S770" s="556"/>
      <c r="T770" s="556"/>
      <c r="U770" s="556"/>
      <c r="V770" s="1160">
        <f t="shared" si="26"/>
        <v>0</v>
      </c>
      <c r="W770" s="536"/>
    </row>
    <row r="771" spans="1:23" s="609" customFormat="1" ht="18" customHeight="1" hidden="1">
      <c r="A771" s="752" t="s">
        <v>102</v>
      </c>
      <c r="B771" s="737" t="s">
        <v>1078</v>
      </c>
      <c r="C771" s="556"/>
      <c r="D771" s="556"/>
      <c r="E771" s="556"/>
      <c r="F771" s="556"/>
      <c r="G771" s="556"/>
      <c r="H771" s="556"/>
      <c r="I771" s="556"/>
      <c r="J771" s="556"/>
      <c r="K771" s="556"/>
      <c r="L771" s="556"/>
      <c r="M771" s="556"/>
      <c r="N771" s="556"/>
      <c r="O771" s="556"/>
      <c r="P771" s="556"/>
      <c r="Q771" s="556"/>
      <c r="R771" s="556"/>
      <c r="S771" s="556"/>
      <c r="T771" s="556"/>
      <c r="U771" s="556"/>
      <c r="V771" s="1160">
        <f t="shared" si="26"/>
        <v>0</v>
      </c>
      <c r="W771" s="536"/>
    </row>
    <row r="772" spans="1:23" s="609" customFormat="1" ht="18" customHeight="1" hidden="1" thickBot="1">
      <c r="A772" s="752" t="s">
        <v>103</v>
      </c>
      <c r="B772" s="737" t="s">
        <v>969</v>
      </c>
      <c r="C772" s="556"/>
      <c r="D772" s="556"/>
      <c r="E772" s="556"/>
      <c r="F772" s="556"/>
      <c r="G772" s="556"/>
      <c r="H772" s="556"/>
      <c r="I772" s="556"/>
      <c r="J772" s="556"/>
      <c r="K772" s="556"/>
      <c r="L772" s="556"/>
      <c r="M772" s="556"/>
      <c r="N772" s="556"/>
      <c r="O772" s="556"/>
      <c r="P772" s="556"/>
      <c r="Q772" s="556"/>
      <c r="R772" s="556"/>
      <c r="S772" s="556"/>
      <c r="T772" s="556"/>
      <c r="U772" s="556"/>
      <c r="V772" s="1160">
        <f t="shared" si="26"/>
        <v>0</v>
      </c>
      <c r="W772" s="536"/>
    </row>
    <row r="773" spans="1:23" s="609" customFormat="1" ht="18" customHeight="1" hidden="1" thickBot="1">
      <c r="A773" s="752" t="s">
        <v>104</v>
      </c>
      <c r="B773" s="737" t="s">
        <v>970</v>
      </c>
      <c r="C773" s="556"/>
      <c r="D773" s="556"/>
      <c r="E773" s="556"/>
      <c r="F773" s="556"/>
      <c r="G773" s="556"/>
      <c r="H773" s="556"/>
      <c r="I773" s="556"/>
      <c r="J773" s="556"/>
      <c r="K773" s="556"/>
      <c r="L773" s="556"/>
      <c r="M773" s="556"/>
      <c r="N773" s="556"/>
      <c r="O773" s="556"/>
      <c r="P773" s="556"/>
      <c r="Q773" s="556"/>
      <c r="R773" s="556"/>
      <c r="S773" s="556"/>
      <c r="T773" s="556"/>
      <c r="U773" s="556"/>
      <c r="V773" s="1160">
        <f t="shared" si="26"/>
        <v>0</v>
      </c>
      <c r="W773" s="536"/>
    </row>
    <row r="774" spans="1:23" s="609" customFormat="1" ht="18" customHeight="1" hidden="1">
      <c r="A774" s="752" t="s">
        <v>105</v>
      </c>
      <c r="B774" s="737" t="s">
        <v>971</v>
      </c>
      <c r="C774" s="556"/>
      <c r="D774" s="556"/>
      <c r="E774" s="556"/>
      <c r="F774" s="556"/>
      <c r="G774" s="556"/>
      <c r="H774" s="556"/>
      <c r="I774" s="556"/>
      <c r="J774" s="556"/>
      <c r="K774" s="556"/>
      <c r="L774" s="556"/>
      <c r="M774" s="556"/>
      <c r="N774" s="556"/>
      <c r="O774" s="556"/>
      <c r="P774" s="556"/>
      <c r="Q774" s="556"/>
      <c r="R774" s="556"/>
      <c r="S774" s="556"/>
      <c r="T774" s="556"/>
      <c r="U774" s="556"/>
      <c r="V774" s="1160">
        <f t="shared" si="26"/>
        <v>0</v>
      </c>
      <c r="W774" s="536"/>
    </row>
    <row r="775" spans="1:23" s="609" customFormat="1" ht="18" customHeight="1" hidden="1">
      <c r="A775" s="752" t="s">
        <v>106</v>
      </c>
      <c r="B775" s="737" t="s">
        <v>972</v>
      </c>
      <c r="C775" s="556"/>
      <c r="D775" s="556"/>
      <c r="E775" s="556"/>
      <c r="F775" s="556"/>
      <c r="G775" s="556"/>
      <c r="H775" s="556"/>
      <c r="I775" s="556"/>
      <c r="J775" s="556"/>
      <c r="K775" s="556"/>
      <c r="L775" s="556"/>
      <c r="M775" s="556"/>
      <c r="N775" s="556"/>
      <c r="O775" s="556"/>
      <c r="P775" s="556"/>
      <c r="Q775" s="556"/>
      <c r="R775" s="556"/>
      <c r="S775" s="556"/>
      <c r="T775" s="556"/>
      <c r="U775" s="556"/>
      <c r="V775" s="1160">
        <f t="shared" si="26"/>
        <v>0</v>
      </c>
      <c r="W775" s="536"/>
    </row>
    <row r="776" spans="1:23" s="609" customFormat="1" ht="18" customHeight="1" hidden="1">
      <c r="A776" s="752" t="s">
        <v>107</v>
      </c>
      <c r="B776" s="737" t="s">
        <v>986</v>
      </c>
      <c r="C776" s="556"/>
      <c r="D776" s="556"/>
      <c r="E776" s="556"/>
      <c r="F776" s="556"/>
      <c r="G776" s="556"/>
      <c r="H776" s="556"/>
      <c r="I776" s="556"/>
      <c r="J776" s="556"/>
      <c r="K776" s="556"/>
      <c r="L776" s="556"/>
      <c r="M776" s="556"/>
      <c r="N776" s="556"/>
      <c r="O776" s="556"/>
      <c r="P776" s="556"/>
      <c r="Q776" s="556"/>
      <c r="R776" s="556"/>
      <c r="S776" s="556"/>
      <c r="T776" s="556"/>
      <c r="U776" s="556"/>
      <c r="V776" s="1160">
        <f t="shared" si="26"/>
        <v>0</v>
      </c>
      <c r="W776" s="536"/>
    </row>
    <row r="777" spans="1:23" s="609" customFormat="1" ht="18" customHeight="1" hidden="1">
      <c r="A777" s="752" t="s">
        <v>108</v>
      </c>
      <c r="B777" s="737" t="s">
        <v>868</v>
      </c>
      <c r="C777" s="556"/>
      <c r="D777" s="556"/>
      <c r="E777" s="556"/>
      <c r="F777" s="556"/>
      <c r="G777" s="556"/>
      <c r="H777" s="556"/>
      <c r="I777" s="556"/>
      <c r="J777" s="556"/>
      <c r="K777" s="556"/>
      <c r="L777" s="556"/>
      <c r="M777" s="556"/>
      <c r="N777" s="556"/>
      <c r="O777" s="556"/>
      <c r="P777" s="556"/>
      <c r="Q777" s="556"/>
      <c r="R777" s="556"/>
      <c r="S777" s="556"/>
      <c r="T777" s="556"/>
      <c r="U777" s="556"/>
      <c r="V777" s="1160">
        <f t="shared" si="26"/>
        <v>0</v>
      </c>
      <c r="W777" s="536"/>
    </row>
    <row r="778" spans="1:23" s="609" customFormat="1" ht="18" customHeight="1" hidden="1">
      <c r="A778" s="752" t="s">
        <v>109</v>
      </c>
      <c r="B778" s="1251" t="s">
        <v>987</v>
      </c>
      <c r="C778" s="556"/>
      <c r="D778" s="556"/>
      <c r="E778" s="556"/>
      <c r="F778" s="556"/>
      <c r="G778" s="556"/>
      <c r="H778" s="556"/>
      <c r="I778" s="556"/>
      <c r="J778" s="556"/>
      <c r="K778" s="556"/>
      <c r="L778" s="556"/>
      <c r="M778" s="556"/>
      <c r="N778" s="556"/>
      <c r="O778" s="556"/>
      <c r="P778" s="556"/>
      <c r="Q778" s="556"/>
      <c r="R778" s="556"/>
      <c r="S778" s="556"/>
      <c r="T778" s="556"/>
      <c r="U778" s="556"/>
      <c r="V778" s="1160">
        <f t="shared" si="26"/>
        <v>0</v>
      </c>
      <c r="W778" s="536"/>
    </row>
    <row r="779" spans="1:23" s="609" customFormat="1" ht="18" customHeight="1" hidden="1">
      <c r="A779" s="752" t="s">
        <v>110</v>
      </c>
      <c r="B779" s="1251" t="s">
        <v>881</v>
      </c>
      <c r="C779" s="556"/>
      <c r="D779" s="556"/>
      <c r="E779" s="556"/>
      <c r="F779" s="556"/>
      <c r="G779" s="556"/>
      <c r="H779" s="556"/>
      <c r="I779" s="556"/>
      <c r="J779" s="556"/>
      <c r="K779" s="556"/>
      <c r="L779" s="556"/>
      <c r="M779" s="556"/>
      <c r="N779" s="556"/>
      <c r="O779" s="556"/>
      <c r="P779" s="556"/>
      <c r="Q779" s="556"/>
      <c r="R779" s="556"/>
      <c r="S779" s="556"/>
      <c r="T779" s="556"/>
      <c r="U779" s="556"/>
      <c r="V779" s="1160">
        <f t="shared" si="26"/>
        <v>0</v>
      </c>
      <c r="W779" s="536"/>
    </row>
    <row r="780" spans="1:23" s="609" customFormat="1" ht="18" customHeight="1" hidden="1">
      <c r="A780" s="752" t="s">
        <v>111</v>
      </c>
      <c r="B780" s="1251" t="s">
        <v>856</v>
      </c>
      <c r="C780" s="556"/>
      <c r="D780" s="556"/>
      <c r="E780" s="556"/>
      <c r="F780" s="556"/>
      <c r="G780" s="556"/>
      <c r="H780" s="556"/>
      <c r="I780" s="556"/>
      <c r="J780" s="556"/>
      <c r="K780" s="556"/>
      <c r="L780" s="556"/>
      <c r="M780" s="556"/>
      <c r="N780" s="556"/>
      <c r="O780" s="556"/>
      <c r="P780" s="556"/>
      <c r="Q780" s="556"/>
      <c r="R780" s="556"/>
      <c r="S780" s="556"/>
      <c r="T780" s="556"/>
      <c r="U780" s="556"/>
      <c r="V780" s="1160">
        <f t="shared" si="26"/>
        <v>0</v>
      </c>
      <c r="W780" s="536"/>
    </row>
    <row r="781" spans="1:23" s="609" customFormat="1" ht="18" customHeight="1" hidden="1">
      <c r="A781" s="752" t="s">
        <v>112</v>
      </c>
      <c r="B781" s="737" t="s">
        <v>857</v>
      </c>
      <c r="C781" s="556"/>
      <c r="D781" s="556"/>
      <c r="E781" s="556"/>
      <c r="F781" s="556"/>
      <c r="G781" s="556"/>
      <c r="H781" s="556"/>
      <c r="I781" s="556"/>
      <c r="J781" s="556"/>
      <c r="K781" s="556"/>
      <c r="L781" s="556"/>
      <c r="M781" s="556"/>
      <c r="N781" s="556"/>
      <c r="O781" s="556"/>
      <c r="P781" s="556"/>
      <c r="Q781" s="556"/>
      <c r="R781" s="556"/>
      <c r="S781" s="556"/>
      <c r="T781" s="556"/>
      <c r="U781" s="556"/>
      <c r="V781" s="1160">
        <f t="shared" si="26"/>
        <v>0</v>
      </c>
      <c r="W781" s="536"/>
    </row>
    <row r="782" spans="1:23" s="609" customFormat="1" ht="18" customHeight="1" hidden="1">
      <c r="A782" s="752" t="s">
        <v>113</v>
      </c>
      <c r="B782" s="1251" t="s">
        <v>858</v>
      </c>
      <c r="C782" s="556"/>
      <c r="D782" s="556"/>
      <c r="E782" s="556"/>
      <c r="F782" s="556"/>
      <c r="G782" s="556"/>
      <c r="H782" s="556"/>
      <c r="I782" s="556"/>
      <c r="J782" s="556"/>
      <c r="K782" s="556"/>
      <c r="L782" s="556"/>
      <c r="M782" s="556"/>
      <c r="N782" s="556"/>
      <c r="O782" s="556"/>
      <c r="P782" s="556"/>
      <c r="Q782" s="556"/>
      <c r="R782" s="556"/>
      <c r="S782" s="556"/>
      <c r="T782" s="556"/>
      <c r="U782" s="556"/>
      <c r="V782" s="1160">
        <f t="shared" si="26"/>
        <v>0</v>
      </c>
      <c r="W782" s="536"/>
    </row>
    <row r="783" spans="1:23" s="609" customFormat="1" ht="18" customHeight="1" hidden="1">
      <c r="A783" s="752" t="s">
        <v>114</v>
      </c>
      <c r="B783" s="737" t="s">
        <v>859</v>
      </c>
      <c r="C783" s="556"/>
      <c r="D783" s="556"/>
      <c r="E783" s="556"/>
      <c r="F783" s="556"/>
      <c r="G783" s="556"/>
      <c r="H783" s="556"/>
      <c r="I783" s="556"/>
      <c r="J783" s="556"/>
      <c r="K783" s="556"/>
      <c r="L783" s="556"/>
      <c r="M783" s="556"/>
      <c r="N783" s="556"/>
      <c r="O783" s="556"/>
      <c r="P783" s="556"/>
      <c r="Q783" s="556"/>
      <c r="R783" s="556"/>
      <c r="S783" s="556"/>
      <c r="T783" s="556"/>
      <c r="U783" s="556"/>
      <c r="V783" s="1160">
        <f t="shared" si="26"/>
        <v>0</v>
      </c>
      <c r="W783" s="536"/>
    </row>
    <row r="784" spans="1:23" s="609" customFormat="1" ht="18" customHeight="1" hidden="1">
      <c r="A784" s="752" t="s">
        <v>115</v>
      </c>
      <c r="B784" s="1251" t="s">
        <v>860</v>
      </c>
      <c r="C784" s="556"/>
      <c r="D784" s="556"/>
      <c r="E784" s="556"/>
      <c r="F784" s="556"/>
      <c r="G784" s="556"/>
      <c r="H784" s="556"/>
      <c r="I784" s="556"/>
      <c r="J784" s="556"/>
      <c r="K784" s="556"/>
      <c r="L784" s="556"/>
      <c r="M784" s="556"/>
      <c r="N784" s="556"/>
      <c r="O784" s="556"/>
      <c r="P784" s="556"/>
      <c r="Q784" s="556"/>
      <c r="R784" s="556"/>
      <c r="S784" s="556"/>
      <c r="T784" s="556"/>
      <c r="U784" s="556"/>
      <c r="V784" s="1160">
        <f t="shared" si="26"/>
        <v>0</v>
      </c>
      <c r="W784" s="536"/>
    </row>
    <row r="785" spans="1:23" s="609" customFormat="1" ht="18" customHeight="1" hidden="1" thickBot="1">
      <c r="A785" s="752" t="s">
        <v>116</v>
      </c>
      <c r="B785" s="737" t="s">
        <v>855</v>
      </c>
      <c r="C785" s="556"/>
      <c r="D785" s="556"/>
      <c r="E785" s="556"/>
      <c r="F785" s="556"/>
      <c r="G785" s="556"/>
      <c r="H785" s="556"/>
      <c r="I785" s="556"/>
      <c r="J785" s="556"/>
      <c r="K785" s="556"/>
      <c r="L785" s="556"/>
      <c r="M785" s="556"/>
      <c r="N785" s="556"/>
      <c r="O785" s="556"/>
      <c r="P785" s="556"/>
      <c r="Q785" s="556"/>
      <c r="R785" s="556"/>
      <c r="S785" s="556"/>
      <c r="T785" s="556"/>
      <c r="U785" s="556"/>
      <c r="V785" s="1160">
        <f t="shared" si="26"/>
        <v>0</v>
      </c>
      <c r="W785" s="536"/>
    </row>
    <row r="786" spans="1:23" s="609" customFormat="1" ht="18" customHeight="1" hidden="1" thickBot="1">
      <c r="A786" s="752" t="s">
        <v>117</v>
      </c>
      <c r="B786" s="1251" t="s">
        <v>1072</v>
      </c>
      <c r="C786" s="556"/>
      <c r="D786" s="556"/>
      <c r="E786" s="556"/>
      <c r="F786" s="556"/>
      <c r="G786" s="556"/>
      <c r="H786" s="556"/>
      <c r="I786" s="556"/>
      <c r="J786" s="556"/>
      <c r="K786" s="556"/>
      <c r="L786" s="556"/>
      <c r="M786" s="556"/>
      <c r="N786" s="556"/>
      <c r="O786" s="556"/>
      <c r="P786" s="556"/>
      <c r="Q786" s="556"/>
      <c r="R786" s="556"/>
      <c r="S786" s="556"/>
      <c r="T786" s="556"/>
      <c r="U786" s="556"/>
      <c r="V786" s="1160">
        <f t="shared" si="26"/>
        <v>0</v>
      </c>
      <c r="W786" s="536"/>
    </row>
    <row r="787" spans="1:23" s="609" customFormat="1" ht="18" customHeight="1" hidden="1">
      <c r="A787" s="752" t="s">
        <v>118</v>
      </c>
      <c r="B787" s="1251" t="s">
        <v>863</v>
      </c>
      <c r="C787" s="556"/>
      <c r="D787" s="556"/>
      <c r="E787" s="556"/>
      <c r="F787" s="556"/>
      <c r="G787" s="556"/>
      <c r="H787" s="556"/>
      <c r="I787" s="556"/>
      <c r="J787" s="556"/>
      <c r="K787" s="556"/>
      <c r="L787" s="556"/>
      <c r="M787" s="556"/>
      <c r="N787" s="556"/>
      <c r="O787" s="556"/>
      <c r="P787" s="556"/>
      <c r="Q787" s="556"/>
      <c r="R787" s="556"/>
      <c r="S787" s="556"/>
      <c r="T787" s="556"/>
      <c r="U787" s="556"/>
      <c r="V787" s="1160">
        <f t="shared" si="26"/>
        <v>0</v>
      </c>
      <c r="W787" s="536"/>
    </row>
    <row r="788" spans="1:23" s="609" customFormat="1" ht="18" customHeight="1" hidden="1">
      <c r="A788" s="752" t="s">
        <v>119</v>
      </c>
      <c r="B788" s="1251" t="s">
        <v>862</v>
      </c>
      <c r="C788" s="556"/>
      <c r="D788" s="556"/>
      <c r="E788" s="556"/>
      <c r="F788" s="556"/>
      <c r="G788" s="556"/>
      <c r="H788" s="556"/>
      <c r="I788" s="556"/>
      <c r="J788" s="556"/>
      <c r="K788" s="556"/>
      <c r="L788" s="556"/>
      <c r="M788" s="556"/>
      <c r="N788" s="556"/>
      <c r="O788" s="556"/>
      <c r="P788" s="556"/>
      <c r="Q788" s="556"/>
      <c r="R788" s="556"/>
      <c r="S788" s="556"/>
      <c r="T788" s="556"/>
      <c r="U788" s="556"/>
      <c r="V788" s="1160">
        <f t="shared" si="26"/>
        <v>0</v>
      </c>
      <c r="W788" s="536"/>
    </row>
    <row r="789" spans="1:23" s="609" customFormat="1" ht="18" customHeight="1" hidden="1">
      <c r="A789" s="752" t="s">
        <v>120</v>
      </c>
      <c r="B789" s="737" t="s">
        <v>864</v>
      </c>
      <c r="C789" s="556"/>
      <c r="D789" s="556"/>
      <c r="E789" s="556"/>
      <c r="F789" s="556"/>
      <c r="G789" s="556"/>
      <c r="H789" s="556"/>
      <c r="I789" s="556"/>
      <c r="J789" s="556"/>
      <c r="K789" s="556"/>
      <c r="L789" s="556"/>
      <c r="M789" s="556"/>
      <c r="N789" s="556"/>
      <c r="O789" s="556"/>
      <c r="P789" s="556"/>
      <c r="Q789" s="556"/>
      <c r="R789" s="556"/>
      <c r="S789" s="556"/>
      <c r="T789" s="556"/>
      <c r="U789" s="556"/>
      <c r="V789" s="1160">
        <f t="shared" si="26"/>
        <v>0</v>
      </c>
      <c r="W789" s="536"/>
    </row>
    <row r="790" spans="1:23" s="609" customFormat="1" ht="18" customHeight="1" hidden="1">
      <c r="A790" s="752" t="s">
        <v>121</v>
      </c>
      <c r="B790" s="737" t="s">
        <v>865</v>
      </c>
      <c r="C790" s="556"/>
      <c r="D790" s="556"/>
      <c r="E790" s="556"/>
      <c r="F790" s="556"/>
      <c r="G790" s="556"/>
      <c r="H790" s="556"/>
      <c r="I790" s="556"/>
      <c r="J790" s="556"/>
      <c r="K790" s="556"/>
      <c r="L790" s="556"/>
      <c r="M790" s="556"/>
      <c r="N790" s="556"/>
      <c r="O790" s="556"/>
      <c r="P790" s="556"/>
      <c r="Q790" s="556"/>
      <c r="R790" s="556"/>
      <c r="S790" s="556"/>
      <c r="T790" s="556"/>
      <c r="U790" s="556"/>
      <c r="V790" s="1160">
        <f t="shared" si="26"/>
        <v>0</v>
      </c>
      <c r="W790" s="536"/>
    </row>
    <row r="791" spans="1:23" s="609" customFormat="1" ht="18" customHeight="1" hidden="1">
      <c r="A791" s="752" t="s">
        <v>122</v>
      </c>
      <c r="B791" s="1251" t="s">
        <v>866</v>
      </c>
      <c r="C791" s="556"/>
      <c r="D791" s="556"/>
      <c r="E791" s="556"/>
      <c r="F791" s="556"/>
      <c r="G791" s="556"/>
      <c r="H791" s="556"/>
      <c r="I791" s="556"/>
      <c r="J791" s="556"/>
      <c r="K791" s="556"/>
      <c r="L791" s="556"/>
      <c r="M791" s="556"/>
      <c r="N791" s="556"/>
      <c r="O791" s="556"/>
      <c r="P791" s="556"/>
      <c r="Q791" s="556"/>
      <c r="R791" s="556"/>
      <c r="S791" s="556"/>
      <c r="T791" s="556"/>
      <c r="U791" s="556"/>
      <c r="V791" s="1160">
        <f aca="true" t="shared" si="28" ref="V791:V853">SUM(C791:U791)</f>
        <v>0</v>
      </c>
      <c r="W791" s="536"/>
    </row>
    <row r="792" spans="1:23" s="609" customFormat="1" ht="18" customHeight="1" hidden="1" thickBot="1">
      <c r="A792" s="752" t="s">
        <v>123</v>
      </c>
      <c r="B792" s="737" t="s">
        <v>867</v>
      </c>
      <c r="C792" s="556"/>
      <c r="D792" s="556"/>
      <c r="E792" s="556"/>
      <c r="F792" s="556"/>
      <c r="G792" s="556"/>
      <c r="H792" s="556"/>
      <c r="I792" s="556"/>
      <c r="J792" s="556"/>
      <c r="K792" s="556"/>
      <c r="L792" s="556"/>
      <c r="M792" s="556"/>
      <c r="N792" s="556"/>
      <c r="O792" s="556"/>
      <c r="P792" s="556"/>
      <c r="Q792" s="556"/>
      <c r="R792" s="556"/>
      <c r="S792" s="556"/>
      <c r="T792" s="556"/>
      <c r="U792" s="556"/>
      <c r="V792" s="1160">
        <f t="shared" si="28"/>
        <v>0</v>
      </c>
      <c r="W792" s="536"/>
    </row>
    <row r="793" spans="1:23" s="609" customFormat="1" ht="18" customHeight="1" hidden="1" thickBot="1">
      <c r="A793" s="752" t="s">
        <v>124</v>
      </c>
      <c r="B793" s="750" t="s">
        <v>961</v>
      </c>
      <c r="C793" s="556"/>
      <c r="D793" s="556"/>
      <c r="E793" s="556"/>
      <c r="F793" s="556"/>
      <c r="G793" s="556"/>
      <c r="H793" s="556"/>
      <c r="I793" s="556"/>
      <c r="J793" s="556"/>
      <c r="K793" s="556"/>
      <c r="L793" s="556"/>
      <c r="M793" s="556"/>
      <c r="N793" s="556"/>
      <c r="O793" s="556"/>
      <c r="P793" s="556"/>
      <c r="Q793" s="556"/>
      <c r="R793" s="556"/>
      <c r="S793" s="556"/>
      <c r="T793" s="556"/>
      <c r="U793" s="556"/>
      <c r="V793" s="1160">
        <f t="shared" si="28"/>
        <v>0</v>
      </c>
      <c r="W793" s="536"/>
    </row>
    <row r="794" spans="1:23" s="609" customFormat="1" ht="26.25" hidden="1" thickBot="1">
      <c r="A794" s="752" t="s">
        <v>125</v>
      </c>
      <c r="B794" s="1254" t="s">
        <v>1081</v>
      </c>
      <c r="C794" s="768"/>
      <c r="D794" s="768"/>
      <c r="E794" s="768"/>
      <c r="F794" s="768"/>
      <c r="G794" s="768"/>
      <c r="H794" s="768"/>
      <c r="I794" s="768"/>
      <c r="J794" s="768"/>
      <c r="K794" s="768"/>
      <c r="L794" s="768"/>
      <c r="M794" s="768"/>
      <c r="N794" s="768"/>
      <c r="O794" s="768"/>
      <c r="P794" s="768"/>
      <c r="Q794" s="768"/>
      <c r="R794" s="768"/>
      <c r="S794" s="768"/>
      <c r="T794" s="768"/>
      <c r="U794" s="768"/>
      <c r="V794" s="1162">
        <f t="shared" si="28"/>
        <v>0</v>
      </c>
      <c r="W794" s="536"/>
    </row>
    <row r="795" spans="1:23" s="609" customFormat="1" ht="26.25" customHeight="1" thickBot="1">
      <c r="A795" s="769">
        <v>85417</v>
      </c>
      <c r="B795" s="908" t="s">
        <v>1082</v>
      </c>
      <c r="C795" s="730">
        <f>SUM(C796:C797)</f>
        <v>0</v>
      </c>
      <c r="D795" s="730">
        <f>SUM(D796:D797)</f>
        <v>0</v>
      </c>
      <c r="E795" s="770">
        <f>SUM(E796:E797)</f>
        <v>0</v>
      </c>
      <c r="F795" s="730"/>
      <c r="G795" s="730"/>
      <c r="H795" s="730"/>
      <c r="I795" s="770"/>
      <c r="J795" s="730"/>
      <c r="K795" s="730"/>
      <c r="L795" s="730"/>
      <c r="M795" s="730"/>
      <c r="N795" s="730"/>
      <c r="O795" s="730">
        <f>SUM(O796:O797)</f>
        <v>4000</v>
      </c>
      <c r="P795" s="730"/>
      <c r="Q795" s="730"/>
      <c r="R795" s="730"/>
      <c r="S795" s="730"/>
      <c r="T795" s="730"/>
      <c r="U795" s="730"/>
      <c r="V795" s="1158">
        <f t="shared" si="28"/>
        <v>4000</v>
      </c>
      <c r="W795" s="536"/>
    </row>
    <row r="796" spans="1:23" s="609" customFormat="1" ht="18" customHeight="1" thickBot="1">
      <c r="A796" s="570" t="s">
        <v>126</v>
      </c>
      <c r="B796" s="685" t="s">
        <v>1083</v>
      </c>
      <c r="C796" s="771"/>
      <c r="D796" s="771"/>
      <c r="E796" s="771"/>
      <c r="F796" s="771"/>
      <c r="G796" s="771"/>
      <c r="H796" s="771"/>
      <c r="I796" s="771"/>
      <c r="J796" s="771"/>
      <c r="K796" s="771"/>
      <c r="L796" s="771"/>
      <c r="M796" s="771"/>
      <c r="N796" s="771"/>
      <c r="O796" s="771">
        <v>4000</v>
      </c>
      <c r="P796" s="771"/>
      <c r="Q796" s="771"/>
      <c r="R796" s="771"/>
      <c r="S796" s="771"/>
      <c r="T796" s="771"/>
      <c r="U796" s="771"/>
      <c r="V796" s="1163">
        <f t="shared" si="28"/>
        <v>4000</v>
      </c>
      <c r="W796" s="536"/>
    </row>
    <row r="797" spans="1:23" s="609" customFormat="1" ht="18" customHeight="1" hidden="1">
      <c r="A797" s="543"/>
      <c r="B797" s="1203" t="s">
        <v>695</v>
      </c>
      <c r="C797" s="545"/>
      <c r="D797" s="545"/>
      <c r="E797" s="545"/>
      <c r="F797" s="545"/>
      <c r="G797" s="545"/>
      <c r="H797" s="545"/>
      <c r="I797" s="545"/>
      <c r="J797" s="545"/>
      <c r="K797" s="545"/>
      <c r="L797" s="545"/>
      <c r="M797" s="545"/>
      <c r="N797" s="545"/>
      <c r="O797" s="545"/>
      <c r="P797" s="545"/>
      <c r="Q797" s="545"/>
      <c r="R797" s="545"/>
      <c r="S797" s="545"/>
      <c r="T797" s="545"/>
      <c r="U797" s="545"/>
      <c r="V797" s="1160">
        <f t="shared" si="28"/>
        <v>0</v>
      </c>
      <c r="W797" s="536"/>
    </row>
    <row r="798" spans="1:23" s="609" customFormat="1" ht="18" customHeight="1" hidden="1">
      <c r="A798" s="645">
        <v>85421</v>
      </c>
      <c r="B798" s="1255" t="s">
        <v>1084</v>
      </c>
      <c r="C798" s="772">
        <f aca="true" t="shared" si="29" ref="C798:U798">SUM(C799:C800)</f>
        <v>0</v>
      </c>
      <c r="D798" s="772">
        <f t="shared" si="29"/>
        <v>0</v>
      </c>
      <c r="E798" s="773">
        <f t="shared" si="29"/>
        <v>0</v>
      </c>
      <c r="F798" s="772">
        <f t="shared" si="29"/>
        <v>0</v>
      </c>
      <c r="G798" s="772">
        <f t="shared" si="29"/>
        <v>0</v>
      </c>
      <c r="H798" s="772">
        <f t="shared" si="29"/>
        <v>0</v>
      </c>
      <c r="I798" s="773">
        <f t="shared" si="29"/>
        <v>0</v>
      </c>
      <c r="J798" s="772">
        <f t="shared" si="29"/>
        <v>0</v>
      </c>
      <c r="K798" s="772">
        <f t="shared" si="29"/>
        <v>0</v>
      </c>
      <c r="L798" s="772">
        <f t="shared" si="29"/>
        <v>0</v>
      </c>
      <c r="M798" s="772">
        <f t="shared" si="29"/>
        <v>0</v>
      </c>
      <c r="N798" s="772">
        <f t="shared" si="29"/>
        <v>0</v>
      </c>
      <c r="O798" s="772">
        <f t="shared" si="29"/>
        <v>0</v>
      </c>
      <c r="P798" s="772">
        <f t="shared" si="29"/>
        <v>0</v>
      </c>
      <c r="Q798" s="772">
        <f t="shared" si="29"/>
        <v>0</v>
      </c>
      <c r="R798" s="772">
        <f t="shared" si="29"/>
        <v>0</v>
      </c>
      <c r="S798" s="772">
        <f t="shared" si="29"/>
        <v>0</v>
      </c>
      <c r="T798" s="772">
        <f t="shared" si="29"/>
        <v>0</v>
      </c>
      <c r="U798" s="774">
        <f t="shared" si="29"/>
        <v>0</v>
      </c>
      <c r="V798" s="1160">
        <f t="shared" si="28"/>
        <v>0</v>
      </c>
      <c r="W798" s="536"/>
    </row>
    <row r="799" spans="1:23" s="609" customFormat="1" ht="18" customHeight="1" hidden="1">
      <c r="A799" s="570" t="s">
        <v>127</v>
      </c>
      <c r="B799" s="685" t="s">
        <v>1085</v>
      </c>
      <c r="C799" s="771"/>
      <c r="D799" s="771"/>
      <c r="E799" s="771"/>
      <c r="F799" s="771"/>
      <c r="G799" s="771"/>
      <c r="H799" s="771"/>
      <c r="I799" s="771"/>
      <c r="J799" s="771"/>
      <c r="K799" s="771"/>
      <c r="L799" s="771"/>
      <c r="M799" s="771"/>
      <c r="N799" s="771"/>
      <c r="O799" s="771"/>
      <c r="P799" s="771"/>
      <c r="Q799" s="771"/>
      <c r="R799" s="771"/>
      <c r="S799" s="771"/>
      <c r="T799" s="771"/>
      <c r="U799" s="771"/>
      <c r="V799" s="1160">
        <f t="shared" si="28"/>
        <v>0</v>
      </c>
      <c r="W799" s="536"/>
    </row>
    <row r="800" spans="1:23" s="609" customFormat="1" ht="18" customHeight="1" hidden="1">
      <c r="A800" s="543"/>
      <c r="B800" s="1203" t="s">
        <v>695</v>
      </c>
      <c r="C800" s="545"/>
      <c r="D800" s="545"/>
      <c r="E800" s="545"/>
      <c r="F800" s="545"/>
      <c r="G800" s="545"/>
      <c r="H800" s="545"/>
      <c r="I800" s="545"/>
      <c r="J800" s="545"/>
      <c r="K800" s="545"/>
      <c r="L800" s="545"/>
      <c r="M800" s="545"/>
      <c r="N800" s="545"/>
      <c r="O800" s="545"/>
      <c r="P800" s="545"/>
      <c r="Q800" s="545"/>
      <c r="R800" s="545"/>
      <c r="S800" s="545"/>
      <c r="T800" s="545"/>
      <c r="U800" s="545"/>
      <c r="V800" s="1160">
        <f t="shared" si="28"/>
        <v>0</v>
      </c>
      <c r="W800" s="536"/>
    </row>
    <row r="801" spans="1:23" s="609" customFormat="1" ht="18" customHeight="1" hidden="1">
      <c r="A801" s="775">
        <v>85446</v>
      </c>
      <c r="B801" s="1215" t="s">
        <v>1086</v>
      </c>
      <c r="C801" s="776">
        <f>SUM(C802:C821)</f>
        <v>0</v>
      </c>
      <c r="D801" s="776">
        <f>SUM(D802:D821)</f>
        <v>0</v>
      </c>
      <c r="E801" s="776">
        <f>SUM(E802:E821)</f>
        <v>0</v>
      </c>
      <c r="F801" s="776">
        <f aca="true" t="shared" si="30" ref="F801:T801">SUM(F802:F821)</f>
        <v>0</v>
      </c>
      <c r="G801" s="776">
        <f t="shared" si="30"/>
        <v>0</v>
      </c>
      <c r="H801" s="776">
        <f t="shared" si="30"/>
        <v>0</v>
      </c>
      <c r="I801" s="776">
        <f>SUM(I802:I821)</f>
        <v>0</v>
      </c>
      <c r="J801" s="776">
        <f>SUM(J802:J821)</f>
        <v>0</v>
      </c>
      <c r="K801" s="776">
        <f>SUM(K802:K821)</f>
        <v>0</v>
      </c>
      <c r="L801" s="776">
        <f t="shared" si="30"/>
        <v>0</v>
      </c>
      <c r="M801" s="776">
        <f t="shared" si="30"/>
        <v>0</v>
      </c>
      <c r="N801" s="776">
        <f t="shared" si="30"/>
        <v>0</v>
      </c>
      <c r="O801" s="776">
        <f t="shared" si="30"/>
        <v>0</v>
      </c>
      <c r="P801" s="776">
        <f t="shared" si="30"/>
        <v>0</v>
      </c>
      <c r="Q801" s="776">
        <f t="shared" si="30"/>
        <v>0</v>
      </c>
      <c r="R801" s="776">
        <f t="shared" si="30"/>
        <v>0</v>
      </c>
      <c r="S801" s="776">
        <f t="shared" si="30"/>
        <v>0</v>
      </c>
      <c r="T801" s="776">
        <f t="shared" si="30"/>
        <v>0</v>
      </c>
      <c r="U801" s="776">
        <f>SUM(U802:U821)</f>
        <v>0</v>
      </c>
      <c r="V801" s="1160">
        <f t="shared" si="28"/>
        <v>0</v>
      </c>
      <c r="W801" s="536"/>
    </row>
    <row r="802" spans="1:23" s="609" customFormat="1" ht="18" customHeight="1" hidden="1">
      <c r="A802" s="1196" t="s">
        <v>128</v>
      </c>
      <c r="B802" s="1244" t="s">
        <v>1003</v>
      </c>
      <c r="C802" s="777"/>
      <c r="D802" s="777"/>
      <c r="E802" s="777"/>
      <c r="F802" s="771"/>
      <c r="G802" s="771"/>
      <c r="H802" s="771"/>
      <c r="I802" s="771"/>
      <c r="J802" s="771"/>
      <c r="K802" s="771"/>
      <c r="L802" s="771"/>
      <c r="M802" s="771"/>
      <c r="N802" s="771"/>
      <c r="O802" s="771"/>
      <c r="P802" s="771"/>
      <c r="Q802" s="771"/>
      <c r="R802" s="771"/>
      <c r="S802" s="771"/>
      <c r="T802" s="771"/>
      <c r="U802" s="771"/>
      <c r="V802" s="1160">
        <f t="shared" si="28"/>
        <v>0</v>
      </c>
      <c r="W802" s="536"/>
    </row>
    <row r="803" spans="1:23" s="609" customFormat="1" ht="18" customHeight="1" hidden="1">
      <c r="A803" s="1196" t="s">
        <v>129</v>
      </c>
      <c r="B803" s="1256" t="s">
        <v>1087</v>
      </c>
      <c r="C803" s="777"/>
      <c r="D803" s="777"/>
      <c r="E803" s="777"/>
      <c r="F803" s="771"/>
      <c r="G803" s="771"/>
      <c r="H803" s="771"/>
      <c r="I803" s="771"/>
      <c r="J803" s="771"/>
      <c r="K803" s="771"/>
      <c r="L803" s="771"/>
      <c r="M803" s="771"/>
      <c r="N803" s="771"/>
      <c r="O803" s="771"/>
      <c r="P803" s="771"/>
      <c r="Q803" s="771"/>
      <c r="R803" s="771"/>
      <c r="S803" s="771"/>
      <c r="T803" s="771"/>
      <c r="U803" s="771"/>
      <c r="V803" s="1160">
        <f t="shared" si="28"/>
        <v>0</v>
      </c>
      <c r="W803" s="536"/>
    </row>
    <row r="804" spans="1:23" s="609" customFormat="1" ht="18" customHeight="1" hidden="1">
      <c r="A804" s="1196" t="s">
        <v>130</v>
      </c>
      <c r="B804" s="1244" t="s">
        <v>1068</v>
      </c>
      <c r="C804" s="777"/>
      <c r="D804" s="777"/>
      <c r="E804" s="777"/>
      <c r="F804" s="771"/>
      <c r="G804" s="771"/>
      <c r="H804" s="771"/>
      <c r="I804" s="771"/>
      <c r="J804" s="771"/>
      <c r="K804" s="771"/>
      <c r="L804" s="771"/>
      <c r="M804" s="771"/>
      <c r="N804" s="771"/>
      <c r="O804" s="771"/>
      <c r="P804" s="771"/>
      <c r="Q804" s="771"/>
      <c r="R804" s="771"/>
      <c r="S804" s="771"/>
      <c r="T804" s="771"/>
      <c r="U804" s="771"/>
      <c r="V804" s="1160">
        <f t="shared" si="28"/>
        <v>0</v>
      </c>
      <c r="W804" s="536"/>
    </row>
    <row r="805" spans="1:23" s="609" customFormat="1" ht="18" customHeight="1" hidden="1">
      <c r="A805" s="1196" t="s">
        <v>131</v>
      </c>
      <c r="B805" s="737" t="s">
        <v>1069</v>
      </c>
      <c r="C805" s="777"/>
      <c r="D805" s="777"/>
      <c r="E805" s="777"/>
      <c r="F805" s="771"/>
      <c r="G805" s="771"/>
      <c r="H805" s="771"/>
      <c r="I805" s="771"/>
      <c r="J805" s="771"/>
      <c r="K805" s="771"/>
      <c r="L805" s="771"/>
      <c r="M805" s="771"/>
      <c r="N805" s="771"/>
      <c r="O805" s="771"/>
      <c r="P805" s="771"/>
      <c r="Q805" s="771"/>
      <c r="R805" s="771"/>
      <c r="S805" s="771"/>
      <c r="T805" s="771"/>
      <c r="U805" s="771"/>
      <c r="V805" s="1160">
        <f t="shared" si="28"/>
        <v>0</v>
      </c>
      <c r="W805" s="536"/>
    </row>
    <row r="806" spans="1:23" s="609" customFormat="1" ht="18" customHeight="1" hidden="1" thickBot="1">
      <c r="A806" s="1196" t="s">
        <v>132</v>
      </c>
      <c r="B806" s="1238" t="s">
        <v>1070</v>
      </c>
      <c r="C806" s="777"/>
      <c r="D806" s="777"/>
      <c r="E806" s="777"/>
      <c r="F806" s="771"/>
      <c r="G806" s="771"/>
      <c r="H806" s="771"/>
      <c r="I806" s="771"/>
      <c r="J806" s="771"/>
      <c r="K806" s="771"/>
      <c r="L806" s="771"/>
      <c r="M806" s="771"/>
      <c r="N806" s="771"/>
      <c r="O806" s="771"/>
      <c r="P806" s="771"/>
      <c r="Q806" s="771"/>
      <c r="R806" s="771"/>
      <c r="S806" s="771"/>
      <c r="T806" s="771"/>
      <c r="U806" s="771"/>
      <c r="V806" s="1160">
        <f t="shared" si="28"/>
        <v>0</v>
      </c>
      <c r="W806" s="536"/>
    </row>
    <row r="807" spans="1:23" s="609" customFormat="1" ht="18" customHeight="1" hidden="1" thickBot="1">
      <c r="A807" s="1196" t="s">
        <v>133</v>
      </c>
      <c r="B807" s="737" t="s">
        <v>1071</v>
      </c>
      <c r="C807" s="777"/>
      <c r="D807" s="777"/>
      <c r="E807" s="777"/>
      <c r="F807" s="771"/>
      <c r="G807" s="771"/>
      <c r="H807" s="771"/>
      <c r="I807" s="771"/>
      <c r="J807" s="771"/>
      <c r="K807" s="771"/>
      <c r="L807" s="771"/>
      <c r="M807" s="771"/>
      <c r="N807" s="771"/>
      <c r="O807" s="771"/>
      <c r="P807" s="771"/>
      <c r="Q807" s="771"/>
      <c r="R807" s="771"/>
      <c r="S807" s="771"/>
      <c r="T807" s="771"/>
      <c r="U807" s="771"/>
      <c r="V807" s="1160">
        <f t="shared" si="28"/>
        <v>0</v>
      </c>
      <c r="W807" s="536"/>
    </row>
    <row r="808" spans="1:23" s="609" customFormat="1" ht="26.25" hidden="1" thickBot="1">
      <c r="A808" s="1196" t="s">
        <v>134</v>
      </c>
      <c r="B808" s="692" t="s">
        <v>704</v>
      </c>
      <c r="C808" s="777"/>
      <c r="D808" s="777"/>
      <c r="E808" s="777"/>
      <c r="F808" s="771"/>
      <c r="G808" s="771"/>
      <c r="H808" s="771"/>
      <c r="I808" s="771"/>
      <c r="J808" s="771"/>
      <c r="K808" s="771"/>
      <c r="L808" s="771"/>
      <c r="M808" s="771"/>
      <c r="N808" s="771"/>
      <c r="O808" s="771"/>
      <c r="P808" s="771"/>
      <c r="Q808" s="771"/>
      <c r="R808" s="771"/>
      <c r="S808" s="771"/>
      <c r="T808" s="771"/>
      <c r="U808" s="771"/>
      <c r="V808" s="1160">
        <f t="shared" si="28"/>
        <v>0</v>
      </c>
      <c r="W808" s="536"/>
    </row>
    <row r="809" spans="1:23" s="609" customFormat="1" ht="26.25" hidden="1" thickBot="1">
      <c r="A809" s="1196" t="s">
        <v>135</v>
      </c>
      <c r="B809" s="693" t="s">
        <v>1088</v>
      </c>
      <c r="C809" s="777"/>
      <c r="D809" s="777"/>
      <c r="E809" s="777"/>
      <c r="F809" s="771"/>
      <c r="G809" s="771"/>
      <c r="H809" s="771"/>
      <c r="I809" s="771"/>
      <c r="J809" s="771"/>
      <c r="K809" s="771"/>
      <c r="L809" s="771"/>
      <c r="M809" s="771"/>
      <c r="N809" s="771"/>
      <c r="O809" s="771"/>
      <c r="P809" s="771"/>
      <c r="Q809" s="771"/>
      <c r="R809" s="771"/>
      <c r="S809" s="771"/>
      <c r="T809" s="771"/>
      <c r="U809" s="771"/>
      <c r="V809" s="1160">
        <f t="shared" si="28"/>
        <v>0</v>
      </c>
      <c r="W809" s="536"/>
    </row>
    <row r="810" spans="1:23" s="609" customFormat="1" ht="18" customHeight="1" hidden="1" thickBot="1">
      <c r="A810" s="1196" t="s">
        <v>136</v>
      </c>
      <c r="B810" s="693" t="s">
        <v>962</v>
      </c>
      <c r="C810" s="777"/>
      <c r="D810" s="777"/>
      <c r="E810" s="777"/>
      <c r="F810" s="771"/>
      <c r="G810" s="771"/>
      <c r="H810" s="771"/>
      <c r="I810" s="771"/>
      <c r="J810" s="771"/>
      <c r="K810" s="771"/>
      <c r="L810" s="771"/>
      <c r="M810" s="771"/>
      <c r="N810" s="771"/>
      <c r="O810" s="771"/>
      <c r="P810" s="771"/>
      <c r="Q810" s="771"/>
      <c r="R810" s="771"/>
      <c r="S810" s="771"/>
      <c r="T810" s="771"/>
      <c r="U810" s="771"/>
      <c r="V810" s="1160">
        <f t="shared" si="28"/>
        <v>0</v>
      </c>
      <c r="W810" s="536"/>
    </row>
    <row r="811" spans="1:23" s="609" customFormat="1" ht="18" customHeight="1" hidden="1">
      <c r="A811" s="1196" t="s">
        <v>137</v>
      </c>
      <c r="B811" s="693" t="s">
        <v>702</v>
      </c>
      <c r="C811" s="777"/>
      <c r="D811" s="777"/>
      <c r="E811" s="777"/>
      <c r="F811" s="771"/>
      <c r="G811" s="771"/>
      <c r="H811" s="771"/>
      <c r="I811" s="771"/>
      <c r="J811" s="771"/>
      <c r="K811" s="771"/>
      <c r="L811" s="771"/>
      <c r="M811" s="771"/>
      <c r="N811" s="771"/>
      <c r="O811" s="771"/>
      <c r="P811" s="771"/>
      <c r="Q811" s="771"/>
      <c r="R811" s="771"/>
      <c r="S811" s="771"/>
      <c r="T811" s="771"/>
      <c r="U811" s="771"/>
      <c r="V811" s="1160">
        <f t="shared" si="28"/>
        <v>0</v>
      </c>
      <c r="W811" s="536"/>
    </row>
    <row r="812" spans="1:23" s="609" customFormat="1" ht="18" customHeight="1" hidden="1">
      <c r="A812" s="1196" t="s">
        <v>138</v>
      </c>
      <c r="B812" s="689" t="s">
        <v>995</v>
      </c>
      <c r="C812" s="777"/>
      <c r="D812" s="777"/>
      <c r="E812" s="777"/>
      <c r="F812" s="771"/>
      <c r="G812" s="771"/>
      <c r="H812" s="771"/>
      <c r="I812" s="771"/>
      <c r="J812" s="771"/>
      <c r="K812" s="771"/>
      <c r="L812" s="771"/>
      <c r="M812" s="771"/>
      <c r="N812" s="771"/>
      <c r="O812" s="771"/>
      <c r="P812" s="771"/>
      <c r="Q812" s="771"/>
      <c r="R812" s="771"/>
      <c r="S812" s="771"/>
      <c r="T812" s="771"/>
      <c r="U812" s="771"/>
      <c r="V812" s="1160">
        <f t="shared" si="28"/>
        <v>0</v>
      </c>
      <c r="W812" s="536"/>
    </row>
    <row r="813" spans="1:23" s="609" customFormat="1" ht="18" customHeight="1" hidden="1" thickBot="1">
      <c r="A813" s="1196" t="s">
        <v>139</v>
      </c>
      <c r="B813" s="691" t="s">
        <v>996</v>
      </c>
      <c r="C813" s="777"/>
      <c r="D813" s="777"/>
      <c r="E813" s="777"/>
      <c r="F813" s="771"/>
      <c r="G813" s="771"/>
      <c r="H813" s="771"/>
      <c r="I813" s="771"/>
      <c r="J813" s="771"/>
      <c r="K813" s="771"/>
      <c r="L813" s="771"/>
      <c r="M813" s="771"/>
      <c r="N813" s="771"/>
      <c r="O813" s="771"/>
      <c r="P813" s="771"/>
      <c r="Q813" s="771"/>
      <c r="R813" s="771"/>
      <c r="S813" s="771"/>
      <c r="T813" s="771"/>
      <c r="U813" s="771"/>
      <c r="V813" s="1160">
        <f t="shared" si="28"/>
        <v>0</v>
      </c>
      <c r="W813" s="536"/>
    </row>
    <row r="814" spans="1:23" s="609" customFormat="1" ht="18" customHeight="1" hidden="1">
      <c r="A814" s="1196" t="s">
        <v>140</v>
      </c>
      <c r="B814" s="691" t="s">
        <v>997</v>
      </c>
      <c r="C814" s="777"/>
      <c r="D814" s="777"/>
      <c r="E814" s="777"/>
      <c r="F814" s="771"/>
      <c r="G814" s="771"/>
      <c r="H814" s="771"/>
      <c r="I814" s="771"/>
      <c r="J814" s="771"/>
      <c r="K814" s="771"/>
      <c r="L814" s="771"/>
      <c r="M814" s="771"/>
      <c r="N814" s="771"/>
      <c r="O814" s="771"/>
      <c r="P814" s="771"/>
      <c r="Q814" s="771"/>
      <c r="R814" s="771"/>
      <c r="S814" s="771"/>
      <c r="T814" s="771"/>
      <c r="U814" s="771"/>
      <c r="V814" s="1160">
        <f t="shared" si="28"/>
        <v>0</v>
      </c>
      <c r="W814" s="536"/>
    </row>
    <row r="815" spans="1:23" s="609" customFormat="1" ht="18" customHeight="1" hidden="1">
      <c r="A815" s="1196" t="s">
        <v>141</v>
      </c>
      <c r="B815" s="691" t="s">
        <v>998</v>
      </c>
      <c r="C815" s="777"/>
      <c r="D815" s="777"/>
      <c r="E815" s="777"/>
      <c r="F815" s="771"/>
      <c r="G815" s="771"/>
      <c r="H815" s="771"/>
      <c r="I815" s="771"/>
      <c r="J815" s="771"/>
      <c r="K815" s="771"/>
      <c r="L815" s="771"/>
      <c r="M815" s="771"/>
      <c r="N815" s="771"/>
      <c r="O815" s="771"/>
      <c r="P815" s="771"/>
      <c r="Q815" s="771"/>
      <c r="R815" s="771"/>
      <c r="S815" s="771"/>
      <c r="T815" s="771"/>
      <c r="U815" s="771"/>
      <c r="V815" s="1160">
        <f t="shared" si="28"/>
        <v>0</v>
      </c>
      <c r="W815" s="536"/>
    </row>
    <row r="816" spans="1:23" s="609" customFormat="1" ht="18" customHeight="1" hidden="1">
      <c r="A816" s="1196" t="s">
        <v>142</v>
      </c>
      <c r="B816" s="691" t="s">
        <v>999</v>
      </c>
      <c r="C816" s="777"/>
      <c r="D816" s="777"/>
      <c r="E816" s="777"/>
      <c r="F816" s="771"/>
      <c r="G816" s="771"/>
      <c r="H816" s="771"/>
      <c r="I816" s="771"/>
      <c r="J816" s="771"/>
      <c r="K816" s="771"/>
      <c r="L816" s="771"/>
      <c r="M816" s="771"/>
      <c r="N816" s="771"/>
      <c r="O816" s="771"/>
      <c r="P816" s="771"/>
      <c r="Q816" s="771"/>
      <c r="R816" s="771"/>
      <c r="S816" s="771"/>
      <c r="T816" s="771"/>
      <c r="U816" s="771"/>
      <c r="V816" s="1160">
        <f t="shared" si="28"/>
        <v>0</v>
      </c>
      <c r="W816" s="536"/>
    </row>
    <row r="817" spans="1:23" s="609" customFormat="1" ht="18" customHeight="1" hidden="1">
      <c r="A817" s="1196" t="s">
        <v>143</v>
      </c>
      <c r="B817" s="691" t="s">
        <v>1000</v>
      </c>
      <c r="C817" s="777"/>
      <c r="D817" s="777"/>
      <c r="E817" s="777"/>
      <c r="F817" s="771"/>
      <c r="G817" s="771"/>
      <c r="H817" s="771"/>
      <c r="I817" s="771"/>
      <c r="J817" s="771"/>
      <c r="K817" s="771"/>
      <c r="L817" s="771"/>
      <c r="M817" s="771"/>
      <c r="N817" s="771"/>
      <c r="O817" s="771"/>
      <c r="P817" s="771"/>
      <c r="Q817" s="771"/>
      <c r="R817" s="771"/>
      <c r="S817" s="771"/>
      <c r="T817" s="771"/>
      <c r="U817" s="771"/>
      <c r="V817" s="1160">
        <f t="shared" si="28"/>
        <v>0</v>
      </c>
      <c r="W817" s="536"/>
    </row>
    <row r="818" spans="1:23" s="609" customFormat="1" ht="18" customHeight="1" hidden="1">
      <c r="A818" s="1196" t="s">
        <v>144</v>
      </c>
      <c r="B818" s="689" t="s">
        <v>961</v>
      </c>
      <c r="C818" s="777"/>
      <c r="D818" s="777"/>
      <c r="E818" s="777"/>
      <c r="F818" s="771"/>
      <c r="G818" s="771"/>
      <c r="H818" s="771"/>
      <c r="I818" s="771"/>
      <c r="J818" s="771"/>
      <c r="K818" s="771"/>
      <c r="L818" s="771"/>
      <c r="M818" s="771"/>
      <c r="N818" s="771"/>
      <c r="O818" s="771"/>
      <c r="P818" s="771"/>
      <c r="Q818" s="771"/>
      <c r="R818" s="771"/>
      <c r="S818" s="771"/>
      <c r="T818" s="771"/>
      <c r="U818" s="771"/>
      <c r="V818" s="1160">
        <f t="shared" si="28"/>
        <v>0</v>
      </c>
      <c r="W818" s="536"/>
    </row>
    <row r="819" spans="1:23" s="609" customFormat="1" ht="18" customHeight="1" hidden="1">
      <c r="A819" s="1196" t="s">
        <v>145</v>
      </c>
      <c r="B819" s="778" t="s">
        <v>1085</v>
      </c>
      <c r="C819" s="777"/>
      <c r="D819" s="777"/>
      <c r="E819" s="777"/>
      <c r="F819" s="771"/>
      <c r="G819" s="771"/>
      <c r="H819" s="771"/>
      <c r="I819" s="771"/>
      <c r="J819" s="771"/>
      <c r="K819" s="771"/>
      <c r="L819" s="771"/>
      <c r="M819" s="771"/>
      <c r="N819" s="771"/>
      <c r="O819" s="771"/>
      <c r="P819" s="771"/>
      <c r="Q819" s="771"/>
      <c r="R819" s="771"/>
      <c r="S819" s="771"/>
      <c r="T819" s="771"/>
      <c r="U819" s="771"/>
      <c r="V819" s="1160">
        <f t="shared" si="28"/>
        <v>0</v>
      </c>
      <c r="W819" s="536"/>
    </row>
    <row r="820" spans="1:23" s="609" customFormat="1" ht="18" customHeight="1" hidden="1" thickBot="1">
      <c r="A820" s="1196" t="s">
        <v>146</v>
      </c>
      <c r="B820" s="685" t="s">
        <v>1083</v>
      </c>
      <c r="C820" s="777"/>
      <c r="D820" s="777"/>
      <c r="E820" s="777"/>
      <c r="F820" s="771"/>
      <c r="G820" s="771"/>
      <c r="H820" s="771"/>
      <c r="I820" s="771"/>
      <c r="J820" s="771"/>
      <c r="K820" s="771"/>
      <c r="L820" s="771"/>
      <c r="M820" s="771"/>
      <c r="N820" s="771"/>
      <c r="O820" s="771"/>
      <c r="P820" s="771"/>
      <c r="Q820" s="771"/>
      <c r="R820" s="771"/>
      <c r="S820" s="771"/>
      <c r="T820" s="771"/>
      <c r="U820" s="771"/>
      <c r="V820" s="1160">
        <f t="shared" si="28"/>
        <v>0</v>
      </c>
      <c r="W820" s="536"/>
    </row>
    <row r="821" spans="1:23" s="609" customFormat="1" ht="18" customHeight="1" hidden="1" thickBot="1">
      <c r="A821" s="543"/>
      <c r="B821" s="1203" t="s">
        <v>695</v>
      </c>
      <c r="C821" s="545"/>
      <c r="D821" s="545"/>
      <c r="E821" s="545"/>
      <c r="F821" s="545"/>
      <c r="G821" s="545"/>
      <c r="H821" s="545"/>
      <c r="I821" s="545"/>
      <c r="J821" s="545"/>
      <c r="K821" s="545"/>
      <c r="L821" s="545"/>
      <c r="M821" s="545"/>
      <c r="N821" s="545"/>
      <c r="O821" s="545"/>
      <c r="P821" s="545"/>
      <c r="Q821" s="545"/>
      <c r="R821" s="545"/>
      <c r="S821" s="545"/>
      <c r="T821" s="545"/>
      <c r="U821" s="545"/>
      <c r="V821" s="1162">
        <f t="shared" si="28"/>
        <v>0</v>
      </c>
      <c r="W821" s="536"/>
    </row>
    <row r="822" spans="1:23" s="124" customFormat="1" ht="30" customHeight="1" thickBot="1">
      <c r="A822" s="779">
        <v>85495</v>
      </c>
      <c r="B822" s="1257" t="s">
        <v>827</v>
      </c>
      <c r="C822" s="624">
        <f aca="true" t="shared" si="31" ref="C822:T822">SUM(C823:C871)</f>
        <v>0</v>
      </c>
      <c r="D822" s="624">
        <f t="shared" si="31"/>
        <v>0</v>
      </c>
      <c r="E822" s="624">
        <f t="shared" si="31"/>
        <v>0</v>
      </c>
      <c r="F822" s="624">
        <f>SUM(F824:F870)</f>
        <v>58223</v>
      </c>
      <c r="G822" s="624">
        <f t="shared" si="31"/>
        <v>25700</v>
      </c>
      <c r="H822" s="624">
        <f t="shared" si="31"/>
        <v>1553</v>
      </c>
      <c r="I822" s="624">
        <f t="shared" si="31"/>
        <v>-1000</v>
      </c>
      <c r="J822" s="624">
        <f t="shared" si="31"/>
        <v>0</v>
      </c>
      <c r="K822" s="624"/>
      <c r="L822" s="624"/>
      <c r="M822" s="624">
        <f t="shared" si="31"/>
        <v>-4000</v>
      </c>
      <c r="N822" s="624"/>
      <c r="O822" s="624"/>
      <c r="P822" s="624"/>
      <c r="Q822" s="624"/>
      <c r="R822" s="624">
        <f t="shared" si="31"/>
        <v>-4000</v>
      </c>
      <c r="S822" s="624"/>
      <c r="T822" s="624">
        <f t="shared" si="31"/>
        <v>-630</v>
      </c>
      <c r="U822" s="624"/>
      <c r="V822" s="1158">
        <f t="shared" si="28"/>
        <v>75846</v>
      </c>
      <c r="W822" s="569"/>
    </row>
    <row r="823" spans="1:23" s="124" customFormat="1" ht="18" customHeight="1" hidden="1">
      <c r="A823" s="625" t="s">
        <v>147</v>
      </c>
      <c r="B823" s="685" t="s">
        <v>603</v>
      </c>
      <c r="C823" s="626"/>
      <c r="D823" s="626"/>
      <c r="E823" s="626"/>
      <c r="F823" s="626"/>
      <c r="G823" s="626"/>
      <c r="H823" s="626"/>
      <c r="I823" s="626"/>
      <c r="J823" s="626"/>
      <c r="K823" s="626"/>
      <c r="L823" s="626"/>
      <c r="M823" s="626"/>
      <c r="N823" s="626"/>
      <c r="O823" s="626"/>
      <c r="P823" s="626"/>
      <c r="Q823" s="626"/>
      <c r="R823" s="626"/>
      <c r="S823" s="626"/>
      <c r="T823" s="626"/>
      <c r="U823" s="626"/>
      <c r="V823" s="1159">
        <f t="shared" si="28"/>
        <v>0</v>
      </c>
      <c r="W823" s="536"/>
    </row>
    <row r="824" spans="1:23" ht="18" customHeight="1">
      <c r="A824" s="625" t="s">
        <v>148</v>
      </c>
      <c r="B824" s="737" t="s">
        <v>605</v>
      </c>
      <c r="C824" s="630"/>
      <c r="D824" s="630"/>
      <c r="E824" s="630"/>
      <c r="F824" s="630">
        <v>4000</v>
      </c>
      <c r="G824" s="630">
        <v>900</v>
      </c>
      <c r="H824" s="630">
        <v>100</v>
      </c>
      <c r="I824" s="630"/>
      <c r="J824" s="630"/>
      <c r="K824" s="630"/>
      <c r="L824" s="630"/>
      <c r="M824" s="630"/>
      <c r="N824" s="630"/>
      <c r="O824" s="630"/>
      <c r="P824" s="630"/>
      <c r="Q824" s="630"/>
      <c r="R824" s="630"/>
      <c r="S824" s="630"/>
      <c r="T824" s="630"/>
      <c r="U824" s="630"/>
      <c r="V824" s="1161">
        <f t="shared" si="28"/>
        <v>5000</v>
      </c>
      <c r="W824" s="536"/>
    </row>
    <row r="825" spans="1:23" s="508" customFormat="1" ht="18" customHeight="1">
      <c r="A825" s="627" t="s">
        <v>149</v>
      </c>
      <c r="B825" s="737" t="s">
        <v>607</v>
      </c>
      <c r="C825" s="630"/>
      <c r="D825" s="630"/>
      <c r="E825" s="630"/>
      <c r="F825" s="630">
        <v>5100</v>
      </c>
      <c r="G825" s="630">
        <v>1100</v>
      </c>
      <c r="H825" s="630"/>
      <c r="I825" s="630"/>
      <c r="J825" s="630"/>
      <c r="K825" s="630"/>
      <c r="L825" s="630"/>
      <c r="M825" s="630"/>
      <c r="N825" s="630"/>
      <c r="O825" s="630"/>
      <c r="P825" s="630"/>
      <c r="Q825" s="630"/>
      <c r="R825" s="630"/>
      <c r="S825" s="630"/>
      <c r="T825" s="630"/>
      <c r="U825" s="630"/>
      <c r="V825" s="1161">
        <f t="shared" si="28"/>
        <v>6200</v>
      </c>
      <c r="W825" s="536"/>
    </row>
    <row r="826" spans="1:23" s="508" customFormat="1" ht="18" customHeight="1" hidden="1">
      <c r="A826" s="625" t="s">
        <v>150</v>
      </c>
      <c r="B826" s="737" t="s">
        <v>608</v>
      </c>
      <c r="C826" s="630"/>
      <c r="D826" s="630"/>
      <c r="E826" s="630"/>
      <c r="F826" s="630"/>
      <c r="G826" s="630"/>
      <c r="H826" s="630"/>
      <c r="I826" s="630"/>
      <c r="J826" s="630"/>
      <c r="K826" s="630"/>
      <c r="L826" s="630"/>
      <c r="M826" s="630"/>
      <c r="N826" s="630"/>
      <c r="O826" s="630"/>
      <c r="P826" s="630"/>
      <c r="Q826" s="630"/>
      <c r="R826" s="630"/>
      <c r="S826" s="630"/>
      <c r="T826" s="630"/>
      <c r="U826" s="630"/>
      <c r="V826" s="1161">
        <f t="shared" si="28"/>
        <v>0</v>
      </c>
      <c r="W826" s="536"/>
    </row>
    <row r="827" spans="1:23" s="508" customFormat="1" ht="18" customHeight="1" hidden="1">
      <c r="A827" s="627" t="s">
        <v>151</v>
      </c>
      <c r="B827" s="737" t="s">
        <v>610</v>
      </c>
      <c r="C827" s="630"/>
      <c r="D827" s="630"/>
      <c r="E827" s="630"/>
      <c r="F827" s="630"/>
      <c r="G827" s="630"/>
      <c r="H827" s="630"/>
      <c r="I827" s="630"/>
      <c r="J827" s="630"/>
      <c r="K827" s="630"/>
      <c r="L827" s="630"/>
      <c r="M827" s="630"/>
      <c r="N827" s="630"/>
      <c r="O827" s="630"/>
      <c r="P827" s="630"/>
      <c r="Q827" s="630"/>
      <c r="R827" s="630"/>
      <c r="S827" s="630"/>
      <c r="T827" s="630"/>
      <c r="U827" s="630"/>
      <c r="V827" s="1161">
        <f t="shared" si="28"/>
        <v>0</v>
      </c>
      <c r="W827" s="536"/>
    </row>
    <row r="828" spans="1:23" s="508" customFormat="1" ht="18" customHeight="1" hidden="1">
      <c r="A828" s="625" t="s">
        <v>152</v>
      </c>
      <c r="B828" s="737" t="s">
        <v>969</v>
      </c>
      <c r="C828" s="630"/>
      <c r="D828" s="630"/>
      <c r="E828" s="630"/>
      <c r="F828" s="630"/>
      <c r="G828" s="630"/>
      <c r="H828" s="630"/>
      <c r="I828" s="630"/>
      <c r="J828" s="630"/>
      <c r="K828" s="630"/>
      <c r="L828" s="630"/>
      <c r="M828" s="630"/>
      <c r="N828" s="630"/>
      <c r="O828" s="630"/>
      <c r="P828" s="630"/>
      <c r="Q828" s="630"/>
      <c r="R828" s="630"/>
      <c r="S828" s="630"/>
      <c r="T828" s="630"/>
      <c r="U828" s="630"/>
      <c r="V828" s="1161">
        <f t="shared" si="28"/>
        <v>0</v>
      </c>
      <c r="W828" s="536"/>
    </row>
    <row r="829" spans="1:23" s="508" customFormat="1" ht="18" customHeight="1">
      <c r="A829" s="627" t="s">
        <v>153</v>
      </c>
      <c r="B829" s="737" t="s">
        <v>613</v>
      </c>
      <c r="C829" s="630"/>
      <c r="D829" s="630"/>
      <c r="E829" s="630"/>
      <c r="F829" s="630">
        <v>8890</v>
      </c>
      <c r="G829" s="630">
        <v>4070</v>
      </c>
      <c r="H829" s="630">
        <v>323</v>
      </c>
      <c r="I829" s="630"/>
      <c r="J829" s="630"/>
      <c r="K829" s="630"/>
      <c r="L829" s="630"/>
      <c r="M829" s="630"/>
      <c r="N829" s="630"/>
      <c r="O829" s="630"/>
      <c r="P829" s="630"/>
      <c r="Q829" s="630"/>
      <c r="R829" s="630"/>
      <c r="S829" s="630"/>
      <c r="T829" s="630"/>
      <c r="U829" s="630"/>
      <c r="V829" s="1161">
        <f t="shared" si="28"/>
        <v>13283</v>
      </c>
      <c r="W829" s="536"/>
    </row>
    <row r="830" spans="1:23" s="508" customFormat="1" ht="18" customHeight="1" hidden="1" thickBot="1">
      <c r="A830" s="625" t="s">
        <v>154</v>
      </c>
      <c r="B830" s="737" t="s">
        <v>1089</v>
      </c>
      <c r="C830" s="630"/>
      <c r="D830" s="630"/>
      <c r="E830" s="630"/>
      <c r="F830" s="630"/>
      <c r="G830" s="630"/>
      <c r="H830" s="630"/>
      <c r="I830" s="630"/>
      <c r="J830" s="630"/>
      <c r="K830" s="630"/>
      <c r="L830" s="630"/>
      <c r="M830" s="630"/>
      <c r="N830" s="630"/>
      <c r="O830" s="630"/>
      <c r="P830" s="630"/>
      <c r="Q830" s="630"/>
      <c r="R830" s="630"/>
      <c r="S830" s="630"/>
      <c r="T830" s="630"/>
      <c r="U830" s="630"/>
      <c r="V830" s="1161">
        <f t="shared" si="28"/>
        <v>0</v>
      </c>
      <c r="W830" s="536"/>
    </row>
    <row r="831" spans="1:23" s="508" customFormat="1" ht="18" customHeight="1" hidden="1">
      <c r="A831" s="627" t="s">
        <v>155</v>
      </c>
      <c r="B831" s="737" t="s">
        <v>618</v>
      </c>
      <c r="C831" s="630"/>
      <c r="D831" s="630"/>
      <c r="E831" s="630"/>
      <c r="F831" s="630"/>
      <c r="G831" s="630"/>
      <c r="H831" s="630"/>
      <c r="I831" s="630"/>
      <c r="J831" s="630"/>
      <c r="K831" s="630"/>
      <c r="L831" s="630"/>
      <c r="M831" s="630"/>
      <c r="N831" s="630"/>
      <c r="O831" s="630"/>
      <c r="P831" s="630"/>
      <c r="Q831" s="630"/>
      <c r="R831" s="630"/>
      <c r="S831" s="630"/>
      <c r="T831" s="630"/>
      <c r="U831" s="630"/>
      <c r="V831" s="1161">
        <f t="shared" si="28"/>
        <v>0</v>
      </c>
      <c r="W831" s="536"/>
    </row>
    <row r="832" spans="1:23" s="508" customFormat="1" ht="18" customHeight="1">
      <c r="A832" s="625" t="s">
        <v>156</v>
      </c>
      <c r="B832" s="737" t="s">
        <v>648</v>
      </c>
      <c r="C832" s="630"/>
      <c r="D832" s="630"/>
      <c r="E832" s="630"/>
      <c r="F832" s="630">
        <v>2500</v>
      </c>
      <c r="G832" s="630">
        <v>700</v>
      </c>
      <c r="H832" s="630"/>
      <c r="I832" s="630"/>
      <c r="J832" s="630"/>
      <c r="K832" s="630"/>
      <c r="L832" s="630"/>
      <c r="M832" s="630"/>
      <c r="N832" s="630"/>
      <c r="O832" s="630"/>
      <c r="P832" s="630"/>
      <c r="Q832" s="630"/>
      <c r="R832" s="630"/>
      <c r="S832" s="630"/>
      <c r="T832" s="630"/>
      <c r="U832" s="630"/>
      <c r="V832" s="1161">
        <f t="shared" si="28"/>
        <v>3200</v>
      </c>
      <c r="W832" s="536"/>
    </row>
    <row r="833" spans="1:23" s="508" customFormat="1" ht="18" customHeight="1" hidden="1">
      <c r="A833" s="625" t="s">
        <v>157</v>
      </c>
      <c r="B833" s="737" t="s">
        <v>650</v>
      </c>
      <c r="C833" s="630"/>
      <c r="D833" s="630"/>
      <c r="E833" s="630"/>
      <c r="F833" s="630"/>
      <c r="G833" s="630"/>
      <c r="H833" s="630"/>
      <c r="I833" s="630"/>
      <c r="J833" s="630"/>
      <c r="K833" s="630"/>
      <c r="L833" s="630"/>
      <c r="M833" s="630"/>
      <c r="N833" s="630"/>
      <c r="O833" s="630"/>
      <c r="P833" s="630"/>
      <c r="Q833" s="630"/>
      <c r="R833" s="630"/>
      <c r="S833" s="630"/>
      <c r="T833" s="630"/>
      <c r="U833" s="630"/>
      <c r="V833" s="1161">
        <f t="shared" si="28"/>
        <v>0</v>
      </c>
      <c r="W833" s="536"/>
    </row>
    <row r="834" spans="1:23" s="508" customFormat="1" ht="18" customHeight="1" hidden="1">
      <c r="A834" s="627" t="s">
        <v>158</v>
      </c>
      <c r="B834" s="737" t="s">
        <v>651</v>
      </c>
      <c r="C834" s="630"/>
      <c r="D834" s="630"/>
      <c r="E834" s="630"/>
      <c r="F834" s="630"/>
      <c r="G834" s="630"/>
      <c r="H834" s="630"/>
      <c r="I834" s="630"/>
      <c r="J834" s="630"/>
      <c r="K834" s="630"/>
      <c r="L834" s="630"/>
      <c r="M834" s="630"/>
      <c r="N834" s="630"/>
      <c r="O834" s="630"/>
      <c r="P834" s="630"/>
      <c r="Q834" s="630"/>
      <c r="R834" s="630"/>
      <c r="S834" s="630"/>
      <c r="T834" s="630"/>
      <c r="U834" s="630"/>
      <c r="V834" s="1161">
        <f t="shared" si="28"/>
        <v>0</v>
      </c>
      <c r="W834" s="536"/>
    </row>
    <row r="835" spans="1:23" s="508" customFormat="1" ht="18" customHeight="1" hidden="1">
      <c r="A835" s="625" t="s">
        <v>159</v>
      </c>
      <c r="B835" s="737" t="s">
        <v>652</v>
      </c>
      <c r="C835" s="630"/>
      <c r="D835" s="630"/>
      <c r="E835" s="630"/>
      <c r="F835" s="630"/>
      <c r="G835" s="630"/>
      <c r="H835" s="630"/>
      <c r="I835" s="630"/>
      <c r="J835" s="630"/>
      <c r="K835" s="630"/>
      <c r="L835" s="630"/>
      <c r="M835" s="630"/>
      <c r="N835" s="630"/>
      <c r="O835" s="630"/>
      <c r="P835" s="630"/>
      <c r="Q835" s="630"/>
      <c r="R835" s="630"/>
      <c r="S835" s="630"/>
      <c r="T835" s="630"/>
      <c r="U835" s="630"/>
      <c r="V835" s="1161">
        <f t="shared" si="28"/>
        <v>0</v>
      </c>
      <c r="W835" s="536"/>
    </row>
    <row r="836" spans="1:23" s="609" customFormat="1" ht="18" customHeight="1">
      <c r="A836" s="627" t="s">
        <v>160</v>
      </c>
      <c r="B836" s="737" t="s">
        <v>653</v>
      </c>
      <c r="C836" s="630"/>
      <c r="D836" s="630"/>
      <c r="E836" s="630"/>
      <c r="F836" s="630">
        <v>4800</v>
      </c>
      <c r="G836" s="630">
        <v>800</v>
      </c>
      <c r="H836" s="630">
        <v>200</v>
      </c>
      <c r="I836" s="630"/>
      <c r="J836" s="630"/>
      <c r="K836" s="630"/>
      <c r="L836" s="630"/>
      <c r="M836" s="630"/>
      <c r="N836" s="630"/>
      <c r="O836" s="630"/>
      <c r="P836" s="630"/>
      <c r="Q836" s="630"/>
      <c r="R836" s="630"/>
      <c r="S836" s="630"/>
      <c r="T836" s="630"/>
      <c r="U836" s="630"/>
      <c r="V836" s="1161">
        <f t="shared" si="28"/>
        <v>5800</v>
      </c>
      <c r="W836" s="536"/>
    </row>
    <row r="837" spans="1:23" s="609" customFormat="1" ht="18" customHeight="1">
      <c r="A837" s="625" t="s">
        <v>161</v>
      </c>
      <c r="B837" s="737" t="s">
        <v>654</v>
      </c>
      <c r="C837" s="630"/>
      <c r="D837" s="630"/>
      <c r="E837" s="630"/>
      <c r="F837" s="630">
        <v>4700</v>
      </c>
      <c r="G837" s="630"/>
      <c r="H837" s="630"/>
      <c r="I837" s="630"/>
      <c r="J837" s="630"/>
      <c r="K837" s="630"/>
      <c r="L837" s="630"/>
      <c r="M837" s="630"/>
      <c r="N837" s="630"/>
      <c r="O837" s="630"/>
      <c r="P837" s="630"/>
      <c r="Q837" s="630"/>
      <c r="R837" s="630"/>
      <c r="S837" s="630"/>
      <c r="T837" s="630"/>
      <c r="U837" s="630"/>
      <c r="V837" s="1161">
        <f t="shared" si="28"/>
        <v>4700</v>
      </c>
      <c r="W837" s="536"/>
    </row>
    <row r="838" spans="1:23" s="609" customFormat="1" ht="18" customHeight="1" hidden="1">
      <c r="A838" s="627" t="s">
        <v>162</v>
      </c>
      <c r="B838" s="737" t="s">
        <v>655</v>
      </c>
      <c r="C838" s="630"/>
      <c r="D838" s="630"/>
      <c r="E838" s="630"/>
      <c r="F838" s="630"/>
      <c r="G838" s="630"/>
      <c r="H838" s="630"/>
      <c r="I838" s="630"/>
      <c r="J838" s="630"/>
      <c r="K838" s="630"/>
      <c r="L838" s="630"/>
      <c r="M838" s="630"/>
      <c r="N838" s="630"/>
      <c r="O838" s="630"/>
      <c r="P838" s="630"/>
      <c r="Q838" s="630"/>
      <c r="R838" s="630"/>
      <c r="S838" s="630"/>
      <c r="T838" s="630"/>
      <c r="U838" s="630"/>
      <c r="V838" s="1161">
        <f t="shared" si="28"/>
        <v>0</v>
      </c>
      <c r="W838" s="536"/>
    </row>
    <row r="839" spans="1:23" s="609" customFormat="1" ht="18" customHeight="1" hidden="1">
      <c r="A839" s="625" t="s">
        <v>163</v>
      </c>
      <c r="B839" s="737" t="s">
        <v>656</v>
      </c>
      <c r="C839" s="630"/>
      <c r="D839" s="630"/>
      <c r="E839" s="630"/>
      <c r="F839" s="630"/>
      <c r="G839" s="630"/>
      <c r="H839" s="630"/>
      <c r="I839" s="630"/>
      <c r="J839" s="630"/>
      <c r="K839" s="630"/>
      <c r="L839" s="630"/>
      <c r="M839" s="630"/>
      <c r="N839" s="630"/>
      <c r="O839" s="630"/>
      <c r="P839" s="630"/>
      <c r="Q839" s="630"/>
      <c r="R839" s="630"/>
      <c r="S839" s="630"/>
      <c r="T839" s="630"/>
      <c r="U839" s="630"/>
      <c r="V839" s="1161">
        <f t="shared" si="28"/>
        <v>0</v>
      </c>
      <c r="W839" s="536"/>
    </row>
    <row r="840" spans="1:23" s="609" customFormat="1" ht="18" customHeight="1" hidden="1">
      <c r="A840" s="627" t="s">
        <v>164</v>
      </c>
      <c r="B840" s="737" t="s">
        <v>657</v>
      </c>
      <c r="C840" s="630"/>
      <c r="D840" s="630"/>
      <c r="E840" s="630"/>
      <c r="F840" s="630"/>
      <c r="G840" s="630"/>
      <c r="H840" s="630"/>
      <c r="I840" s="630"/>
      <c r="J840" s="630"/>
      <c r="K840" s="630"/>
      <c r="L840" s="630"/>
      <c r="M840" s="630"/>
      <c r="N840" s="630"/>
      <c r="O840" s="630"/>
      <c r="P840" s="630"/>
      <c r="Q840" s="630"/>
      <c r="R840" s="630"/>
      <c r="S840" s="630"/>
      <c r="T840" s="630"/>
      <c r="U840" s="630"/>
      <c r="V840" s="1161">
        <f t="shared" si="28"/>
        <v>0</v>
      </c>
      <c r="W840" s="536"/>
    </row>
    <row r="841" spans="1:23" s="609" customFormat="1" ht="18" customHeight="1" hidden="1">
      <c r="A841" s="625" t="s">
        <v>165</v>
      </c>
      <c r="B841" s="737" t="s">
        <v>658</v>
      </c>
      <c r="C841" s="630"/>
      <c r="D841" s="630"/>
      <c r="E841" s="630"/>
      <c r="F841" s="630"/>
      <c r="G841" s="630"/>
      <c r="H841" s="630"/>
      <c r="I841" s="630"/>
      <c r="J841" s="630"/>
      <c r="K841" s="630"/>
      <c r="L841" s="630"/>
      <c r="M841" s="630"/>
      <c r="N841" s="630"/>
      <c r="O841" s="630"/>
      <c r="P841" s="630"/>
      <c r="Q841" s="630"/>
      <c r="R841" s="630"/>
      <c r="S841" s="630"/>
      <c r="T841" s="630"/>
      <c r="U841" s="630"/>
      <c r="V841" s="1161">
        <f t="shared" si="28"/>
        <v>0</v>
      </c>
      <c r="W841" s="536"/>
    </row>
    <row r="842" spans="1:23" s="609" customFormat="1" ht="18" customHeight="1">
      <c r="A842" s="627" t="s">
        <v>166</v>
      </c>
      <c r="B842" s="737" t="s">
        <v>660</v>
      </c>
      <c r="C842" s="630"/>
      <c r="D842" s="630"/>
      <c r="E842" s="630"/>
      <c r="F842" s="630">
        <v>2600</v>
      </c>
      <c r="G842" s="630"/>
      <c r="H842" s="630"/>
      <c r="I842" s="630"/>
      <c r="J842" s="630"/>
      <c r="K842" s="630"/>
      <c r="L842" s="630"/>
      <c r="M842" s="630"/>
      <c r="N842" s="630"/>
      <c r="O842" s="630"/>
      <c r="P842" s="630"/>
      <c r="Q842" s="630"/>
      <c r="R842" s="630"/>
      <c r="S842" s="630"/>
      <c r="T842" s="630"/>
      <c r="U842" s="630"/>
      <c r="V842" s="1161">
        <f t="shared" si="28"/>
        <v>2600</v>
      </c>
      <c r="W842" s="536"/>
    </row>
    <row r="843" spans="1:23" s="609" customFormat="1" ht="18" customHeight="1">
      <c r="A843" s="625" t="s">
        <v>167</v>
      </c>
      <c r="B843" s="737" t="s">
        <v>669</v>
      </c>
      <c r="C843" s="630"/>
      <c r="D843" s="630"/>
      <c r="E843" s="630"/>
      <c r="F843" s="630"/>
      <c r="G843" s="630">
        <v>1100</v>
      </c>
      <c r="H843" s="630">
        <v>200</v>
      </c>
      <c r="I843" s="630"/>
      <c r="J843" s="630"/>
      <c r="K843" s="630"/>
      <c r="L843" s="630"/>
      <c r="M843" s="630"/>
      <c r="N843" s="630"/>
      <c r="O843" s="630"/>
      <c r="P843" s="630"/>
      <c r="Q843" s="630"/>
      <c r="R843" s="630"/>
      <c r="S843" s="630"/>
      <c r="T843" s="630"/>
      <c r="U843" s="630"/>
      <c r="V843" s="1161">
        <f t="shared" si="28"/>
        <v>1300</v>
      </c>
      <c r="W843" s="536"/>
    </row>
    <row r="844" spans="1:23" ht="18" customHeight="1" hidden="1">
      <c r="A844" s="627" t="s">
        <v>168</v>
      </c>
      <c r="B844" s="737" t="s">
        <v>671</v>
      </c>
      <c r="C844" s="630"/>
      <c r="D844" s="630"/>
      <c r="E844" s="630"/>
      <c r="F844" s="630"/>
      <c r="G844" s="630"/>
      <c r="H844" s="630"/>
      <c r="I844" s="630"/>
      <c r="J844" s="630"/>
      <c r="K844" s="630"/>
      <c r="L844" s="630"/>
      <c r="M844" s="630"/>
      <c r="N844" s="630"/>
      <c r="O844" s="630"/>
      <c r="P844" s="630"/>
      <c r="Q844" s="630"/>
      <c r="R844" s="630"/>
      <c r="S844" s="630"/>
      <c r="T844" s="630"/>
      <c r="U844" s="630"/>
      <c r="V844" s="1161">
        <f t="shared" si="28"/>
        <v>0</v>
      </c>
      <c r="W844" s="536"/>
    </row>
    <row r="845" spans="1:23" ht="18" customHeight="1" hidden="1">
      <c r="A845" s="625" t="s">
        <v>169</v>
      </c>
      <c r="B845" s="737" t="s">
        <v>672</v>
      </c>
      <c r="C845" s="630"/>
      <c r="D845" s="630"/>
      <c r="E845" s="630"/>
      <c r="F845" s="630"/>
      <c r="G845" s="630"/>
      <c r="H845" s="630"/>
      <c r="I845" s="630"/>
      <c r="J845" s="630"/>
      <c r="K845" s="630"/>
      <c r="L845" s="630"/>
      <c r="M845" s="630"/>
      <c r="N845" s="630"/>
      <c r="O845" s="630"/>
      <c r="P845" s="630"/>
      <c r="Q845" s="630"/>
      <c r="R845" s="630"/>
      <c r="S845" s="630"/>
      <c r="T845" s="630"/>
      <c r="U845" s="630"/>
      <c r="V845" s="1161">
        <f t="shared" si="28"/>
        <v>0</v>
      </c>
      <c r="W845" s="536"/>
    </row>
    <row r="846" spans="1:23" ht="18" customHeight="1">
      <c r="A846" s="627" t="s">
        <v>170</v>
      </c>
      <c r="B846" s="737" t="s">
        <v>673</v>
      </c>
      <c r="C846" s="630"/>
      <c r="D846" s="630"/>
      <c r="E846" s="630"/>
      <c r="F846" s="630">
        <v>10000</v>
      </c>
      <c r="G846" s="630">
        <v>1600</v>
      </c>
      <c r="H846" s="630"/>
      <c r="I846" s="630"/>
      <c r="J846" s="630"/>
      <c r="K846" s="630"/>
      <c r="L846" s="630"/>
      <c r="M846" s="630"/>
      <c r="N846" s="630"/>
      <c r="O846" s="630"/>
      <c r="P846" s="630"/>
      <c r="Q846" s="630"/>
      <c r="R846" s="630"/>
      <c r="S846" s="630"/>
      <c r="T846" s="630"/>
      <c r="U846" s="630"/>
      <c r="V846" s="1161">
        <f t="shared" si="28"/>
        <v>11600</v>
      </c>
      <c r="W846" s="536"/>
    </row>
    <row r="847" spans="1:23" s="508" customFormat="1" ht="18" customHeight="1">
      <c r="A847" s="625" t="s">
        <v>171</v>
      </c>
      <c r="B847" s="737" t="s">
        <v>676</v>
      </c>
      <c r="C847" s="630"/>
      <c r="D847" s="630"/>
      <c r="E847" s="630"/>
      <c r="F847" s="630"/>
      <c r="G847" s="630">
        <v>600</v>
      </c>
      <c r="H847" s="630"/>
      <c r="I847" s="630"/>
      <c r="J847" s="630"/>
      <c r="K847" s="630"/>
      <c r="L847" s="630"/>
      <c r="M847" s="630"/>
      <c r="N847" s="630"/>
      <c r="O847" s="630"/>
      <c r="P847" s="630"/>
      <c r="Q847" s="630"/>
      <c r="R847" s="630"/>
      <c r="S847" s="630"/>
      <c r="T847" s="630"/>
      <c r="U847" s="630"/>
      <c r="V847" s="1161">
        <f t="shared" si="28"/>
        <v>600</v>
      </c>
      <c r="W847" s="536"/>
    </row>
    <row r="848" spans="1:23" s="508" customFormat="1" ht="18" customHeight="1" hidden="1">
      <c r="A848" s="627" t="s">
        <v>172</v>
      </c>
      <c r="B848" s="737" t="s">
        <v>677</v>
      </c>
      <c r="C848" s="630"/>
      <c r="D848" s="630"/>
      <c r="E848" s="630"/>
      <c r="F848" s="630"/>
      <c r="G848" s="630"/>
      <c r="H848" s="630"/>
      <c r="I848" s="630"/>
      <c r="J848" s="630"/>
      <c r="K848" s="630"/>
      <c r="L848" s="630"/>
      <c r="M848" s="630"/>
      <c r="N848" s="630"/>
      <c r="O848" s="630"/>
      <c r="P848" s="630"/>
      <c r="Q848" s="630"/>
      <c r="R848" s="630"/>
      <c r="S848" s="630"/>
      <c r="T848" s="630"/>
      <c r="U848" s="630"/>
      <c r="V848" s="1161">
        <f t="shared" si="28"/>
        <v>0</v>
      </c>
      <c r="W848" s="536"/>
    </row>
    <row r="849" spans="1:23" s="508" customFormat="1" ht="18" customHeight="1" hidden="1">
      <c r="A849" s="625" t="s">
        <v>173</v>
      </c>
      <c r="B849" s="737" t="s">
        <v>678</v>
      </c>
      <c r="C849" s="630"/>
      <c r="D849" s="630"/>
      <c r="E849" s="630"/>
      <c r="F849" s="630"/>
      <c r="G849" s="630"/>
      <c r="H849" s="630"/>
      <c r="I849" s="630"/>
      <c r="J849" s="630"/>
      <c r="K849" s="630"/>
      <c r="L849" s="630"/>
      <c r="M849" s="630"/>
      <c r="N849" s="630"/>
      <c r="O849" s="630"/>
      <c r="P849" s="630"/>
      <c r="Q849" s="630"/>
      <c r="R849" s="630"/>
      <c r="S849" s="630"/>
      <c r="T849" s="630"/>
      <c r="U849" s="630"/>
      <c r="V849" s="1161">
        <f t="shared" si="28"/>
        <v>0</v>
      </c>
      <c r="W849" s="536"/>
    </row>
    <row r="850" spans="1:23" s="508" customFormat="1" ht="18" customHeight="1" hidden="1">
      <c r="A850" s="627" t="s">
        <v>174</v>
      </c>
      <c r="B850" s="737" t="s">
        <v>679</v>
      </c>
      <c r="C850" s="630"/>
      <c r="D850" s="630"/>
      <c r="E850" s="630"/>
      <c r="F850" s="630"/>
      <c r="G850" s="630"/>
      <c r="H850" s="630"/>
      <c r="I850" s="630"/>
      <c r="J850" s="630"/>
      <c r="K850" s="630"/>
      <c r="L850" s="630"/>
      <c r="M850" s="630"/>
      <c r="N850" s="630"/>
      <c r="O850" s="630"/>
      <c r="P850" s="630"/>
      <c r="Q850" s="630"/>
      <c r="R850" s="630"/>
      <c r="S850" s="630"/>
      <c r="T850" s="630"/>
      <c r="U850" s="630"/>
      <c r="V850" s="1161">
        <f t="shared" si="28"/>
        <v>0</v>
      </c>
      <c r="W850" s="536"/>
    </row>
    <row r="851" spans="1:23" s="508" customFormat="1" ht="18" customHeight="1" hidden="1">
      <c r="A851" s="627" t="s">
        <v>175</v>
      </c>
      <c r="B851" s="737" t="s">
        <v>680</v>
      </c>
      <c r="C851" s="630"/>
      <c r="D851" s="630"/>
      <c r="E851" s="630"/>
      <c r="F851" s="630"/>
      <c r="G851" s="630"/>
      <c r="H851" s="630"/>
      <c r="I851" s="630"/>
      <c r="J851" s="630"/>
      <c r="K851" s="630"/>
      <c r="L851" s="630"/>
      <c r="M851" s="630"/>
      <c r="N851" s="630"/>
      <c r="O851" s="630"/>
      <c r="P851" s="630"/>
      <c r="Q851" s="630"/>
      <c r="R851" s="630"/>
      <c r="S851" s="630"/>
      <c r="T851" s="630"/>
      <c r="U851" s="630"/>
      <c r="V851" s="1161">
        <f t="shared" si="28"/>
        <v>0</v>
      </c>
      <c r="W851" s="536"/>
    </row>
    <row r="852" spans="1:23" s="508" customFormat="1" ht="18" customHeight="1" hidden="1">
      <c r="A852" s="627" t="s">
        <v>176</v>
      </c>
      <c r="B852" s="737" t="s">
        <v>720</v>
      </c>
      <c r="C852" s="630"/>
      <c r="D852" s="630"/>
      <c r="E852" s="630"/>
      <c r="F852" s="630"/>
      <c r="G852" s="630"/>
      <c r="H852" s="630"/>
      <c r="I852" s="630"/>
      <c r="J852" s="630"/>
      <c r="K852" s="630"/>
      <c r="L852" s="630"/>
      <c r="M852" s="630"/>
      <c r="N852" s="630"/>
      <c r="O852" s="630"/>
      <c r="P852" s="630"/>
      <c r="Q852" s="630"/>
      <c r="R852" s="630"/>
      <c r="S852" s="630"/>
      <c r="T852" s="630"/>
      <c r="U852" s="630"/>
      <c r="V852" s="1161">
        <f t="shared" si="28"/>
        <v>0</v>
      </c>
      <c r="W852" s="536"/>
    </row>
    <row r="853" spans="1:23" s="508" customFormat="1" ht="18" customHeight="1">
      <c r="A853" s="625" t="s">
        <v>177</v>
      </c>
      <c r="B853" s="737" t="s">
        <v>721</v>
      </c>
      <c r="C853" s="630"/>
      <c r="D853" s="630"/>
      <c r="E853" s="630"/>
      <c r="F853" s="630"/>
      <c r="G853" s="630">
        <v>2000</v>
      </c>
      <c r="H853" s="630"/>
      <c r="I853" s="630"/>
      <c r="J853" s="630"/>
      <c r="K853" s="630"/>
      <c r="L853" s="630"/>
      <c r="M853" s="630"/>
      <c r="N853" s="630"/>
      <c r="O853" s="630"/>
      <c r="P853" s="630"/>
      <c r="Q853" s="630"/>
      <c r="R853" s="630"/>
      <c r="S853" s="630"/>
      <c r="T853" s="630"/>
      <c r="U853" s="630"/>
      <c r="V853" s="1161">
        <f t="shared" si="28"/>
        <v>2000</v>
      </c>
      <c r="W853" s="536"/>
    </row>
    <row r="854" spans="1:23" s="508" customFormat="1" ht="18" customHeight="1">
      <c r="A854" s="627" t="s">
        <v>178</v>
      </c>
      <c r="B854" s="737" t="s">
        <v>1068</v>
      </c>
      <c r="C854" s="630"/>
      <c r="D854" s="630"/>
      <c r="E854" s="630"/>
      <c r="F854" s="630"/>
      <c r="G854" s="630">
        <v>1500</v>
      </c>
      <c r="H854" s="630">
        <v>200</v>
      </c>
      <c r="I854" s="630"/>
      <c r="J854" s="630"/>
      <c r="K854" s="630"/>
      <c r="L854" s="630"/>
      <c r="M854" s="630"/>
      <c r="N854" s="630"/>
      <c r="O854" s="630"/>
      <c r="P854" s="630"/>
      <c r="Q854" s="630"/>
      <c r="R854" s="630"/>
      <c r="S854" s="630"/>
      <c r="T854" s="630"/>
      <c r="U854" s="630"/>
      <c r="V854" s="1161">
        <f aca="true" t="shared" si="32" ref="V854:V870">SUM(C854:U854)</f>
        <v>1700</v>
      </c>
      <c r="W854" s="536"/>
    </row>
    <row r="855" spans="1:23" s="508" customFormat="1" ht="18" customHeight="1">
      <c r="A855" s="625" t="s">
        <v>179</v>
      </c>
      <c r="B855" s="737" t="s">
        <v>1069</v>
      </c>
      <c r="C855" s="630"/>
      <c r="D855" s="630"/>
      <c r="E855" s="630"/>
      <c r="F855" s="630">
        <v>1000</v>
      </c>
      <c r="G855" s="630">
        <v>1000</v>
      </c>
      <c r="H855" s="630"/>
      <c r="I855" s="630"/>
      <c r="J855" s="630"/>
      <c r="K855" s="630"/>
      <c r="L855" s="630"/>
      <c r="M855" s="630"/>
      <c r="N855" s="630"/>
      <c r="O855" s="630"/>
      <c r="P855" s="630"/>
      <c r="Q855" s="630"/>
      <c r="R855" s="630"/>
      <c r="S855" s="630"/>
      <c r="T855" s="630"/>
      <c r="U855" s="630"/>
      <c r="V855" s="1161">
        <f t="shared" si="32"/>
        <v>2000</v>
      </c>
      <c r="W855" s="536"/>
    </row>
    <row r="856" spans="1:23" s="508" customFormat="1" ht="18" customHeight="1" hidden="1">
      <c r="A856" s="627" t="s">
        <v>180</v>
      </c>
      <c r="B856" s="737" t="s">
        <v>1070</v>
      </c>
      <c r="C856" s="630"/>
      <c r="D856" s="630"/>
      <c r="E856" s="630"/>
      <c r="F856" s="630"/>
      <c r="G856" s="630"/>
      <c r="H856" s="630"/>
      <c r="I856" s="630"/>
      <c r="J856" s="630"/>
      <c r="K856" s="630"/>
      <c r="L856" s="630"/>
      <c r="M856" s="630"/>
      <c r="N856" s="630"/>
      <c r="O856" s="630"/>
      <c r="P856" s="630"/>
      <c r="Q856" s="630"/>
      <c r="R856" s="630"/>
      <c r="S856" s="630"/>
      <c r="T856" s="630"/>
      <c r="U856" s="630"/>
      <c r="V856" s="1161">
        <f t="shared" si="32"/>
        <v>0</v>
      </c>
      <c r="W856" s="536"/>
    </row>
    <row r="857" spans="1:23" s="508" customFormat="1" ht="18" customHeight="1">
      <c r="A857" s="625" t="s">
        <v>181</v>
      </c>
      <c r="B857" s="737" t="s">
        <v>1071</v>
      </c>
      <c r="C857" s="630"/>
      <c r="D857" s="630"/>
      <c r="E857" s="630"/>
      <c r="F857" s="630">
        <v>6000</v>
      </c>
      <c r="G857" s="630">
        <v>3420</v>
      </c>
      <c r="H857" s="630">
        <v>210</v>
      </c>
      <c r="I857" s="630">
        <v>-1000</v>
      </c>
      <c r="J857" s="630"/>
      <c r="K857" s="630"/>
      <c r="L857" s="630"/>
      <c r="M857" s="630">
        <v>-4000</v>
      </c>
      <c r="N857" s="630"/>
      <c r="O857" s="630"/>
      <c r="P857" s="630"/>
      <c r="Q857" s="630"/>
      <c r="R857" s="630">
        <v>-4000</v>
      </c>
      <c r="S857" s="630"/>
      <c r="T857" s="630">
        <v>-630</v>
      </c>
      <c r="U857" s="630"/>
      <c r="V857" s="1161">
        <f t="shared" si="32"/>
        <v>0</v>
      </c>
      <c r="W857" s="536"/>
    </row>
    <row r="858" spans="1:23" s="508" customFormat="1" ht="18" customHeight="1">
      <c r="A858" s="627" t="s">
        <v>182</v>
      </c>
      <c r="B858" s="737" t="s">
        <v>859</v>
      </c>
      <c r="C858" s="630"/>
      <c r="D858" s="630"/>
      <c r="E858" s="630"/>
      <c r="F858" s="630"/>
      <c r="G858" s="630">
        <v>1600</v>
      </c>
      <c r="H858" s="630"/>
      <c r="I858" s="630"/>
      <c r="J858" s="630"/>
      <c r="K858" s="630"/>
      <c r="L858" s="630"/>
      <c r="M858" s="630"/>
      <c r="N858" s="630"/>
      <c r="O858" s="630"/>
      <c r="P858" s="630"/>
      <c r="Q858" s="630"/>
      <c r="R858" s="630"/>
      <c r="S858" s="630"/>
      <c r="T858" s="630"/>
      <c r="U858" s="630"/>
      <c r="V858" s="1161">
        <f t="shared" si="32"/>
        <v>1600</v>
      </c>
      <c r="W858" s="536"/>
    </row>
    <row r="859" spans="1:23" s="508" customFormat="1" ht="18" customHeight="1">
      <c r="A859" s="625" t="s">
        <v>183</v>
      </c>
      <c r="B859" s="737" t="s">
        <v>856</v>
      </c>
      <c r="C859" s="630"/>
      <c r="D859" s="630"/>
      <c r="E859" s="630"/>
      <c r="F859" s="630">
        <v>5300</v>
      </c>
      <c r="G859" s="630"/>
      <c r="H859" s="630"/>
      <c r="I859" s="630"/>
      <c r="J859" s="630"/>
      <c r="K859" s="630"/>
      <c r="L859" s="630"/>
      <c r="M859" s="630"/>
      <c r="N859" s="630"/>
      <c r="O859" s="630"/>
      <c r="P859" s="630"/>
      <c r="Q859" s="630"/>
      <c r="R859" s="630"/>
      <c r="S859" s="630"/>
      <c r="T859" s="630"/>
      <c r="U859" s="630"/>
      <c r="V859" s="1161">
        <f t="shared" si="32"/>
        <v>5300</v>
      </c>
      <c r="W859" s="536"/>
    </row>
    <row r="860" spans="1:23" s="508" customFormat="1" ht="18" customHeight="1">
      <c r="A860" s="627" t="s">
        <v>184</v>
      </c>
      <c r="B860" s="737" t="s">
        <v>1072</v>
      </c>
      <c r="C860" s="630"/>
      <c r="D860" s="630"/>
      <c r="E860" s="630"/>
      <c r="F860" s="630">
        <v>3400</v>
      </c>
      <c r="G860" s="630">
        <v>1400</v>
      </c>
      <c r="H860" s="630">
        <v>200</v>
      </c>
      <c r="I860" s="630"/>
      <c r="J860" s="630"/>
      <c r="K860" s="630"/>
      <c r="L860" s="630"/>
      <c r="M860" s="630"/>
      <c r="N860" s="630"/>
      <c r="O860" s="630"/>
      <c r="P860" s="630"/>
      <c r="Q860" s="630"/>
      <c r="R860" s="630"/>
      <c r="S860" s="630"/>
      <c r="T860" s="630"/>
      <c r="U860" s="630"/>
      <c r="V860" s="1161">
        <f t="shared" si="32"/>
        <v>5000</v>
      </c>
      <c r="W860" s="536"/>
    </row>
    <row r="861" spans="1:23" s="508" customFormat="1" ht="18" customHeight="1" hidden="1">
      <c r="A861" s="625" t="s">
        <v>185</v>
      </c>
      <c r="B861" s="737" t="s">
        <v>1073</v>
      </c>
      <c r="C861" s="630"/>
      <c r="D861" s="630"/>
      <c r="E861" s="630"/>
      <c r="F861" s="630"/>
      <c r="G861" s="630"/>
      <c r="H861" s="630"/>
      <c r="I861" s="630"/>
      <c r="J861" s="630"/>
      <c r="K861" s="630"/>
      <c r="L861" s="630"/>
      <c r="M861" s="630"/>
      <c r="N861" s="630"/>
      <c r="O861" s="630"/>
      <c r="P861" s="630"/>
      <c r="Q861" s="630"/>
      <c r="R861" s="630"/>
      <c r="S861" s="630"/>
      <c r="T861" s="630"/>
      <c r="U861" s="630"/>
      <c r="V861" s="1161">
        <f t="shared" si="32"/>
        <v>0</v>
      </c>
      <c r="W861" s="536"/>
    </row>
    <row r="862" spans="1:23" s="508" customFormat="1" ht="18" customHeight="1" hidden="1">
      <c r="A862" s="627" t="s">
        <v>186</v>
      </c>
      <c r="B862" s="737" t="s">
        <v>961</v>
      </c>
      <c r="C862" s="630"/>
      <c r="D862" s="630"/>
      <c r="E862" s="630"/>
      <c r="F862" s="630"/>
      <c r="G862" s="630"/>
      <c r="H862" s="630"/>
      <c r="I862" s="630"/>
      <c r="J862" s="630"/>
      <c r="K862" s="630"/>
      <c r="L862" s="630"/>
      <c r="M862" s="630"/>
      <c r="N862" s="630"/>
      <c r="O862" s="630"/>
      <c r="P862" s="630"/>
      <c r="Q862" s="630"/>
      <c r="R862" s="630"/>
      <c r="S862" s="630"/>
      <c r="T862" s="630"/>
      <c r="U862" s="630"/>
      <c r="V862" s="1161">
        <f t="shared" si="32"/>
        <v>0</v>
      </c>
      <c r="W862" s="536"/>
    </row>
    <row r="863" spans="1:23" s="508" customFormat="1" ht="25.5">
      <c r="A863" s="627" t="s">
        <v>187</v>
      </c>
      <c r="B863" s="746" t="s">
        <v>704</v>
      </c>
      <c r="C863" s="630"/>
      <c r="D863" s="630"/>
      <c r="E863" s="630"/>
      <c r="F863" s="630">
        <v>2700</v>
      </c>
      <c r="G863" s="630">
        <v>1900</v>
      </c>
      <c r="H863" s="630">
        <v>300</v>
      </c>
      <c r="I863" s="630"/>
      <c r="J863" s="630"/>
      <c r="K863" s="630"/>
      <c r="L863" s="630"/>
      <c r="M863" s="630"/>
      <c r="N863" s="630"/>
      <c r="O863" s="630"/>
      <c r="P863" s="630"/>
      <c r="Q863" s="630"/>
      <c r="R863" s="630"/>
      <c r="S863" s="630"/>
      <c r="T863" s="630"/>
      <c r="U863" s="630"/>
      <c r="V863" s="1161">
        <f t="shared" si="32"/>
        <v>4900</v>
      </c>
      <c r="W863" s="536"/>
    </row>
    <row r="864" spans="1:23" s="508" customFormat="1" ht="25.5" hidden="1">
      <c r="A864" s="625" t="s">
        <v>188</v>
      </c>
      <c r="B864" s="746" t="s">
        <v>703</v>
      </c>
      <c r="C864" s="630"/>
      <c r="D864" s="630"/>
      <c r="E864" s="630"/>
      <c r="F864" s="630"/>
      <c r="G864" s="630"/>
      <c r="H864" s="630"/>
      <c r="I864" s="630"/>
      <c r="J864" s="630"/>
      <c r="K864" s="630"/>
      <c r="L864" s="630"/>
      <c r="M864" s="630"/>
      <c r="N864" s="630"/>
      <c r="O864" s="630"/>
      <c r="P864" s="630"/>
      <c r="Q864" s="630"/>
      <c r="R864" s="630"/>
      <c r="S864" s="630"/>
      <c r="T864" s="630"/>
      <c r="U864" s="630"/>
      <c r="V864" s="1161">
        <f t="shared" si="32"/>
        <v>0</v>
      </c>
      <c r="W864" s="536"/>
    </row>
    <row r="865" spans="1:23" s="508" customFormat="1" ht="18" customHeight="1" hidden="1">
      <c r="A865" s="627" t="s">
        <v>189</v>
      </c>
      <c r="B865" s="737" t="s">
        <v>962</v>
      </c>
      <c r="C865" s="630"/>
      <c r="D865" s="630"/>
      <c r="E865" s="630"/>
      <c r="F865" s="630"/>
      <c r="G865" s="630"/>
      <c r="H865" s="630"/>
      <c r="I865" s="630"/>
      <c r="J865" s="630"/>
      <c r="K865" s="630"/>
      <c r="L865" s="630"/>
      <c r="M865" s="630"/>
      <c r="N865" s="630"/>
      <c r="O865" s="630"/>
      <c r="P865" s="630"/>
      <c r="Q865" s="630"/>
      <c r="R865" s="630"/>
      <c r="S865" s="630"/>
      <c r="T865" s="630"/>
      <c r="U865" s="630"/>
      <c r="V865" s="1161">
        <f t="shared" si="32"/>
        <v>0</v>
      </c>
      <c r="W865" s="536"/>
    </row>
    <row r="866" spans="1:23" s="508" customFormat="1" ht="22.5" customHeight="1">
      <c r="A866" s="1315"/>
      <c r="B866" s="1316"/>
      <c r="C866" s="1317"/>
      <c r="D866" s="1317"/>
      <c r="E866" s="1317"/>
      <c r="F866" s="1317"/>
      <c r="G866" s="1317"/>
      <c r="H866" s="1317"/>
      <c r="I866" s="1317"/>
      <c r="J866" s="1317"/>
      <c r="K866" s="1317"/>
      <c r="L866" s="1317"/>
      <c r="M866" s="1317"/>
      <c r="N866" s="1317"/>
      <c r="O866" s="1317"/>
      <c r="P866" s="1317"/>
      <c r="Q866" s="1317"/>
      <c r="R866" s="1317"/>
      <c r="S866" s="1317"/>
      <c r="T866" s="1317"/>
      <c r="U866" s="1317"/>
      <c r="V866" s="1318"/>
      <c r="W866" s="536"/>
    </row>
    <row r="867" spans="1:23" s="508" customFormat="1" ht="18.75" customHeight="1">
      <c r="A867" s="625" t="s">
        <v>190</v>
      </c>
      <c r="B867" s="692" t="s">
        <v>702</v>
      </c>
      <c r="C867" s="626"/>
      <c r="D867" s="626"/>
      <c r="E867" s="626"/>
      <c r="F867" s="626">
        <v>6000</v>
      </c>
      <c r="G867" s="626">
        <v>2000</v>
      </c>
      <c r="H867" s="626"/>
      <c r="I867" s="626"/>
      <c r="J867" s="626"/>
      <c r="K867" s="626"/>
      <c r="L867" s="626"/>
      <c r="M867" s="626"/>
      <c r="N867" s="626"/>
      <c r="O867" s="626"/>
      <c r="P867" s="626"/>
      <c r="Q867" s="626"/>
      <c r="R867" s="626"/>
      <c r="S867" s="626"/>
      <c r="T867" s="626"/>
      <c r="U867" s="626"/>
      <c r="V867" s="1163">
        <f t="shared" si="32"/>
        <v>8000</v>
      </c>
      <c r="W867" s="536"/>
    </row>
    <row r="868" spans="1:23" s="508" customFormat="1" ht="18" customHeight="1">
      <c r="A868" s="627" t="s">
        <v>191</v>
      </c>
      <c r="B868" s="737" t="s">
        <v>707</v>
      </c>
      <c r="C868" s="630"/>
      <c r="D868" s="630"/>
      <c r="E868" s="630"/>
      <c r="F868" s="630">
        <v>3352</v>
      </c>
      <c r="G868" s="630">
        <v>500</v>
      </c>
      <c r="H868" s="630">
        <v>200</v>
      </c>
      <c r="I868" s="630"/>
      <c r="J868" s="630"/>
      <c r="K868" s="630"/>
      <c r="L868" s="630"/>
      <c r="M868" s="630"/>
      <c r="N868" s="630"/>
      <c r="O868" s="630"/>
      <c r="P868" s="630"/>
      <c r="Q868" s="630"/>
      <c r="R868" s="630"/>
      <c r="S868" s="630"/>
      <c r="T868" s="630"/>
      <c r="U868" s="630"/>
      <c r="V868" s="1161">
        <f t="shared" si="32"/>
        <v>4052</v>
      </c>
      <c r="W868" s="536"/>
    </row>
    <row r="869" spans="1:23" s="508" customFormat="1" ht="18.75" customHeight="1">
      <c r="A869" s="627"/>
      <c r="B869" s="737" t="s">
        <v>1073</v>
      </c>
      <c r="C869" s="630"/>
      <c r="D869" s="630"/>
      <c r="E869" s="630"/>
      <c r="F869" s="630">
        <v>-15719</v>
      </c>
      <c r="G869" s="630">
        <v>-990</v>
      </c>
      <c r="H869" s="630">
        <v>-380</v>
      </c>
      <c r="I869" s="630"/>
      <c r="J869" s="630"/>
      <c r="K869" s="630"/>
      <c r="L869" s="630"/>
      <c r="M869" s="630"/>
      <c r="N869" s="630"/>
      <c r="O869" s="630"/>
      <c r="P869" s="630"/>
      <c r="Q869" s="630"/>
      <c r="R869" s="630"/>
      <c r="S869" s="630"/>
      <c r="T869" s="630"/>
      <c r="U869" s="630"/>
      <c r="V869" s="1161">
        <f t="shared" si="32"/>
        <v>-17089</v>
      </c>
      <c r="W869" s="536"/>
    </row>
    <row r="870" spans="1:23" s="508" customFormat="1" ht="16.5" customHeight="1">
      <c r="A870" s="629" t="s">
        <v>192</v>
      </c>
      <c r="B870" s="737" t="s">
        <v>992</v>
      </c>
      <c r="C870" s="780"/>
      <c r="D870" s="780"/>
      <c r="E870" s="780"/>
      <c r="F870" s="780">
        <v>3600</v>
      </c>
      <c r="G870" s="780">
        <v>500</v>
      </c>
      <c r="H870" s="780"/>
      <c r="I870" s="780"/>
      <c r="J870" s="780"/>
      <c r="K870" s="780"/>
      <c r="L870" s="780"/>
      <c r="M870" s="780"/>
      <c r="N870" s="780"/>
      <c r="O870" s="780"/>
      <c r="P870" s="780"/>
      <c r="Q870" s="780"/>
      <c r="R870" s="780"/>
      <c r="S870" s="780"/>
      <c r="T870" s="780"/>
      <c r="U870" s="780"/>
      <c r="V870" s="1161">
        <f t="shared" si="32"/>
        <v>4100</v>
      </c>
      <c r="W870" s="536"/>
    </row>
    <row r="871" spans="1:23" s="508" customFormat="1" ht="18" customHeight="1" hidden="1">
      <c r="A871" s="747"/>
      <c r="B871" s="544" t="s">
        <v>695</v>
      </c>
      <c r="C871" s="545"/>
      <c r="D871" s="545"/>
      <c r="E871" s="545"/>
      <c r="F871" s="545"/>
      <c r="G871" s="545"/>
      <c r="H871" s="545"/>
      <c r="I871" s="545"/>
      <c r="J871" s="545"/>
      <c r="K871" s="545"/>
      <c r="L871" s="545"/>
      <c r="M871" s="545"/>
      <c r="N871" s="545"/>
      <c r="O871" s="545"/>
      <c r="P871" s="545"/>
      <c r="Q871" s="545"/>
      <c r="R871" s="545"/>
      <c r="S871" s="545"/>
      <c r="T871" s="545"/>
      <c r="U871" s="545"/>
      <c r="V871" s="781" t="e">
        <f>SUM(C871:U871)-#REF!</f>
        <v>#REF!</v>
      </c>
      <c r="W871" s="536"/>
    </row>
    <row r="872" spans="1:23" s="787" customFormat="1" ht="18" customHeight="1" hidden="1">
      <c r="A872" s="782" t="s">
        <v>193</v>
      </c>
      <c r="B872" s="783" t="s">
        <v>194</v>
      </c>
      <c r="C872" s="784">
        <f>SUM(C873:C923)</f>
        <v>0</v>
      </c>
      <c r="D872" s="784">
        <f aca="true" t="shared" si="33" ref="D872:U872">SUM(D873:D923)</f>
        <v>0</v>
      </c>
      <c r="E872" s="784">
        <f t="shared" si="33"/>
        <v>0</v>
      </c>
      <c r="F872" s="784">
        <f t="shared" si="33"/>
        <v>0</v>
      </c>
      <c r="G872" s="784">
        <f t="shared" si="33"/>
        <v>0</v>
      </c>
      <c r="H872" s="784">
        <f t="shared" si="33"/>
        <v>0</v>
      </c>
      <c r="I872" s="784">
        <f t="shared" si="33"/>
        <v>0</v>
      </c>
      <c r="J872" s="784">
        <f t="shared" si="33"/>
        <v>0</v>
      </c>
      <c r="K872" s="784">
        <f t="shared" si="33"/>
        <v>0</v>
      </c>
      <c r="L872" s="784">
        <f t="shared" si="33"/>
        <v>0</v>
      </c>
      <c r="M872" s="784">
        <f t="shared" si="33"/>
        <v>0</v>
      </c>
      <c r="N872" s="784">
        <f t="shared" si="33"/>
        <v>0</v>
      </c>
      <c r="O872" s="784">
        <f t="shared" si="33"/>
        <v>0</v>
      </c>
      <c r="P872" s="784">
        <f t="shared" si="33"/>
        <v>0</v>
      </c>
      <c r="Q872" s="784">
        <f t="shared" si="33"/>
        <v>0</v>
      </c>
      <c r="R872" s="784">
        <f t="shared" si="33"/>
        <v>0</v>
      </c>
      <c r="S872" s="784">
        <f t="shared" si="33"/>
        <v>0</v>
      </c>
      <c r="T872" s="784">
        <f t="shared" si="33"/>
        <v>0</v>
      </c>
      <c r="U872" s="784">
        <f t="shared" si="33"/>
        <v>0</v>
      </c>
      <c r="V872" s="785" t="e">
        <f>SUM(C872:U872)-#REF!</f>
        <v>#REF!</v>
      </c>
      <c r="W872" s="786"/>
    </row>
    <row r="873" spans="1:23" s="787" customFormat="1" ht="18" customHeight="1" hidden="1">
      <c r="A873" s="788" t="s">
        <v>195</v>
      </c>
      <c r="B873" s="789" t="s">
        <v>603</v>
      </c>
      <c r="C873" s="790"/>
      <c r="D873" s="790"/>
      <c r="E873" s="790"/>
      <c r="F873" s="790"/>
      <c r="G873" s="790"/>
      <c r="H873" s="790"/>
      <c r="I873" s="790"/>
      <c r="J873" s="790"/>
      <c r="K873" s="790"/>
      <c r="L873" s="791"/>
      <c r="M873" s="791"/>
      <c r="N873" s="791"/>
      <c r="O873" s="791"/>
      <c r="P873" s="791"/>
      <c r="Q873" s="791"/>
      <c r="R873" s="791"/>
      <c r="S873" s="791"/>
      <c r="T873" s="792"/>
      <c r="U873" s="791"/>
      <c r="V873" s="533" t="e">
        <f>SUM(C873:U873)-#REF!</f>
        <v>#REF!</v>
      </c>
      <c r="W873" s="786"/>
    </row>
    <row r="874" spans="1:23" s="787" customFormat="1" ht="18" customHeight="1" hidden="1">
      <c r="A874" s="788" t="s">
        <v>196</v>
      </c>
      <c r="B874" s="789" t="s">
        <v>604</v>
      </c>
      <c r="C874" s="790"/>
      <c r="D874" s="790"/>
      <c r="E874" s="790"/>
      <c r="F874" s="790"/>
      <c r="G874" s="790"/>
      <c r="H874" s="790"/>
      <c r="I874" s="790"/>
      <c r="J874" s="790"/>
      <c r="K874" s="790"/>
      <c r="L874" s="791"/>
      <c r="M874" s="791"/>
      <c r="N874" s="791"/>
      <c r="O874" s="791"/>
      <c r="P874" s="791"/>
      <c r="Q874" s="791"/>
      <c r="R874" s="791"/>
      <c r="S874" s="791"/>
      <c r="T874" s="792"/>
      <c r="U874" s="791"/>
      <c r="V874" s="533" t="e">
        <f>SUM(C874:U874)-#REF!</f>
        <v>#REF!</v>
      </c>
      <c r="W874" s="786"/>
    </row>
    <row r="875" spans="1:23" s="787" customFormat="1" ht="18" customHeight="1" hidden="1">
      <c r="A875" s="788" t="s">
        <v>197</v>
      </c>
      <c r="B875" s="789" t="s">
        <v>605</v>
      </c>
      <c r="C875" s="790"/>
      <c r="D875" s="790"/>
      <c r="E875" s="790"/>
      <c r="F875" s="790"/>
      <c r="G875" s="790"/>
      <c r="H875" s="790"/>
      <c r="I875" s="790"/>
      <c r="J875" s="790"/>
      <c r="K875" s="790"/>
      <c r="L875" s="791"/>
      <c r="M875" s="791"/>
      <c r="N875" s="791"/>
      <c r="O875" s="791"/>
      <c r="P875" s="791"/>
      <c r="Q875" s="791"/>
      <c r="R875" s="791"/>
      <c r="S875" s="791"/>
      <c r="T875" s="792"/>
      <c r="U875" s="791"/>
      <c r="V875" s="533" t="e">
        <f>SUM(C875:U875)-#REF!</f>
        <v>#REF!</v>
      </c>
      <c r="W875" s="786"/>
    </row>
    <row r="876" spans="1:23" s="787" customFormat="1" ht="18" customHeight="1" hidden="1">
      <c r="A876" s="788" t="s">
        <v>198</v>
      </c>
      <c r="B876" s="789" t="s">
        <v>606</v>
      </c>
      <c r="C876" s="790"/>
      <c r="D876" s="790"/>
      <c r="E876" s="790"/>
      <c r="F876" s="790"/>
      <c r="G876" s="790"/>
      <c r="H876" s="790"/>
      <c r="I876" s="790"/>
      <c r="J876" s="790"/>
      <c r="K876" s="790"/>
      <c r="L876" s="791"/>
      <c r="M876" s="791"/>
      <c r="N876" s="791"/>
      <c r="O876" s="791"/>
      <c r="P876" s="791"/>
      <c r="Q876" s="791"/>
      <c r="R876" s="791"/>
      <c r="S876" s="791"/>
      <c r="T876" s="792"/>
      <c r="U876" s="791"/>
      <c r="V876" s="533" t="e">
        <f>SUM(C876:U876)-#REF!</f>
        <v>#REF!</v>
      </c>
      <c r="W876" s="786"/>
    </row>
    <row r="877" spans="1:23" s="787" customFormat="1" ht="18" customHeight="1" hidden="1">
      <c r="A877" s="788" t="s">
        <v>199</v>
      </c>
      <c r="B877" s="789" t="s">
        <v>607</v>
      </c>
      <c r="C877" s="790"/>
      <c r="D877" s="790"/>
      <c r="E877" s="790"/>
      <c r="F877" s="790"/>
      <c r="G877" s="790"/>
      <c r="H877" s="790"/>
      <c r="I877" s="790"/>
      <c r="J877" s="790"/>
      <c r="K877" s="790"/>
      <c r="L877" s="791"/>
      <c r="M877" s="791"/>
      <c r="N877" s="791"/>
      <c r="O877" s="791"/>
      <c r="P877" s="791"/>
      <c r="Q877" s="791"/>
      <c r="R877" s="791"/>
      <c r="S877" s="791"/>
      <c r="T877" s="792"/>
      <c r="U877" s="791"/>
      <c r="V877" s="533" t="e">
        <f>SUM(C877:U877)-#REF!</f>
        <v>#REF!</v>
      </c>
      <c r="W877" s="786"/>
    </row>
    <row r="878" spans="1:23" s="787" customFormat="1" ht="18" customHeight="1" hidden="1">
      <c r="A878" s="788" t="s">
        <v>200</v>
      </c>
      <c r="B878" s="789" t="s">
        <v>608</v>
      </c>
      <c r="C878" s="790"/>
      <c r="D878" s="790"/>
      <c r="E878" s="790"/>
      <c r="F878" s="790"/>
      <c r="G878" s="790"/>
      <c r="H878" s="790"/>
      <c r="I878" s="790"/>
      <c r="J878" s="790"/>
      <c r="K878" s="790"/>
      <c r="L878" s="791"/>
      <c r="M878" s="791"/>
      <c r="N878" s="791"/>
      <c r="O878" s="791"/>
      <c r="P878" s="791"/>
      <c r="Q878" s="791"/>
      <c r="R878" s="791"/>
      <c r="S878" s="791"/>
      <c r="T878" s="792"/>
      <c r="U878" s="791"/>
      <c r="V878" s="533" t="e">
        <f>SUM(C878:U878)-#REF!</f>
        <v>#REF!</v>
      </c>
      <c r="W878" s="786"/>
    </row>
    <row r="879" spans="1:23" s="787" customFormat="1" ht="18" customHeight="1" hidden="1">
      <c r="A879" s="788" t="s">
        <v>201</v>
      </c>
      <c r="B879" s="789" t="s">
        <v>609</v>
      </c>
      <c r="C879" s="790"/>
      <c r="D879" s="790"/>
      <c r="E879" s="790"/>
      <c r="F879" s="790"/>
      <c r="G879" s="790"/>
      <c r="H879" s="790"/>
      <c r="I879" s="790"/>
      <c r="J879" s="790"/>
      <c r="K879" s="790"/>
      <c r="L879" s="791"/>
      <c r="M879" s="791"/>
      <c r="N879" s="791"/>
      <c r="O879" s="791"/>
      <c r="P879" s="791"/>
      <c r="Q879" s="791"/>
      <c r="R879" s="791"/>
      <c r="S879" s="791"/>
      <c r="T879" s="792"/>
      <c r="U879" s="791"/>
      <c r="V879" s="533" t="e">
        <f>SUM(C879:U879)-#REF!</f>
        <v>#REF!</v>
      </c>
      <c r="W879" s="786"/>
    </row>
    <row r="880" spans="1:23" s="787" customFormat="1" ht="18" customHeight="1" hidden="1">
      <c r="A880" s="788" t="s">
        <v>202</v>
      </c>
      <c r="B880" s="789" t="s">
        <v>610</v>
      </c>
      <c r="C880" s="790"/>
      <c r="D880" s="790"/>
      <c r="E880" s="790"/>
      <c r="F880" s="790"/>
      <c r="G880" s="790"/>
      <c r="H880" s="790"/>
      <c r="I880" s="790"/>
      <c r="J880" s="790"/>
      <c r="K880" s="790"/>
      <c r="L880" s="791"/>
      <c r="M880" s="791"/>
      <c r="N880" s="791"/>
      <c r="O880" s="791"/>
      <c r="P880" s="791"/>
      <c r="Q880" s="791"/>
      <c r="R880" s="791"/>
      <c r="S880" s="791"/>
      <c r="T880" s="792"/>
      <c r="U880" s="791"/>
      <c r="V880" s="533" t="e">
        <f>SUM(C880:U880)-#REF!</f>
        <v>#REF!</v>
      </c>
      <c r="W880" s="786"/>
    </row>
    <row r="881" spans="1:23" s="787" customFormat="1" ht="18" customHeight="1" hidden="1">
      <c r="A881" s="788" t="s">
        <v>203</v>
      </c>
      <c r="B881" s="789" t="s">
        <v>613</v>
      </c>
      <c r="C881" s="790"/>
      <c r="D881" s="790"/>
      <c r="E881" s="790"/>
      <c r="F881" s="790"/>
      <c r="G881" s="790"/>
      <c r="H881" s="790"/>
      <c r="I881" s="790"/>
      <c r="J881" s="790"/>
      <c r="K881" s="790"/>
      <c r="L881" s="791"/>
      <c r="M881" s="791"/>
      <c r="N881" s="791"/>
      <c r="O881" s="791"/>
      <c r="P881" s="791"/>
      <c r="Q881" s="791"/>
      <c r="R881" s="791"/>
      <c r="S881" s="791"/>
      <c r="T881" s="792"/>
      <c r="U881" s="791"/>
      <c r="V881" s="533" t="e">
        <f>SUM(C881:U881)-#REF!</f>
        <v>#REF!</v>
      </c>
      <c r="W881" s="786"/>
    </row>
    <row r="882" spans="1:23" s="787" customFormat="1" ht="18" customHeight="1" hidden="1">
      <c r="A882" s="788" t="s">
        <v>204</v>
      </c>
      <c r="B882" s="789" t="s">
        <v>614</v>
      </c>
      <c r="C882" s="790"/>
      <c r="D882" s="790"/>
      <c r="E882" s="790"/>
      <c r="F882" s="790"/>
      <c r="G882" s="790"/>
      <c r="H882" s="790"/>
      <c r="I882" s="790"/>
      <c r="J882" s="790"/>
      <c r="K882" s="790"/>
      <c r="L882" s="791"/>
      <c r="M882" s="791"/>
      <c r="N882" s="791"/>
      <c r="O882" s="791"/>
      <c r="P882" s="791"/>
      <c r="Q882" s="791"/>
      <c r="R882" s="791"/>
      <c r="S882" s="791"/>
      <c r="T882" s="792"/>
      <c r="U882" s="791"/>
      <c r="V882" s="533" t="e">
        <f>SUM(C882:U882)-#REF!</f>
        <v>#REF!</v>
      </c>
      <c r="W882" s="786"/>
    </row>
    <row r="883" spans="1:23" s="787" customFormat="1" ht="18" customHeight="1" hidden="1">
      <c r="A883" s="788" t="s">
        <v>205</v>
      </c>
      <c r="B883" s="789" t="s">
        <v>618</v>
      </c>
      <c r="C883" s="790"/>
      <c r="D883" s="790"/>
      <c r="E883" s="790"/>
      <c r="F883" s="790"/>
      <c r="G883" s="790"/>
      <c r="H883" s="790"/>
      <c r="I883" s="790"/>
      <c r="J883" s="790"/>
      <c r="K883" s="790"/>
      <c r="L883" s="791"/>
      <c r="M883" s="791"/>
      <c r="N883" s="791"/>
      <c r="O883" s="791"/>
      <c r="P883" s="791"/>
      <c r="Q883" s="791"/>
      <c r="R883" s="791"/>
      <c r="S883" s="791"/>
      <c r="T883" s="792"/>
      <c r="U883" s="791"/>
      <c r="V883" s="533" t="e">
        <f>SUM(C883:U883)-#REF!</f>
        <v>#REF!</v>
      </c>
      <c r="W883" s="786"/>
    </row>
    <row r="884" spans="1:23" s="787" customFormat="1" ht="18" customHeight="1" hidden="1">
      <c r="A884" s="788" t="s">
        <v>206</v>
      </c>
      <c r="B884" s="789" t="s">
        <v>648</v>
      </c>
      <c r="C884" s="790"/>
      <c r="D884" s="790"/>
      <c r="E884" s="790"/>
      <c r="F884" s="790"/>
      <c r="G884" s="790"/>
      <c r="H884" s="790"/>
      <c r="I884" s="790"/>
      <c r="J884" s="790"/>
      <c r="K884" s="790"/>
      <c r="L884" s="791"/>
      <c r="M884" s="791"/>
      <c r="N884" s="791"/>
      <c r="O884" s="791"/>
      <c r="P884" s="791"/>
      <c r="Q884" s="791"/>
      <c r="R884" s="791"/>
      <c r="S884" s="791"/>
      <c r="T884" s="792"/>
      <c r="U884" s="791"/>
      <c r="V884" s="533" t="e">
        <f>SUM(C884:U884)-#REF!</f>
        <v>#REF!</v>
      </c>
      <c r="W884" s="786"/>
    </row>
    <row r="885" spans="1:23" s="787" customFormat="1" ht="18" customHeight="1" hidden="1">
      <c r="A885" s="788" t="s">
        <v>207</v>
      </c>
      <c r="B885" s="789" t="s">
        <v>651</v>
      </c>
      <c r="C885" s="790"/>
      <c r="D885" s="790"/>
      <c r="E885" s="790"/>
      <c r="F885" s="790"/>
      <c r="G885" s="790"/>
      <c r="H885" s="790"/>
      <c r="I885" s="790"/>
      <c r="J885" s="790"/>
      <c r="K885" s="790"/>
      <c r="L885" s="791"/>
      <c r="M885" s="791"/>
      <c r="N885" s="791"/>
      <c r="O885" s="791"/>
      <c r="P885" s="791"/>
      <c r="Q885" s="791"/>
      <c r="R885" s="791"/>
      <c r="S885" s="791"/>
      <c r="T885" s="792"/>
      <c r="U885" s="791"/>
      <c r="V885" s="533" t="e">
        <f>SUM(C885:U885)-#REF!</f>
        <v>#REF!</v>
      </c>
      <c r="W885" s="786"/>
    </row>
    <row r="886" spans="1:23" s="787" customFormat="1" ht="18" customHeight="1" hidden="1">
      <c r="A886" s="788" t="s">
        <v>208</v>
      </c>
      <c r="B886" s="789" t="s">
        <v>652</v>
      </c>
      <c r="C886" s="790"/>
      <c r="D886" s="790"/>
      <c r="E886" s="790"/>
      <c r="F886" s="790"/>
      <c r="G886" s="790"/>
      <c r="H886" s="790"/>
      <c r="I886" s="790"/>
      <c r="J886" s="790"/>
      <c r="K886" s="790"/>
      <c r="L886" s="791"/>
      <c r="M886" s="791"/>
      <c r="N886" s="791"/>
      <c r="O886" s="791"/>
      <c r="P886" s="791"/>
      <c r="Q886" s="791"/>
      <c r="R886" s="791"/>
      <c r="S886" s="791"/>
      <c r="T886" s="792"/>
      <c r="U886" s="791"/>
      <c r="V886" s="533" t="e">
        <f>SUM(C886:U886)-#REF!</f>
        <v>#REF!</v>
      </c>
      <c r="W886" s="786"/>
    </row>
    <row r="887" spans="1:23" s="787" customFormat="1" ht="18" customHeight="1" hidden="1">
      <c r="A887" s="788" t="s">
        <v>209</v>
      </c>
      <c r="B887" s="789" t="s">
        <v>654</v>
      </c>
      <c r="C887" s="790"/>
      <c r="D887" s="790"/>
      <c r="E887" s="790"/>
      <c r="F887" s="790"/>
      <c r="G887" s="790"/>
      <c r="H887" s="790"/>
      <c r="I887" s="790"/>
      <c r="J887" s="790"/>
      <c r="K887" s="790"/>
      <c r="L887" s="791"/>
      <c r="M887" s="791"/>
      <c r="N887" s="791"/>
      <c r="O887" s="791"/>
      <c r="P887" s="791"/>
      <c r="Q887" s="791"/>
      <c r="R887" s="791"/>
      <c r="S887" s="791"/>
      <c r="T887" s="792"/>
      <c r="U887" s="791"/>
      <c r="V887" s="533" t="e">
        <f>SUM(C887:U887)-#REF!</f>
        <v>#REF!</v>
      </c>
      <c r="W887" s="786"/>
    </row>
    <row r="888" spans="1:23" s="787" customFormat="1" ht="18" customHeight="1" hidden="1">
      <c r="A888" s="788" t="s">
        <v>210</v>
      </c>
      <c r="B888" s="789" t="s">
        <v>655</v>
      </c>
      <c r="C888" s="790"/>
      <c r="D888" s="790"/>
      <c r="E888" s="790"/>
      <c r="F888" s="790"/>
      <c r="G888" s="790"/>
      <c r="H888" s="790"/>
      <c r="I888" s="790"/>
      <c r="J888" s="790"/>
      <c r="K888" s="790"/>
      <c r="L888" s="791"/>
      <c r="M888" s="791"/>
      <c r="N888" s="791"/>
      <c r="O888" s="791"/>
      <c r="P888" s="791"/>
      <c r="Q888" s="791"/>
      <c r="R888" s="791"/>
      <c r="S888" s="791"/>
      <c r="T888" s="792"/>
      <c r="U888" s="791"/>
      <c r="V888" s="533" t="e">
        <f>SUM(C888:U888)-#REF!</f>
        <v>#REF!</v>
      </c>
      <c r="W888" s="786"/>
    </row>
    <row r="889" spans="1:23" s="787" customFormat="1" ht="18" customHeight="1" hidden="1">
      <c r="A889" s="788" t="s">
        <v>211</v>
      </c>
      <c r="B889" s="789" t="s">
        <v>656</v>
      </c>
      <c r="C889" s="790"/>
      <c r="D889" s="790"/>
      <c r="E889" s="790"/>
      <c r="F889" s="790"/>
      <c r="G889" s="790"/>
      <c r="H889" s="790"/>
      <c r="I889" s="790"/>
      <c r="J889" s="790"/>
      <c r="K889" s="790"/>
      <c r="L889" s="791"/>
      <c r="M889" s="791"/>
      <c r="N889" s="791"/>
      <c r="O889" s="791"/>
      <c r="P889" s="791"/>
      <c r="Q889" s="791"/>
      <c r="R889" s="791"/>
      <c r="S889" s="791"/>
      <c r="T889" s="792"/>
      <c r="U889" s="791"/>
      <c r="V889" s="533" t="e">
        <f>SUM(C889:U889)-#REF!</f>
        <v>#REF!</v>
      </c>
      <c r="W889" s="786"/>
    </row>
    <row r="890" spans="1:23" s="787" customFormat="1" ht="18" customHeight="1" hidden="1">
      <c r="A890" s="788" t="s">
        <v>212</v>
      </c>
      <c r="B890" s="789" t="s">
        <v>657</v>
      </c>
      <c r="C890" s="790"/>
      <c r="D890" s="790"/>
      <c r="E890" s="790"/>
      <c r="F890" s="790"/>
      <c r="G890" s="790"/>
      <c r="H890" s="790"/>
      <c r="I890" s="790"/>
      <c r="J890" s="790"/>
      <c r="K890" s="790"/>
      <c r="L890" s="791"/>
      <c r="M890" s="791"/>
      <c r="N890" s="791"/>
      <c r="O890" s="791"/>
      <c r="P890" s="791"/>
      <c r="Q890" s="791"/>
      <c r="R890" s="791"/>
      <c r="S890" s="791"/>
      <c r="T890" s="792"/>
      <c r="U890" s="791"/>
      <c r="V890" s="533" t="e">
        <f>SUM(C890:U890)-#REF!</f>
        <v>#REF!</v>
      </c>
      <c r="W890" s="786"/>
    </row>
    <row r="891" spans="1:23" s="787" customFormat="1" ht="18" customHeight="1" hidden="1">
      <c r="A891" s="788" t="s">
        <v>213</v>
      </c>
      <c r="B891" s="789" t="s">
        <v>658</v>
      </c>
      <c r="C891" s="790"/>
      <c r="D891" s="790"/>
      <c r="E891" s="790"/>
      <c r="F891" s="790"/>
      <c r="G891" s="790"/>
      <c r="H891" s="790"/>
      <c r="I891" s="790"/>
      <c r="J891" s="790"/>
      <c r="K891" s="790"/>
      <c r="L891" s="791"/>
      <c r="M891" s="791"/>
      <c r="N891" s="791"/>
      <c r="O891" s="791"/>
      <c r="P891" s="791"/>
      <c r="Q891" s="791"/>
      <c r="R891" s="791"/>
      <c r="S891" s="791"/>
      <c r="T891" s="792"/>
      <c r="U891" s="791"/>
      <c r="V891" s="533" t="e">
        <f>SUM(C891:U891)-#REF!</f>
        <v>#REF!</v>
      </c>
      <c r="W891" s="786"/>
    </row>
    <row r="892" spans="1:23" s="787" customFormat="1" ht="18" customHeight="1" hidden="1">
      <c r="A892" s="788" t="s">
        <v>214</v>
      </c>
      <c r="B892" s="789" t="s">
        <v>660</v>
      </c>
      <c r="C892" s="790"/>
      <c r="D892" s="790"/>
      <c r="E892" s="790"/>
      <c r="F892" s="790"/>
      <c r="G892" s="790"/>
      <c r="H892" s="790"/>
      <c r="I892" s="790"/>
      <c r="J892" s="790"/>
      <c r="K892" s="790"/>
      <c r="L892" s="791"/>
      <c r="M892" s="791"/>
      <c r="N892" s="791"/>
      <c r="O892" s="791"/>
      <c r="P892" s="791"/>
      <c r="Q892" s="791"/>
      <c r="R892" s="791"/>
      <c r="S892" s="791"/>
      <c r="T892" s="792"/>
      <c r="U892" s="791"/>
      <c r="V892" s="533" t="e">
        <f>SUM(C892:U892)-#REF!</f>
        <v>#REF!</v>
      </c>
      <c r="W892" s="786"/>
    </row>
    <row r="893" spans="1:23" s="787" customFormat="1" ht="18" customHeight="1" hidden="1">
      <c r="A893" s="788" t="s">
        <v>215</v>
      </c>
      <c r="B893" s="789" t="s">
        <v>662</v>
      </c>
      <c r="C893" s="790"/>
      <c r="D893" s="790"/>
      <c r="E893" s="790"/>
      <c r="F893" s="790"/>
      <c r="G893" s="790"/>
      <c r="H893" s="790"/>
      <c r="I893" s="790"/>
      <c r="J893" s="790"/>
      <c r="K893" s="790"/>
      <c r="L893" s="791"/>
      <c r="M893" s="791"/>
      <c r="N893" s="791"/>
      <c r="O893" s="791"/>
      <c r="P893" s="791"/>
      <c r="Q893" s="791"/>
      <c r="R893" s="791"/>
      <c r="S893" s="791"/>
      <c r="T893" s="792"/>
      <c r="U893" s="791"/>
      <c r="V893" s="533" t="e">
        <f>SUM(C893:U893)-#REF!</f>
        <v>#REF!</v>
      </c>
      <c r="W893" s="786"/>
    </row>
    <row r="894" spans="1:23" s="787" customFormat="1" ht="18" customHeight="1" hidden="1">
      <c r="A894" s="788" t="s">
        <v>216</v>
      </c>
      <c r="B894" s="789" t="s">
        <v>663</v>
      </c>
      <c r="C894" s="790"/>
      <c r="D894" s="790"/>
      <c r="E894" s="790"/>
      <c r="F894" s="790"/>
      <c r="G894" s="790"/>
      <c r="H894" s="790"/>
      <c r="I894" s="790"/>
      <c r="J894" s="790"/>
      <c r="K894" s="790"/>
      <c r="L894" s="791"/>
      <c r="M894" s="791"/>
      <c r="N894" s="791"/>
      <c r="O894" s="791"/>
      <c r="P894" s="791"/>
      <c r="Q894" s="791"/>
      <c r="R894" s="791"/>
      <c r="S894" s="791"/>
      <c r="T894" s="792"/>
      <c r="U894" s="791"/>
      <c r="V894" s="533" t="e">
        <f>SUM(C894:U894)-#REF!</f>
        <v>#REF!</v>
      </c>
      <c r="W894" s="786"/>
    </row>
    <row r="895" spans="1:23" s="787" customFormat="1" ht="18" customHeight="1" hidden="1">
      <c r="A895" s="788" t="s">
        <v>217</v>
      </c>
      <c r="B895" s="789" t="s">
        <v>669</v>
      </c>
      <c r="C895" s="790"/>
      <c r="D895" s="790"/>
      <c r="E895" s="790"/>
      <c r="F895" s="790"/>
      <c r="G895" s="790"/>
      <c r="H895" s="790"/>
      <c r="I895" s="790"/>
      <c r="J895" s="790"/>
      <c r="K895" s="790"/>
      <c r="L895" s="791"/>
      <c r="M895" s="791"/>
      <c r="N895" s="791"/>
      <c r="O895" s="791"/>
      <c r="P895" s="791"/>
      <c r="Q895" s="791"/>
      <c r="R895" s="791"/>
      <c r="S895" s="791"/>
      <c r="T895" s="792"/>
      <c r="U895" s="791"/>
      <c r="V895" s="533" t="e">
        <f>SUM(C895:U895)-#REF!</f>
        <v>#REF!</v>
      </c>
      <c r="W895" s="786"/>
    </row>
    <row r="896" spans="1:23" s="787" customFormat="1" ht="18" customHeight="1" hidden="1">
      <c r="A896" s="788" t="s">
        <v>218</v>
      </c>
      <c r="B896" s="789" t="s">
        <v>672</v>
      </c>
      <c r="C896" s="790"/>
      <c r="D896" s="790"/>
      <c r="E896" s="790"/>
      <c r="F896" s="790"/>
      <c r="G896" s="790"/>
      <c r="H896" s="790"/>
      <c r="I896" s="790"/>
      <c r="J896" s="790"/>
      <c r="K896" s="790"/>
      <c r="L896" s="791"/>
      <c r="M896" s="791"/>
      <c r="N896" s="791"/>
      <c r="O896" s="791"/>
      <c r="P896" s="791"/>
      <c r="Q896" s="791"/>
      <c r="R896" s="791"/>
      <c r="S896" s="791"/>
      <c r="T896" s="792"/>
      <c r="U896" s="791"/>
      <c r="V896" s="533" t="e">
        <f>SUM(C896:U896)-#REF!</f>
        <v>#REF!</v>
      </c>
      <c r="W896" s="786"/>
    </row>
    <row r="897" spans="1:23" s="787" customFormat="1" ht="18" customHeight="1" hidden="1">
      <c r="A897" s="788" t="s">
        <v>219</v>
      </c>
      <c r="B897" s="789" t="s">
        <v>673</v>
      </c>
      <c r="C897" s="790"/>
      <c r="D897" s="790"/>
      <c r="E897" s="790"/>
      <c r="F897" s="790"/>
      <c r="G897" s="790"/>
      <c r="H897" s="790"/>
      <c r="I897" s="790"/>
      <c r="J897" s="790"/>
      <c r="K897" s="790"/>
      <c r="L897" s="791"/>
      <c r="M897" s="791"/>
      <c r="N897" s="791"/>
      <c r="O897" s="791"/>
      <c r="P897" s="791"/>
      <c r="Q897" s="791"/>
      <c r="R897" s="791"/>
      <c r="S897" s="791"/>
      <c r="T897" s="792"/>
      <c r="U897" s="791"/>
      <c r="V897" s="533" t="e">
        <f>SUM(C897:U897)-#REF!</f>
        <v>#REF!</v>
      </c>
      <c r="W897" s="786"/>
    </row>
    <row r="898" spans="1:23" s="787" customFormat="1" ht="18" customHeight="1" hidden="1">
      <c r="A898" s="788" t="s">
        <v>220</v>
      </c>
      <c r="B898" s="789" t="s">
        <v>676</v>
      </c>
      <c r="C898" s="790"/>
      <c r="D898" s="790"/>
      <c r="E898" s="790"/>
      <c r="F898" s="790"/>
      <c r="G898" s="790"/>
      <c r="H898" s="790"/>
      <c r="I898" s="790"/>
      <c r="J898" s="790"/>
      <c r="K898" s="790"/>
      <c r="L898" s="791"/>
      <c r="M898" s="791"/>
      <c r="N898" s="791"/>
      <c r="O898" s="791"/>
      <c r="P898" s="791"/>
      <c r="Q898" s="791"/>
      <c r="R898" s="791"/>
      <c r="S898" s="791"/>
      <c r="T898" s="792"/>
      <c r="U898" s="791"/>
      <c r="V898" s="533" t="e">
        <f>SUM(C898:U898)-#REF!</f>
        <v>#REF!</v>
      </c>
      <c r="W898" s="786"/>
    </row>
    <row r="899" spans="1:23" s="787" customFormat="1" ht="18" customHeight="1" hidden="1">
      <c r="A899" s="788" t="s">
        <v>221</v>
      </c>
      <c r="B899" s="789" t="s">
        <v>1078</v>
      </c>
      <c r="C899" s="790"/>
      <c r="D899" s="790"/>
      <c r="E899" s="790"/>
      <c r="F899" s="790"/>
      <c r="G899" s="790"/>
      <c r="H899" s="790"/>
      <c r="I899" s="790"/>
      <c r="J899" s="790"/>
      <c r="K899" s="790"/>
      <c r="L899" s="791"/>
      <c r="M899" s="791"/>
      <c r="N899" s="791"/>
      <c r="O899" s="791"/>
      <c r="P899" s="791"/>
      <c r="Q899" s="791"/>
      <c r="R899" s="791"/>
      <c r="S899" s="791"/>
      <c r="T899" s="792"/>
      <c r="U899" s="791"/>
      <c r="V899" s="533" t="e">
        <f>SUM(C899:U899)-#REF!</f>
        <v>#REF!</v>
      </c>
      <c r="W899" s="786"/>
    </row>
    <row r="900" spans="1:23" s="787" customFormat="1" ht="18" customHeight="1" hidden="1">
      <c r="A900" s="788" t="s">
        <v>222</v>
      </c>
      <c r="B900" s="789" t="s">
        <v>969</v>
      </c>
      <c r="C900" s="790"/>
      <c r="D900" s="790"/>
      <c r="E900" s="790"/>
      <c r="F900" s="790"/>
      <c r="G900" s="790"/>
      <c r="H900" s="790"/>
      <c r="I900" s="790"/>
      <c r="J900" s="790"/>
      <c r="K900" s="790"/>
      <c r="L900" s="791"/>
      <c r="M900" s="791"/>
      <c r="N900" s="791"/>
      <c r="O900" s="791"/>
      <c r="P900" s="791"/>
      <c r="Q900" s="791"/>
      <c r="R900" s="791"/>
      <c r="S900" s="791"/>
      <c r="T900" s="792"/>
      <c r="U900" s="791"/>
      <c r="V900" s="533" t="e">
        <f>SUM(C900:U900)-#REF!</f>
        <v>#REF!</v>
      </c>
      <c r="W900" s="786"/>
    </row>
    <row r="901" spans="1:23" s="787" customFormat="1" ht="18" customHeight="1" hidden="1">
      <c r="A901" s="788" t="s">
        <v>223</v>
      </c>
      <c r="B901" s="789" t="s">
        <v>972</v>
      </c>
      <c r="C901" s="790"/>
      <c r="D901" s="790"/>
      <c r="E901" s="790"/>
      <c r="F901" s="790"/>
      <c r="G901" s="790"/>
      <c r="H901" s="790"/>
      <c r="I901" s="790"/>
      <c r="J901" s="790"/>
      <c r="K901" s="790"/>
      <c r="L901" s="791"/>
      <c r="M901" s="791"/>
      <c r="N901" s="791"/>
      <c r="O901" s="791"/>
      <c r="P901" s="791"/>
      <c r="Q901" s="791"/>
      <c r="R901" s="791"/>
      <c r="S901" s="791"/>
      <c r="T901" s="792"/>
      <c r="U901" s="791"/>
      <c r="V901" s="533" t="e">
        <f>SUM(C901:U901)-#REF!</f>
        <v>#REF!</v>
      </c>
      <c r="W901" s="786"/>
    </row>
    <row r="902" spans="1:23" s="787" customFormat="1" ht="18" customHeight="1" hidden="1">
      <c r="A902" s="789" t="s">
        <v>224</v>
      </c>
      <c r="B902" s="788" t="s">
        <v>998</v>
      </c>
      <c r="C902" s="793"/>
      <c r="D902" s="793"/>
      <c r="E902" s="793"/>
      <c r="F902" s="793"/>
      <c r="G902" s="793"/>
      <c r="H902" s="793"/>
      <c r="I902" s="793"/>
      <c r="J902" s="793"/>
      <c r="K902" s="793"/>
      <c r="L902" s="793"/>
      <c r="M902" s="793"/>
      <c r="N902" s="793"/>
      <c r="O902" s="793"/>
      <c r="P902" s="793"/>
      <c r="Q902" s="793"/>
      <c r="R902" s="793"/>
      <c r="S902" s="793"/>
      <c r="T902" s="793"/>
      <c r="U902" s="793"/>
      <c r="V902" s="533" t="e">
        <f>SUM(C902:U902)-#REF!</f>
        <v>#REF!</v>
      </c>
      <c r="W902" s="786"/>
    </row>
    <row r="903" spans="1:23" s="787" customFormat="1" ht="18" customHeight="1" hidden="1">
      <c r="A903" s="789" t="s">
        <v>225</v>
      </c>
      <c r="B903" s="788" t="s">
        <v>1000</v>
      </c>
      <c r="C903" s="793"/>
      <c r="D903" s="793"/>
      <c r="E903" s="793"/>
      <c r="F903" s="793"/>
      <c r="G903" s="793"/>
      <c r="H903" s="793"/>
      <c r="I903" s="793"/>
      <c r="J903" s="793"/>
      <c r="K903" s="793"/>
      <c r="L903" s="793"/>
      <c r="M903" s="793"/>
      <c r="N903" s="793"/>
      <c r="O903" s="793"/>
      <c r="P903" s="793"/>
      <c r="Q903" s="793"/>
      <c r="R903" s="793"/>
      <c r="S903" s="793"/>
      <c r="T903" s="793"/>
      <c r="U903" s="793"/>
      <c r="V903" s="533" t="e">
        <f>SUM(C903:U903)-#REF!</f>
        <v>#REF!</v>
      </c>
      <c r="W903" s="786"/>
    </row>
    <row r="904" spans="1:23" s="787" customFormat="1" ht="18" customHeight="1" hidden="1">
      <c r="A904" s="789" t="s">
        <v>226</v>
      </c>
      <c r="B904" s="576" t="s">
        <v>995</v>
      </c>
      <c r="C904" s="793"/>
      <c r="D904" s="793"/>
      <c r="E904" s="793"/>
      <c r="F904" s="793"/>
      <c r="G904" s="793"/>
      <c r="H904" s="793"/>
      <c r="I904" s="793"/>
      <c r="J904" s="793"/>
      <c r="K904" s="793"/>
      <c r="L904" s="793"/>
      <c r="M904" s="793"/>
      <c r="N904" s="793"/>
      <c r="O904" s="793"/>
      <c r="P904" s="793"/>
      <c r="Q904" s="793"/>
      <c r="R904" s="793"/>
      <c r="S904" s="793"/>
      <c r="T904" s="793"/>
      <c r="U904" s="793"/>
      <c r="V904" s="533" t="e">
        <f>SUM(C904:U904)-#REF!</f>
        <v>#REF!</v>
      </c>
      <c r="W904" s="786"/>
    </row>
    <row r="905" spans="1:23" s="787" customFormat="1" ht="18" customHeight="1" hidden="1">
      <c r="A905" s="789" t="s">
        <v>227</v>
      </c>
      <c r="B905" s="576" t="s">
        <v>996</v>
      </c>
      <c r="C905" s="793"/>
      <c r="D905" s="793"/>
      <c r="E905" s="793"/>
      <c r="F905" s="793"/>
      <c r="G905" s="793"/>
      <c r="H905" s="793"/>
      <c r="I905" s="793"/>
      <c r="J905" s="793"/>
      <c r="K905" s="793"/>
      <c r="L905" s="793"/>
      <c r="M905" s="793"/>
      <c r="N905" s="793"/>
      <c r="O905" s="793"/>
      <c r="P905" s="793"/>
      <c r="Q905" s="793"/>
      <c r="R905" s="793"/>
      <c r="S905" s="793"/>
      <c r="T905" s="793"/>
      <c r="U905" s="793"/>
      <c r="V905" s="533" t="e">
        <f>SUM(C905:U905)-#REF!</f>
        <v>#REF!</v>
      </c>
      <c r="W905" s="786"/>
    </row>
    <row r="906" spans="1:23" s="787" customFormat="1" ht="18" customHeight="1" hidden="1">
      <c r="A906" s="789" t="s">
        <v>228</v>
      </c>
      <c r="B906" s="576" t="s">
        <v>997</v>
      </c>
      <c r="C906" s="793"/>
      <c r="D906" s="793"/>
      <c r="E906" s="793"/>
      <c r="F906" s="793"/>
      <c r="G906" s="793"/>
      <c r="H906" s="793"/>
      <c r="I906" s="793"/>
      <c r="J906" s="793"/>
      <c r="K906" s="793"/>
      <c r="L906" s="793"/>
      <c r="M906" s="793"/>
      <c r="N906" s="793"/>
      <c r="O906" s="793"/>
      <c r="P906" s="793"/>
      <c r="Q906" s="793"/>
      <c r="R906" s="793"/>
      <c r="S906" s="793"/>
      <c r="T906" s="793"/>
      <c r="U906" s="793"/>
      <c r="V906" s="533" t="e">
        <f>SUM(C906:U906)-#REF!</f>
        <v>#REF!</v>
      </c>
      <c r="W906" s="786"/>
    </row>
    <row r="907" spans="1:23" s="787" customFormat="1" ht="18" customHeight="1" hidden="1">
      <c r="A907" s="789" t="s">
        <v>229</v>
      </c>
      <c r="B907" s="576" t="s">
        <v>1068</v>
      </c>
      <c r="C907" s="793"/>
      <c r="D907" s="793"/>
      <c r="E907" s="793"/>
      <c r="F907" s="793"/>
      <c r="G907" s="793"/>
      <c r="H907" s="793"/>
      <c r="I907" s="793"/>
      <c r="J907" s="793"/>
      <c r="K907" s="793"/>
      <c r="L907" s="793"/>
      <c r="M907" s="793"/>
      <c r="N907" s="793"/>
      <c r="O907" s="793"/>
      <c r="P907" s="793"/>
      <c r="Q907" s="793"/>
      <c r="R907" s="793"/>
      <c r="S907" s="793"/>
      <c r="T907" s="793"/>
      <c r="U907" s="793"/>
      <c r="V907" s="533" t="e">
        <f>SUM(C907:U907)-#REF!</f>
        <v>#REF!</v>
      </c>
      <c r="W907" s="786"/>
    </row>
    <row r="908" spans="1:23" s="787" customFormat="1" ht="18" customHeight="1" hidden="1">
      <c r="A908" s="789" t="s">
        <v>230</v>
      </c>
      <c r="B908" s="576" t="s">
        <v>1069</v>
      </c>
      <c r="C908" s="793"/>
      <c r="D908" s="793"/>
      <c r="E908" s="793"/>
      <c r="F908" s="793"/>
      <c r="G908" s="793"/>
      <c r="H908" s="793"/>
      <c r="I908" s="793"/>
      <c r="J908" s="793"/>
      <c r="K908" s="793"/>
      <c r="L908" s="793"/>
      <c r="M908" s="793"/>
      <c r="N908" s="793"/>
      <c r="O908" s="793"/>
      <c r="P908" s="793"/>
      <c r="Q908" s="793"/>
      <c r="R908" s="793"/>
      <c r="S908" s="793"/>
      <c r="T908" s="793"/>
      <c r="U908" s="793"/>
      <c r="V908" s="533" t="e">
        <f>SUM(C908:U908)-#REF!</f>
        <v>#REF!</v>
      </c>
      <c r="W908" s="786"/>
    </row>
    <row r="909" spans="1:23" s="787" customFormat="1" ht="18" customHeight="1" hidden="1">
      <c r="A909" s="789" t="s">
        <v>231</v>
      </c>
      <c r="B909" s="576" t="s">
        <v>1070</v>
      </c>
      <c r="C909" s="793"/>
      <c r="D909" s="793"/>
      <c r="E909" s="793"/>
      <c r="F909" s="793"/>
      <c r="G909" s="793"/>
      <c r="H909" s="793"/>
      <c r="I909" s="793"/>
      <c r="J909" s="793"/>
      <c r="K909" s="793"/>
      <c r="L909" s="793"/>
      <c r="M909" s="793"/>
      <c r="N909" s="793"/>
      <c r="O909" s="793"/>
      <c r="P909" s="793"/>
      <c r="Q909" s="793"/>
      <c r="R909" s="793"/>
      <c r="S909" s="793"/>
      <c r="T909" s="793"/>
      <c r="U909" s="793"/>
      <c r="V909" s="533" t="e">
        <f>SUM(C909:U909)-#REF!</f>
        <v>#REF!</v>
      </c>
      <c r="W909" s="786"/>
    </row>
    <row r="910" spans="1:23" s="787" customFormat="1" ht="18" customHeight="1" hidden="1">
      <c r="A910" s="789" t="s">
        <v>232</v>
      </c>
      <c r="B910" s="576" t="s">
        <v>1071</v>
      </c>
      <c r="C910" s="793"/>
      <c r="D910" s="793"/>
      <c r="E910" s="793"/>
      <c r="F910" s="793"/>
      <c r="G910" s="793"/>
      <c r="H910" s="793"/>
      <c r="I910" s="793"/>
      <c r="J910" s="793"/>
      <c r="K910" s="793"/>
      <c r="L910" s="793"/>
      <c r="M910" s="793"/>
      <c r="N910" s="793"/>
      <c r="O910" s="793"/>
      <c r="P910" s="793"/>
      <c r="Q910" s="793"/>
      <c r="R910" s="793"/>
      <c r="S910" s="793"/>
      <c r="T910" s="793"/>
      <c r="U910" s="793"/>
      <c r="V910" s="533" t="e">
        <f>SUM(C910:U910)-#REF!</f>
        <v>#REF!</v>
      </c>
      <c r="W910" s="786"/>
    </row>
    <row r="911" spans="1:23" s="787" customFormat="1" ht="18" customHeight="1" hidden="1">
      <c r="A911" s="789" t="s">
        <v>233</v>
      </c>
      <c r="B911" s="576" t="s">
        <v>1090</v>
      </c>
      <c r="C911" s="793"/>
      <c r="D911" s="793"/>
      <c r="E911" s="793"/>
      <c r="F911" s="793"/>
      <c r="G911" s="793"/>
      <c r="H911" s="793"/>
      <c r="I911" s="793"/>
      <c r="J911" s="793"/>
      <c r="K911" s="793"/>
      <c r="L911" s="793"/>
      <c r="M911" s="793"/>
      <c r="N911" s="793"/>
      <c r="O911" s="793"/>
      <c r="P911" s="793"/>
      <c r="Q911" s="793"/>
      <c r="R911" s="793"/>
      <c r="S911" s="793"/>
      <c r="T911" s="793"/>
      <c r="U911" s="793"/>
      <c r="V911" s="533" t="e">
        <f>SUM(C911:U911)-#REF!</f>
        <v>#REF!</v>
      </c>
      <c r="W911" s="786"/>
    </row>
    <row r="912" spans="1:23" s="787" customFormat="1" ht="18" customHeight="1" hidden="1">
      <c r="A912" s="789" t="s">
        <v>234</v>
      </c>
      <c r="B912" s="576" t="s">
        <v>753</v>
      </c>
      <c r="C912" s="793"/>
      <c r="D912" s="793"/>
      <c r="E912" s="793"/>
      <c r="F912" s="793"/>
      <c r="G912" s="793"/>
      <c r="H912" s="793"/>
      <c r="I912" s="793"/>
      <c r="J912" s="793"/>
      <c r="K912" s="793"/>
      <c r="L912" s="793"/>
      <c r="M912" s="793"/>
      <c r="N912" s="793"/>
      <c r="O912" s="793"/>
      <c r="P912" s="793"/>
      <c r="Q912" s="793"/>
      <c r="R912" s="793"/>
      <c r="S912" s="793"/>
      <c r="T912" s="793"/>
      <c r="U912" s="793"/>
      <c r="V912" s="533" t="e">
        <f>SUM(C912:U912)-#REF!</f>
        <v>#REF!</v>
      </c>
      <c r="W912" s="786"/>
    </row>
    <row r="913" spans="1:23" s="787" customFormat="1" ht="18" customHeight="1" hidden="1">
      <c r="A913" s="789" t="s">
        <v>235</v>
      </c>
      <c r="B913" s="576" t="s">
        <v>861</v>
      </c>
      <c r="C913" s="793"/>
      <c r="D913" s="793"/>
      <c r="E913" s="793"/>
      <c r="F913" s="793"/>
      <c r="G913" s="793"/>
      <c r="H913" s="793"/>
      <c r="I913" s="793"/>
      <c r="J913" s="793"/>
      <c r="K913" s="793"/>
      <c r="L913" s="793"/>
      <c r="M913" s="793"/>
      <c r="N913" s="793"/>
      <c r="O913" s="793"/>
      <c r="P913" s="793"/>
      <c r="Q913" s="793"/>
      <c r="R913" s="793"/>
      <c r="S913" s="793"/>
      <c r="T913" s="793"/>
      <c r="U913" s="793"/>
      <c r="V913" s="533" t="e">
        <f>SUM(C913:U913)-#REF!</f>
        <v>#REF!</v>
      </c>
      <c r="W913" s="786"/>
    </row>
    <row r="914" spans="1:23" s="787" customFormat="1" ht="18" customHeight="1" hidden="1">
      <c r="A914" s="789" t="s">
        <v>236</v>
      </c>
      <c r="B914" s="576" t="s">
        <v>1073</v>
      </c>
      <c r="C914" s="793"/>
      <c r="D914" s="793"/>
      <c r="E914" s="793"/>
      <c r="F914" s="793"/>
      <c r="G914" s="793"/>
      <c r="H914" s="793"/>
      <c r="I914" s="793"/>
      <c r="J914" s="793"/>
      <c r="K914" s="793"/>
      <c r="L914" s="793"/>
      <c r="M914" s="793"/>
      <c r="N914" s="793"/>
      <c r="O914" s="793"/>
      <c r="P914" s="793"/>
      <c r="Q914" s="793"/>
      <c r="R914" s="793"/>
      <c r="S914" s="793"/>
      <c r="T914" s="793"/>
      <c r="U914" s="793"/>
      <c r="V914" s="533" t="e">
        <f>SUM(C914:U914)-#REF!</f>
        <v>#REF!</v>
      </c>
      <c r="W914" s="786"/>
    </row>
    <row r="915" spans="1:23" s="787" customFormat="1" ht="25.5" hidden="1">
      <c r="A915" s="789" t="s">
        <v>237</v>
      </c>
      <c r="B915" s="794" t="s">
        <v>704</v>
      </c>
      <c r="C915" s="793"/>
      <c r="D915" s="793"/>
      <c r="E915" s="793"/>
      <c r="F915" s="793"/>
      <c r="G915" s="793"/>
      <c r="H915" s="793"/>
      <c r="I915" s="793"/>
      <c r="J915" s="793"/>
      <c r="K915" s="793"/>
      <c r="L915" s="793"/>
      <c r="M915" s="793"/>
      <c r="N915" s="793"/>
      <c r="O915" s="793"/>
      <c r="P915" s="793"/>
      <c r="Q915" s="793"/>
      <c r="R915" s="793"/>
      <c r="S915" s="793"/>
      <c r="T915" s="793"/>
      <c r="U915" s="793"/>
      <c r="V915" s="533" t="e">
        <f>SUM(C915:U915)-#REF!</f>
        <v>#REF!</v>
      </c>
      <c r="W915" s="786"/>
    </row>
    <row r="916" spans="1:23" s="787" customFormat="1" ht="25.5" hidden="1">
      <c r="A916" s="789" t="s">
        <v>238</v>
      </c>
      <c r="B916" s="794" t="s">
        <v>703</v>
      </c>
      <c r="C916" s="793"/>
      <c r="D916" s="793"/>
      <c r="E916" s="793"/>
      <c r="F916" s="793"/>
      <c r="G916" s="793"/>
      <c r="H916" s="793"/>
      <c r="I916" s="793"/>
      <c r="J916" s="793"/>
      <c r="K916" s="793"/>
      <c r="L916" s="793"/>
      <c r="M916" s="793"/>
      <c r="N916" s="793"/>
      <c r="O916" s="793"/>
      <c r="P916" s="793"/>
      <c r="Q916" s="793"/>
      <c r="R916" s="793"/>
      <c r="S916" s="793"/>
      <c r="T916" s="793"/>
      <c r="U916" s="793"/>
      <c r="V916" s="533" t="e">
        <f>SUM(C916:U916)-#REF!</f>
        <v>#REF!</v>
      </c>
      <c r="W916" s="786"/>
    </row>
    <row r="917" spans="1:23" s="787" customFormat="1" ht="18" customHeight="1" hidden="1">
      <c r="A917" s="789" t="s">
        <v>239</v>
      </c>
      <c r="B917" s="576" t="s">
        <v>962</v>
      </c>
      <c r="C917" s="793"/>
      <c r="D917" s="793"/>
      <c r="E917" s="793"/>
      <c r="F917" s="793"/>
      <c r="G917" s="793"/>
      <c r="H917" s="793"/>
      <c r="I917" s="793"/>
      <c r="J917" s="793"/>
      <c r="K917" s="793"/>
      <c r="L917" s="793"/>
      <c r="M917" s="793"/>
      <c r="N917" s="793"/>
      <c r="O917" s="793"/>
      <c r="P917" s="793"/>
      <c r="Q917" s="793"/>
      <c r="R917" s="793"/>
      <c r="S917" s="793"/>
      <c r="T917" s="793"/>
      <c r="U917" s="793"/>
      <c r="V917" s="533" t="e">
        <f>SUM(C917:U917)-#REF!</f>
        <v>#REF!</v>
      </c>
      <c r="W917" s="786"/>
    </row>
    <row r="918" spans="1:23" s="787" customFormat="1" ht="18" customHeight="1" hidden="1">
      <c r="A918" s="789" t="s">
        <v>240</v>
      </c>
      <c r="B918" s="576" t="s">
        <v>702</v>
      </c>
      <c r="C918" s="793"/>
      <c r="D918" s="793"/>
      <c r="E918" s="793"/>
      <c r="F918" s="793"/>
      <c r="G918" s="793"/>
      <c r="H918" s="793"/>
      <c r="I918" s="793"/>
      <c r="J918" s="793"/>
      <c r="K918" s="793"/>
      <c r="L918" s="793"/>
      <c r="M918" s="793"/>
      <c r="N918" s="793"/>
      <c r="O918" s="793"/>
      <c r="P918" s="793"/>
      <c r="Q918" s="793"/>
      <c r="R918" s="793"/>
      <c r="S918" s="793"/>
      <c r="T918" s="793"/>
      <c r="U918" s="793"/>
      <c r="V918" s="533" t="e">
        <f>SUM(C918:U918)-#REF!</f>
        <v>#REF!</v>
      </c>
      <c r="W918" s="786"/>
    </row>
    <row r="919" spans="1:23" s="787" customFormat="1" ht="18" customHeight="1" hidden="1">
      <c r="A919" s="789" t="s">
        <v>241</v>
      </c>
      <c r="B919" s="576" t="s">
        <v>1087</v>
      </c>
      <c r="C919" s="793"/>
      <c r="D919" s="793"/>
      <c r="E919" s="793"/>
      <c r="F919" s="793"/>
      <c r="G919" s="793"/>
      <c r="H919" s="793"/>
      <c r="I919" s="793"/>
      <c r="J919" s="793"/>
      <c r="K919" s="793"/>
      <c r="L919" s="793"/>
      <c r="M919" s="793"/>
      <c r="N919" s="793"/>
      <c r="O919" s="793"/>
      <c r="P919" s="793"/>
      <c r="Q919" s="793"/>
      <c r="R919" s="793"/>
      <c r="S919" s="793"/>
      <c r="T919" s="793"/>
      <c r="U919" s="793"/>
      <c r="V919" s="533" t="e">
        <f>SUM(C919:U919)-#REF!</f>
        <v>#REF!</v>
      </c>
      <c r="W919" s="786"/>
    </row>
    <row r="920" spans="1:23" s="787" customFormat="1" ht="18" customHeight="1" hidden="1">
      <c r="A920" s="789" t="s">
        <v>242</v>
      </c>
      <c r="B920" s="576" t="s">
        <v>1003</v>
      </c>
      <c r="C920" s="793"/>
      <c r="D920" s="793"/>
      <c r="E920" s="793"/>
      <c r="F920" s="793"/>
      <c r="G920" s="793"/>
      <c r="H920" s="793"/>
      <c r="I920" s="793"/>
      <c r="J920" s="793"/>
      <c r="K920" s="793"/>
      <c r="L920" s="793"/>
      <c r="M920" s="793"/>
      <c r="N920" s="793"/>
      <c r="O920" s="793"/>
      <c r="P920" s="793"/>
      <c r="Q920" s="793"/>
      <c r="R920" s="793"/>
      <c r="S920" s="793"/>
      <c r="T920" s="793"/>
      <c r="U920" s="793"/>
      <c r="V920" s="533" t="e">
        <f>SUM(C920:U920)-#REF!</f>
        <v>#REF!</v>
      </c>
      <c r="W920" s="786"/>
    </row>
    <row r="921" spans="1:23" s="787" customFormat="1" ht="18" customHeight="1" hidden="1">
      <c r="A921" s="789" t="s">
        <v>243</v>
      </c>
      <c r="B921" s="576" t="s">
        <v>1083</v>
      </c>
      <c r="C921" s="793"/>
      <c r="D921" s="793"/>
      <c r="E921" s="793"/>
      <c r="F921" s="793"/>
      <c r="G921" s="793"/>
      <c r="H921" s="793"/>
      <c r="I921" s="793"/>
      <c r="J921" s="793"/>
      <c r="K921" s="793"/>
      <c r="L921" s="793"/>
      <c r="M921" s="793"/>
      <c r="N921" s="793"/>
      <c r="O921" s="793"/>
      <c r="P921" s="793"/>
      <c r="Q921" s="793"/>
      <c r="R921" s="793"/>
      <c r="S921" s="793"/>
      <c r="T921" s="793"/>
      <c r="U921" s="793"/>
      <c r="V921" s="533" t="e">
        <f>SUM(C921:U921)-#REF!</f>
        <v>#REF!</v>
      </c>
      <c r="W921" s="786"/>
    </row>
    <row r="922" spans="1:23" s="787" customFormat="1" ht="18" customHeight="1" hidden="1">
      <c r="A922" s="789" t="s">
        <v>244</v>
      </c>
      <c r="B922" s="576" t="s">
        <v>1085</v>
      </c>
      <c r="C922" s="793"/>
      <c r="D922" s="793"/>
      <c r="E922" s="793"/>
      <c r="F922" s="793"/>
      <c r="G922" s="793"/>
      <c r="H922" s="793"/>
      <c r="I922" s="793"/>
      <c r="J922" s="793"/>
      <c r="K922" s="793"/>
      <c r="L922" s="793"/>
      <c r="M922" s="793"/>
      <c r="N922" s="793"/>
      <c r="O922" s="793"/>
      <c r="P922" s="793"/>
      <c r="Q922" s="793"/>
      <c r="R922" s="793"/>
      <c r="S922" s="793"/>
      <c r="T922" s="793"/>
      <c r="U922" s="793"/>
      <c r="V922" s="533" t="e">
        <f>SUM(C922:U922)-#REF!</f>
        <v>#REF!</v>
      </c>
      <c r="W922" s="786"/>
    </row>
    <row r="923" spans="1:23" s="787" customFormat="1" ht="18" customHeight="1" hidden="1">
      <c r="A923" s="795"/>
      <c r="B923" s="796" t="s">
        <v>695</v>
      </c>
      <c r="C923" s="558"/>
      <c r="D923" s="558"/>
      <c r="E923" s="558"/>
      <c r="F923" s="558"/>
      <c r="G923" s="558"/>
      <c r="H923" s="558"/>
      <c r="I923" s="558"/>
      <c r="J923" s="558"/>
      <c r="K923" s="558"/>
      <c r="L923" s="558"/>
      <c r="M923" s="558"/>
      <c r="N923" s="558"/>
      <c r="O923" s="558"/>
      <c r="P923" s="558"/>
      <c r="Q923" s="558"/>
      <c r="R923" s="558"/>
      <c r="S923" s="558"/>
      <c r="T923" s="558"/>
      <c r="U923" s="558"/>
      <c r="V923" s="533" t="e">
        <f>SUM(C923:U923)-#REF!</f>
        <v>#REF!</v>
      </c>
      <c r="W923" s="786"/>
    </row>
    <row r="924" spans="1:23" s="150" customFormat="1" ht="18" customHeight="1" hidden="1">
      <c r="A924" s="797">
        <v>85497</v>
      </c>
      <c r="B924" s="798" t="s">
        <v>1091</v>
      </c>
      <c r="C924" s="799">
        <f aca="true" t="shared" si="34" ref="C924:U924">SUM(C925:C926)</f>
        <v>0</v>
      </c>
      <c r="D924" s="799">
        <f t="shared" si="34"/>
        <v>0</v>
      </c>
      <c r="E924" s="800">
        <f t="shared" si="34"/>
        <v>0</v>
      </c>
      <c r="F924" s="799">
        <f t="shared" si="34"/>
        <v>0</v>
      </c>
      <c r="G924" s="799">
        <f t="shared" si="34"/>
        <v>0</v>
      </c>
      <c r="H924" s="799">
        <f t="shared" si="34"/>
        <v>0</v>
      </c>
      <c r="I924" s="800">
        <f>SUM(I925:I926)</f>
        <v>0</v>
      </c>
      <c r="J924" s="799">
        <f>SUM(J925:J926)</f>
        <v>0</v>
      </c>
      <c r="K924" s="799">
        <f>SUM(K925:K926)</f>
        <v>0</v>
      </c>
      <c r="L924" s="799">
        <f t="shared" si="34"/>
        <v>0</v>
      </c>
      <c r="M924" s="799">
        <f t="shared" si="34"/>
        <v>0</v>
      </c>
      <c r="N924" s="799">
        <f t="shared" si="34"/>
        <v>0</v>
      </c>
      <c r="O924" s="799">
        <f t="shared" si="34"/>
        <v>0</v>
      </c>
      <c r="P924" s="799">
        <f t="shared" si="34"/>
        <v>0</v>
      </c>
      <c r="Q924" s="799">
        <f t="shared" si="34"/>
        <v>0</v>
      </c>
      <c r="R924" s="799">
        <f t="shared" si="34"/>
        <v>0</v>
      </c>
      <c r="S924" s="799">
        <f t="shared" si="34"/>
        <v>0</v>
      </c>
      <c r="T924" s="799">
        <f t="shared" si="34"/>
        <v>0</v>
      </c>
      <c r="U924" s="799">
        <f t="shared" si="34"/>
        <v>0</v>
      </c>
      <c r="V924" s="781" t="e">
        <f>SUM(C924:U924)-#REF!</f>
        <v>#REF!</v>
      </c>
      <c r="W924" s="569"/>
    </row>
    <row r="925" spans="1:23" ht="25.5" hidden="1">
      <c r="A925" s="801" t="s">
        <v>245</v>
      </c>
      <c r="B925" s="712" t="s">
        <v>1135</v>
      </c>
      <c r="C925" s="802"/>
      <c r="D925" s="802"/>
      <c r="E925" s="802"/>
      <c r="F925" s="802"/>
      <c r="G925" s="802"/>
      <c r="H925" s="802"/>
      <c r="I925" s="802"/>
      <c r="J925" s="802"/>
      <c r="K925" s="802"/>
      <c r="L925" s="802"/>
      <c r="M925" s="802"/>
      <c r="N925" s="802"/>
      <c r="O925" s="802"/>
      <c r="P925" s="802"/>
      <c r="Q925" s="802"/>
      <c r="R925" s="802"/>
      <c r="S925" s="802"/>
      <c r="T925" s="802"/>
      <c r="U925" s="802"/>
      <c r="V925" s="781" t="e">
        <f>SUM(C925:U925)-#REF!</f>
        <v>#REF!</v>
      </c>
      <c r="W925" s="536"/>
    </row>
    <row r="926" spans="1:23" ht="18" customHeight="1" hidden="1" thickBot="1">
      <c r="A926" s="795"/>
      <c r="B926" s="796" t="s">
        <v>695</v>
      </c>
      <c r="C926" s="558"/>
      <c r="D926" s="558"/>
      <c r="E926" s="558"/>
      <c r="F926" s="558"/>
      <c r="G926" s="558"/>
      <c r="H926" s="558"/>
      <c r="I926" s="558"/>
      <c r="J926" s="558"/>
      <c r="K926" s="558"/>
      <c r="L926" s="558"/>
      <c r="M926" s="558"/>
      <c r="N926" s="558"/>
      <c r="O926" s="558"/>
      <c r="P926" s="558"/>
      <c r="Q926" s="558"/>
      <c r="R926" s="558"/>
      <c r="S926" s="558"/>
      <c r="T926" s="558"/>
      <c r="U926" s="558"/>
      <c r="V926" s="781" t="e">
        <f>SUM(C926:U926)-#REF!</f>
        <v>#REF!</v>
      </c>
      <c r="W926" s="536"/>
    </row>
    <row r="927" spans="1:23" s="508" customFormat="1" ht="25.5" customHeight="1" hidden="1" thickBot="1">
      <c r="A927" s="803">
        <v>926</v>
      </c>
      <c r="B927" s="804" t="s">
        <v>1092</v>
      </c>
      <c r="C927" s="805">
        <f aca="true" t="shared" si="35" ref="C927:U927">C928</f>
        <v>0</v>
      </c>
      <c r="D927" s="805">
        <f t="shared" si="35"/>
        <v>0</v>
      </c>
      <c r="E927" s="805">
        <f t="shared" si="35"/>
        <v>0</v>
      </c>
      <c r="F927" s="805">
        <f t="shared" si="35"/>
        <v>0</v>
      </c>
      <c r="G927" s="805">
        <f t="shared" si="35"/>
        <v>0</v>
      </c>
      <c r="H927" s="805">
        <f t="shared" si="35"/>
        <v>0</v>
      </c>
      <c r="I927" s="805">
        <f t="shared" si="35"/>
        <v>0</v>
      </c>
      <c r="J927" s="805">
        <f t="shared" si="35"/>
        <v>0</v>
      </c>
      <c r="K927" s="805">
        <f t="shared" si="35"/>
        <v>0</v>
      </c>
      <c r="L927" s="805">
        <f t="shared" si="35"/>
        <v>0</v>
      </c>
      <c r="M927" s="805">
        <f t="shared" si="35"/>
        <v>0</v>
      </c>
      <c r="N927" s="805">
        <f t="shared" si="35"/>
        <v>0</v>
      </c>
      <c r="O927" s="805">
        <f t="shared" si="35"/>
        <v>0</v>
      </c>
      <c r="P927" s="805">
        <f t="shared" si="35"/>
        <v>0</v>
      </c>
      <c r="Q927" s="805">
        <f t="shared" si="35"/>
        <v>0</v>
      </c>
      <c r="R927" s="805">
        <f t="shared" si="35"/>
        <v>0</v>
      </c>
      <c r="S927" s="805">
        <f t="shared" si="35"/>
        <v>0</v>
      </c>
      <c r="T927" s="805">
        <f t="shared" si="35"/>
        <v>0</v>
      </c>
      <c r="U927" s="805">
        <f t="shared" si="35"/>
        <v>0</v>
      </c>
      <c r="V927" s="785" t="e">
        <f>SUM(C927:U927)-#REF!</f>
        <v>#REF!</v>
      </c>
      <c r="W927" s="536"/>
    </row>
    <row r="928" spans="1:22" ht="26.25" hidden="1" thickBot="1">
      <c r="A928" s="806">
        <v>92605</v>
      </c>
      <c r="B928" s="807" t="s">
        <v>1093</v>
      </c>
      <c r="C928" s="808">
        <f aca="true" t="shared" si="36" ref="C928:U928">SUM(C929:C1017)</f>
        <v>0</v>
      </c>
      <c r="D928" s="808">
        <f t="shared" si="36"/>
        <v>0</v>
      </c>
      <c r="E928" s="808">
        <f t="shared" si="36"/>
        <v>0</v>
      </c>
      <c r="F928" s="808">
        <f t="shared" si="36"/>
        <v>0</v>
      </c>
      <c r="G928" s="808">
        <f t="shared" si="36"/>
        <v>0</v>
      </c>
      <c r="H928" s="808">
        <f t="shared" si="36"/>
        <v>0</v>
      </c>
      <c r="I928" s="808">
        <f>SUM(I929:I1017)</f>
        <v>0</v>
      </c>
      <c r="J928" s="808">
        <f>SUM(J929:J1017)</f>
        <v>0</v>
      </c>
      <c r="K928" s="808">
        <f>SUM(K929:K1017)</f>
        <v>0</v>
      </c>
      <c r="L928" s="808">
        <f t="shared" si="36"/>
        <v>0</v>
      </c>
      <c r="M928" s="808">
        <f t="shared" si="36"/>
        <v>0</v>
      </c>
      <c r="N928" s="808">
        <f t="shared" si="36"/>
        <v>0</v>
      </c>
      <c r="O928" s="808">
        <f t="shared" si="36"/>
        <v>0</v>
      </c>
      <c r="P928" s="808">
        <f t="shared" si="36"/>
        <v>0</v>
      </c>
      <c r="Q928" s="808">
        <f t="shared" si="36"/>
        <v>0</v>
      </c>
      <c r="R928" s="808">
        <f t="shared" si="36"/>
        <v>0</v>
      </c>
      <c r="S928" s="808">
        <f t="shared" si="36"/>
        <v>0</v>
      </c>
      <c r="T928" s="808">
        <f t="shared" si="36"/>
        <v>0</v>
      </c>
      <c r="U928" s="808">
        <f t="shared" si="36"/>
        <v>0</v>
      </c>
      <c r="V928" s="785" t="e">
        <f>SUM(C928:U928)-#REF!</f>
        <v>#REF!</v>
      </c>
    </row>
    <row r="929" spans="1:22" ht="18" customHeight="1" hidden="1">
      <c r="A929" s="809" t="s">
        <v>246</v>
      </c>
      <c r="B929" s="810" t="s">
        <v>603</v>
      </c>
      <c r="C929" s="811"/>
      <c r="D929" s="811"/>
      <c r="E929" s="811"/>
      <c r="F929" s="811"/>
      <c r="G929" s="811"/>
      <c r="H929" s="811"/>
      <c r="I929" s="811"/>
      <c r="J929" s="811"/>
      <c r="K929" s="811"/>
      <c r="L929" s="811"/>
      <c r="M929" s="811"/>
      <c r="N929" s="811"/>
      <c r="O929" s="811"/>
      <c r="P929" s="811"/>
      <c r="Q929" s="811"/>
      <c r="R929" s="811"/>
      <c r="S929" s="811"/>
      <c r="T929" s="811"/>
      <c r="U929" s="811"/>
      <c r="V929" s="785" t="e">
        <f>SUM(C929:U929)-#REF!</f>
        <v>#REF!</v>
      </c>
    </row>
    <row r="930" spans="1:22" ht="18" customHeight="1" hidden="1" thickTop="1">
      <c r="A930" s="762" t="s">
        <v>247</v>
      </c>
      <c r="B930" s="607" t="s">
        <v>604</v>
      </c>
      <c r="C930" s="780"/>
      <c r="D930" s="780"/>
      <c r="E930" s="780"/>
      <c r="F930" s="780"/>
      <c r="G930" s="780"/>
      <c r="H930" s="780"/>
      <c r="I930" s="780"/>
      <c r="J930" s="780"/>
      <c r="K930" s="780"/>
      <c r="L930" s="780"/>
      <c r="M930" s="780"/>
      <c r="N930" s="780"/>
      <c r="O930" s="780"/>
      <c r="P930" s="780"/>
      <c r="Q930" s="780"/>
      <c r="R930" s="780"/>
      <c r="S930" s="780"/>
      <c r="T930" s="780"/>
      <c r="U930" s="780"/>
      <c r="V930" s="785" t="e">
        <f>SUM(C930:U930)-#REF!</f>
        <v>#REF!</v>
      </c>
    </row>
    <row r="931" spans="1:22" ht="18" customHeight="1" hidden="1">
      <c r="A931" s="809" t="s">
        <v>248</v>
      </c>
      <c r="B931" s="810" t="s">
        <v>605</v>
      </c>
      <c r="C931" s="811"/>
      <c r="D931" s="811"/>
      <c r="E931" s="811"/>
      <c r="F931" s="811"/>
      <c r="G931" s="811"/>
      <c r="H931" s="811"/>
      <c r="I931" s="811"/>
      <c r="J931" s="811"/>
      <c r="K931" s="811"/>
      <c r="L931" s="811"/>
      <c r="M931" s="811"/>
      <c r="N931" s="811"/>
      <c r="O931" s="811"/>
      <c r="P931" s="811"/>
      <c r="Q931" s="811"/>
      <c r="R931" s="811"/>
      <c r="S931" s="811"/>
      <c r="T931" s="811"/>
      <c r="U931" s="811"/>
      <c r="V931" s="785" t="e">
        <f>SUM(C931:U931)-#REF!</f>
        <v>#REF!</v>
      </c>
    </row>
    <row r="932" spans="1:22" ht="18" customHeight="1" hidden="1">
      <c r="A932" s="762" t="s">
        <v>249</v>
      </c>
      <c r="B932" s="607" t="s">
        <v>606</v>
      </c>
      <c r="C932" s="780"/>
      <c r="D932" s="780"/>
      <c r="E932" s="780"/>
      <c r="F932" s="780"/>
      <c r="G932" s="780"/>
      <c r="H932" s="780"/>
      <c r="I932" s="780"/>
      <c r="J932" s="780"/>
      <c r="K932" s="780"/>
      <c r="L932" s="780"/>
      <c r="M932" s="780"/>
      <c r="N932" s="780"/>
      <c r="O932" s="780"/>
      <c r="P932" s="780"/>
      <c r="Q932" s="780"/>
      <c r="R932" s="780"/>
      <c r="S932" s="780"/>
      <c r="T932" s="780"/>
      <c r="U932" s="780"/>
      <c r="V932" s="785" t="e">
        <f>SUM(C932:U932)-#REF!</f>
        <v>#REF!</v>
      </c>
    </row>
    <row r="933" spans="1:22" ht="18" customHeight="1" hidden="1">
      <c r="A933" s="809" t="s">
        <v>250</v>
      </c>
      <c r="B933" s="810" t="s">
        <v>607</v>
      </c>
      <c r="C933" s="811"/>
      <c r="D933" s="811"/>
      <c r="E933" s="811"/>
      <c r="F933" s="811"/>
      <c r="G933" s="811"/>
      <c r="H933" s="811"/>
      <c r="I933" s="811"/>
      <c r="J933" s="811"/>
      <c r="K933" s="811"/>
      <c r="L933" s="811"/>
      <c r="M933" s="811"/>
      <c r="N933" s="811"/>
      <c r="O933" s="811"/>
      <c r="P933" s="811"/>
      <c r="Q933" s="811"/>
      <c r="R933" s="811"/>
      <c r="S933" s="811"/>
      <c r="T933" s="811"/>
      <c r="U933" s="811"/>
      <c r="V933" s="785" t="e">
        <f>SUM(C933:U933)-#REF!</f>
        <v>#REF!</v>
      </c>
    </row>
    <row r="934" spans="1:22" ht="18" customHeight="1" hidden="1" thickTop="1">
      <c r="A934" s="762" t="s">
        <v>251</v>
      </c>
      <c r="B934" s="607" t="s">
        <v>608</v>
      </c>
      <c r="C934" s="780"/>
      <c r="D934" s="780"/>
      <c r="E934" s="780"/>
      <c r="F934" s="780"/>
      <c r="G934" s="780"/>
      <c r="H934" s="780"/>
      <c r="I934" s="780"/>
      <c r="J934" s="780"/>
      <c r="K934" s="780"/>
      <c r="L934" s="780"/>
      <c r="M934" s="780"/>
      <c r="N934" s="780"/>
      <c r="O934" s="780"/>
      <c r="P934" s="780"/>
      <c r="Q934" s="780"/>
      <c r="R934" s="780"/>
      <c r="S934" s="780"/>
      <c r="T934" s="780"/>
      <c r="U934" s="780"/>
      <c r="V934" s="785" t="e">
        <f>SUM(C934:U934)-#REF!</f>
        <v>#REF!</v>
      </c>
    </row>
    <row r="935" spans="1:22" ht="18" customHeight="1" hidden="1">
      <c r="A935" s="809" t="s">
        <v>252</v>
      </c>
      <c r="B935" s="810" t="s">
        <v>609</v>
      </c>
      <c r="C935" s="811"/>
      <c r="D935" s="811"/>
      <c r="E935" s="811"/>
      <c r="F935" s="811"/>
      <c r="G935" s="811"/>
      <c r="H935" s="811"/>
      <c r="I935" s="811"/>
      <c r="J935" s="811"/>
      <c r="K935" s="811"/>
      <c r="L935" s="811"/>
      <c r="M935" s="811"/>
      <c r="N935" s="811"/>
      <c r="O935" s="811"/>
      <c r="P935" s="811"/>
      <c r="Q935" s="811"/>
      <c r="R935" s="811"/>
      <c r="S935" s="811"/>
      <c r="T935" s="811"/>
      <c r="U935" s="811"/>
      <c r="V935" s="785" t="e">
        <f>SUM(C935:U935)-#REF!</f>
        <v>#REF!</v>
      </c>
    </row>
    <row r="936" spans="1:22" ht="18" customHeight="1" hidden="1">
      <c r="A936" s="809" t="s">
        <v>253</v>
      </c>
      <c r="B936" s="607" t="s">
        <v>610</v>
      </c>
      <c r="C936" s="780"/>
      <c r="D936" s="780"/>
      <c r="E936" s="780"/>
      <c r="F936" s="780"/>
      <c r="G936" s="780"/>
      <c r="H936" s="780"/>
      <c r="I936" s="780"/>
      <c r="J936" s="780"/>
      <c r="K936" s="780"/>
      <c r="L936" s="780"/>
      <c r="M936" s="780"/>
      <c r="N936" s="780"/>
      <c r="O936" s="780"/>
      <c r="P936" s="780"/>
      <c r="Q936" s="780"/>
      <c r="R936" s="780"/>
      <c r="S936" s="780"/>
      <c r="T936" s="780"/>
      <c r="U936" s="780"/>
      <c r="V936" s="785" t="e">
        <f>SUM(C936:U936)-#REF!</f>
        <v>#REF!</v>
      </c>
    </row>
    <row r="937" spans="1:22" ht="18" customHeight="1" hidden="1">
      <c r="A937" s="809" t="s">
        <v>254</v>
      </c>
      <c r="B937" s="607" t="s">
        <v>612</v>
      </c>
      <c r="C937" s="780"/>
      <c r="D937" s="780"/>
      <c r="E937" s="780"/>
      <c r="F937" s="780"/>
      <c r="G937" s="780"/>
      <c r="H937" s="780"/>
      <c r="I937" s="780"/>
      <c r="J937" s="780"/>
      <c r="K937" s="780"/>
      <c r="L937" s="780"/>
      <c r="M937" s="780"/>
      <c r="N937" s="780"/>
      <c r="O937" s="780"/>
      <c r="P937" s="780"/>
      <c r="Q937" s="780"/>
      <c r="R937" s="780"/>
      <c r="S937" s="780"/>
      <c r="T937" s="780"/>
      <c r="U937" s="780"/>
      <c r="V937" s="785" t="e">
        <f>SUM(C937:U937)-#REF!</f>
        <v>#REF!</v>
      </c>
    </row>
    <row r="938" spans="1:22" ht="18" customHeight="1" hidden="1">
      <c r="A938" s="809" t="s">
        <v>255</v>
      </c>
      <c r="B938" s="607" t="s">
        <v>613</v>
      </c>
      <c r="C938" s="780"/>
      <c r="D938" s="780"/>
      <c r="E938" s="780"/>
      <c r="F938" s="780"/>
      <c r="G938" s="780"/>
      <c r="H938" s="780"/>
      <c r="I938" s="780"/>
      <c r="J938" s="780"/>
      <c r="K938" s="780"/>
      <c r="L938" s="780"/>
      <c r="M938" s="780"/>
      <c r="N938" s="780"/>
      <c r="O938" s="780"/>
      <c r="P938" s="780"/>
      <c r="Q938" s="780"/>
      <c r="R938" s="780"/>
      <c r="S938" s="780"/>
      <c r="T938" s="780"/>
      <c r="U938" s="780"/>
      <c r="V938" s="785" t="e">
        <f>SUM(C938:U938)-#REF!</f>
        <v>#REF!</v>
      </c>
    </row>
    <row r="939" spans="1:22" ht="18" customHeight="1" hidden="1">
      <c r="A939" s="809" t="s">
        <v>256</v>
      </c>
      <c r="B939" s="810" t="s">
        <v>614</v>
      </c>
      <c r="C939" s="811"/>
      <c r="D939" s="811"/>
      <c r="E939" s="811"/>
      <c r="F939" s="811"/>
      <c r="G939" s="811"/>
      <c r="H939" s="811"/>
      <c r="I939" s="811"/>
      <c r="J939" s="811"/>
      <c r="K939" s="811"/>
      <c r="L939" s="811"/>
      <c r="M939" s="811"/>
      <c r="N939" s="811"/>
      <c r="O939" s="811"/>
      <c r="P939" s="811"/>
      <c r="Q939" s="811"/>
      <c r="R939" s="811"/>
      <c r="S939" s="811"/>
      <c r="T939" s="811"/>
      <c r="U939" s="811"/>
      <c r="V939" s="785" t="e">
        <f>SUM(C939:U939)-#REF!</f>
        <v>#REF!</v>
      </c>
    </row>
    <row r="940" spans="1:22" ht="18" customHeight="1" hidden="1">
      <c r="A940" s="809" t="s">
        <v>257</v>
      </c>
      <c r="B940" s="607" t="s">
        <v>615</v>
      </c>
      <c r="C940" s="780"/>
      <c r="D940" s="780"/>
      <c r="E940" s="780"/>
      <c r="F940" s="780"/>
      <c r="G940" s="780"/>
      <c r="H940" s="780"/>
      <c r="I940" s="780"/>
      <c r="J940" s="780"/>
      <c r="K940" s="780"/>
      <c r="L940" s="780"/>
      <c r="M940" s="780"/>
      <c r="N940" s="780"/>
      <c r="O940" s="780"/>
      <c r="P940" s="780"/>
      <c r="Q940" s="780"/>
      <c r="R940" s="780"/>
      <c r="S940" s="780"/>
      <c r="T940" s="780"/>
      <c r="U940" s="780"/>
      <c r="V940" s="785" t="e">
        <f>SUM(C940:U940)-#REF!</f>
        <v>#REF!</v>
      </c>
    </row>
    <row r="941" spans="1:22" ht="18" customHeight="1" hidden="1">
      <c r="A941" s="809" t="s">
        <v>258</v>
      </c>
      <c r="B941" s="607" t="s">
        <v>617</v>
      </c>
      <c r="C941" s="780"/>
      <c r="D941" s="780"/>
      <c r="E941" s="780"/>
      <c r="F941" s="780"/>
      <c r="G941" s="780"/>
      <c r="H941" s="780"/>
      <c r="I941" s="780"/>
      <c r="J941" s="780"/>
      <c r="K941" s="780"/>
      <c r="L941" s="780"/>
      <c r="M941" s="780"/>
      <c r="N941" s="780"/>
      <c r="O941" s="780"/>
      <c r="P941" s="780"/>
      <c r="Q941" s="780"/>
      <c r="R941" s="780"/>
      <c r="S941" s="780"/>
      <c r="T941" s="780"/>
      <c r="U941" s="780"/>
      <c r="V941" s="785" t="e">
        <f>SUM(C941:U941)-#REF!</f>
        <v>#REF!</v>
      </c>
    </row>
    <row r="942" spans="1:22" ht="18" customHeight="1" hidden="1" thickTop="1">
      <c r="A942" s="762" t="s">
        <v>259</v>
      </c>
      <c r="B942" s="607" t="s">
        <v>618</v>
      </c>
      <c r="C942" s="780"/>
      <c r="D942" s="780"/>
      <c r="E942" s="780"/>
      <c r="F942" s="780"/>
      <c r="G942" s="780"/>
      <c r="H942" s="780"/>
      <c r="I942" s="780"/>
      <c r="J942" s="780"/>
      <c r="K942" s="780"/>
      <c r="L942" s="780"/>
      <c r="M942" s="780"/>
      <c r="N942" s="780"/>
      <c r="O942" s="780"/>
      <c r="P942" s="780"/>
      <c r="Q942" s="780"/>
      <c r="R942" s="780"/>
      <c r="S942" s="780"/>
      <c r="T942" s="780"/>
      <c r="U942" s="780"/>
      <c r="V942" s="785" t="e">
        <f>SUM(C942:U942)-#REF!</f>
        <v>#REF!</v>
      </c>
    </row>
    <row r="943" spans="1:22" ht="18" customHeight="1" hidden="1" thickTop="1">
      <c r="A943" s="762" t="s">
        <v>260</v>
      </c>
      <c r="B943" s="810" t="s">
        <v>648</v>
      </c>
      <c r="C943" s="811"/>
      <c r="D943" s="811"/>
      <c r="E943" s="811"/>
      <c r="F943" s="811"/>
      <c r="G943" s="811"/>
      <c r="H943" s="811"/>
      <c r="I943" s="811"/>
      <c r="J943" s="811"/>
      <c r="K943" s="811"/>
      <c r="L943" s="811"/>
      <c r="M943" s="811"/>
      <c r="N943" s="811"/>
      <c r="O943" s="811"/>
      <c r="P943" s="811"/>
      <c r="Q943" s="811"/>
      <c r="R943" s="811"/>
      <c r="S943" s="811"/>
      <c r="T943" s="811"/>
      <c r="U943" s="811"/>
      <c r="V943" s="785" t="e">
        <f>SUM(C943:U943)-#REF!</f>
        <v>#REF!</v>
      </c>
    </row>
    <row r="944" spans="1:22" ht="18" customHeight="1" hidden="1">
      <c r="A944" s="762" t="s">
        <v>261</v>
      </c>
      <c r="B944" s="810" t="s">
        <v>650</v>
      </c>
      <c r="C944" s="811"/>
      <c r="D944" s="811"/>
      <c r="E944" s="811"/>
      <c r="F944" s="811"/>
      <c r="G944" s="811"/>
      <c r="H944" s="811"/>
      <c r="I944" s="811"/>
      <c r="J944" s="811"/>
      <c r="K944" s="811"/>
      <c r="L944" s="811"/>
      <c r="M944" s="811"/>
      <c r="N944" s="811"/>
      <c r="O944" s="811"/>
      <c r="P944" s="811"/>
      <c r="Q944" s="811"/>
      <c r="R944" s="811"/>
      <c r="S944" s="811"/>
      <c r="T944" s="811"/>
      <c r="U944" s="811"/>
      <c r="V944" s="785" t="e">
        <f>SUM(C944:U944)-#REF!</f>
        <v>#REF!</v>
      </c>
    </row>
    <row r="945" spans="1:22" ht="18" customHeight="1" hidden="1">
      <c r="A945" s="762" t="s">
        <v>262</v>
      </c>
      <c r="B945" s="607" t="s">
        <v>651</v>
      </c>
      <c r="C945" s="780"/>
      <c r="D945" s="780"/>
      <c r="E945" s="780"/>
      <c r="F945" s="780"/>
      <c r="G945" s="780"/>
      <c r="H945" s="780"/>
      <c r="I945" s="780"/>
      <c r="J945" s="780"/>
      <c r="K945" s="780"/>
      <c r="L945" s="780"/>
      <c r="M945" s="780"/>
      <c r="N945" s="780"/>
      <c r="O945" s="780"/>
      <c r="P945" s="780"/>
      <c r="Q945" s="780"/>
      <c r="R945" s="780"/>
      <c r="S945" s="780"/>
      <c r="T945" s="780"/>
      <c r="U945" s="780"/>
      <c r="V945" s="785" t="e">
        <f>SUM(C945:U945)-#REF!</f>
        <v>#REF!</v>
      </c>
    </row>
    <row r="946" spans="1:22" ht="18" customHeight="1" hidden="1">
      <c r="A946" s="762" t="s">
        <v>263</v>
      </c>
      <c r="B946" s="810" t="s">
        <v>652</v>
      </c>
      <c r="C946" s="811"/>
      <c r="D946" s="811"/>
      <c r="E946" s="811"/>
      <c r="F946" s="811"/>
      <c r="G946" s="811"/>
      <c r="H946" s="811"/>
      <c r="I946" s="811"/>
      <c r="J946" s="811"/>
      <c r="K946" s="811"/>
      <c r="L946" s="811"/>
      <c r="M946" s="811"/>
      <c r="N946" s="811"/>
      <c r="O946" s="811"/>
      <c r="P946" s="811"/>
      <c r="Q946" s="811"/>
      <c r="R946" s="811"/>
      <c r="S946" s="811"/>
      <c r="T946" s="811"/>
      <c r="U946" s="811"/>
      <c r="V946" s="785" t="e">
        <f>SUM(C946:U946)-#REF!</f>
        <v>#REF!</v>
      </c>
    </row>
    <row r="947" spans="1:22" ht="18" customHeight="1" hidden="1">
      <c r="A947" s="762" t="s">
        <v>264</v>
      </c>
      <c r="B947" s="607" t="s">
        <v>653</v>
      </c>
      <c r="C947" s="780"/>
      <c r="D947" s="780"/>
      <c r="E947" s="780"/>
      <c r="F947" s="780"/>
      <c r="G947" s="780"/>
      <c r="H947" s="780"/>
      <c r="I947" s="780"/>
      <c r="J947" s="780"/>
      <c r="K947" s="780"/>
      <c r="L947" s="780"/>
      <c r="M947" s="780"/>
      <c r="N947" s="780"/>
      <c r="O947" s="780"/>
      <c r="P947" s="780"/>
      <c r="Q947" s="780"/>
      <c r="R947" s="780"/>
      <c r="S947" s="780"/>
      <c r="T947" s="780"/>
      <c r="U947" s="780"/>
      <c r="V947" s="785" t="e">
        <f>SUM(C947:U947)-#REF!</f>
        <v>#REF!</v>
      </c>
    </row>
    <row r="948" spans="1:22" ht="18" customHeight="1" hidden="1">
      <c r="A948" s="762" t="s">
        <v>265</v>
      </c>
      <c r="B948" s="810" t="s">
        <v>654</v>
      </c>
      <c r="C948" s="811"/>
      <c r="D948" s="811"/>
      <c r="E948" s="811"/>
      <c r="F948" s="811"/>
      <c r="G948" s="811"/>
      <c r="H948" s="811"/>
      <c r="I948" s="811"/>
      <c r="J948" s="811"/>
      <c r="K948" s="811"/>
      <c r="L948" s="811"/>
      <c r="M948" s="811"/>
      <c r="N948" s="811"/>
      <c r="O948" s="811"/>
      <c r="P948" s="811"/>
      <c r="Q948" s="811"/>
      <c r="R948" s="811"/>
      <c r="S948" s="811"/>
      <c r="T948" s="811"/>
      <c r="U948" s="811"/>
      <c r="V948" s="785" t="e">
        <f>SUM(C948:U948)-#REF!</f>
        <v>#REF!</v>
      </c>
    </row>
    <row r="949" spans="1:22" ht="18" customHeight="1" hidden="1">
      <c r="A949" s="762" t="s">
        <v>266</v>
      </c>
      <c r="B949" s="607" t="s">
        <v>655</v>
      </c>
      <c r="C949" s="780"/>
      <c r="D949" s="780"/>
      <c r="E949" s="780"/>
      <c r="F949" s="780"/>
      <c r="G949" s="780"/>
      <c r="H949" s="780"/>
      <c r="I949" s="780"/>
      <c r="J949" s="780"/>
      <c r="K949" s="780"/>
      <c r="L949" s="780"/>
      <c r="M949" s="780"/>
      <c r="N949" s="780"/>
      <c r="O949" s="780"/>
      <c r="P949" s="780"/>
      <c r="Q949" s="780"/>
      <c r="R949" s="780"/>
      <c r="S949" s="780"/>
      <c r="T949" s="780"/>
      <c r="U949" s="780"/>
      <c r="V949" s="785" t="e">
        <f>SUM(C949:U949)-#REF!</f>
        <v>#REF!</v>
      </c>
    </row>
    <row r="950" spans="1:22" ht="18" customHeight="1" hidden="1">
      <c r="A950" s="762" t="s">
        <v>267</v>
      </c>
      <c r="B950" s="810" t="s">
        <v>656</v>
      </c>
      <c r="C950" s="811"/>
      <c r="D950" s="811"/>
      <c r="E950" s="811"/>
      <c r="F950" s="811"/>
      <c r="G950" s="811"/>
      <c r="H950" s="811"/>
      <c r="I950" s="811"/>
      <c r="J950" s="811"/>
      <c r="K950" s="811"/>
      <c r="L950" s="811"/>
      <c r="M950" s="811"/>
      <c r="N950" s="811"/>
      <c r="O950" s="811"/>
      <c r="P950" s="811"/>
      <c r="Q950" s="811"/>
      <c r="R950" s="811"/>
      <c r="S950" s="811"/>
      <c r="T950" s="811"/>
      <c r="U950" s="811"/>
      <c r="V950" s="785" t="e">
        <f>SUM(C950:U950)-#REF!</f>
        <v>#REF!</v>
      </c>
    </row>
    <row r="951" spans="1:22" ht="18" customHeight="1" hidden="1">
      <c r="A951" s="762" t="s">
        <v>268</v>
      </c>
      <c r="B951" s="607" t="s">
        <v>657</v>
      </c>
      <c r="C951" s="780"/>
      <c r="D951" s="780"/>
      <c r="E951" s="780"/>
      <c r="F951" s="780"/>
      <c r="G951" s="780"/>
      <c r="H951" s="780"/>
      <c r="I951" s="780"/>
      <c r="J951" s="780"/>
      <c r="K951" s="780"/>
      <c r="L951" s="780"/>
      <c r="M951" s="780"/>
      <c r="N951" s="780"/>
      <c r="O951" s="780"/>
      <c r="P951" s="780"/>
      <c r="Q951" s="780"/>
      <c r="R951" s="780"/>
      <c r="S951" s="780"/>
      <c r="T951" s="780"/>
      <c r="U951" s="780"/>
      <c r="V951" s="785" t="e">
        <f>SUM(C951:U951)-#REF!</f>
        <v>#REF!</v>
      </c>
    </row>
    <row r="952" spans="1:22" ht="18" customHeight="1" hidden="1">
      <c r="A952" s="762" t="s">
        <v>269</v>
      </c>
      <c r="B952" s="810" t="s">
        <v>658</v>
      </c>
      <c r="C952" s="811"/>
      <c r="D952" s="811"/>
      <c r="E952" s="811"/>
      <c r="F952" s="811"/>
      <c r="G952" s="811"/>
      <c r="H952" s="811"/>
      <c r="I952" s="811"/>
      <c r="J952" s="811"/>
      <c r="K952" s="811"/>
      <c r="L952" s="811"/>
      <c r="M952" s="811"/>
      <c r="N952" s="811"/>
      <c r="O952" s="811"/>
      <c r="P952" s="811"/>
      <c r="Q952" s="811"/>
      <c r="R952" s="811"/>
      <c r="S952" s="811"/>
      <c r="T952" s="811"/>
      <c r="U952" s="811"/>
      <c r="V952" s="785" t="e">
        <f>SUM(C952:U952)-#REF!</f>
        <v>#REF!</v>
      </c>
    </row>
    <row r="953" spans="1:22" ht="18" customHeight="1" hidden="1">
      <c r="A953" s="762" t="s">
        <v>270</v>
      </c>
      <c r="B953" s="607" t="s">
        <v>659</v>
      </c>
      <c r="C953" s="780"/>
      <c r="D953" s="780"/>
      <c r="E953" s="780"/>
      <c r="F953" s="780"/>
      <c r="G953" s="780"/>
      <c r="H953" s="780"/>
      <c r="I953" s="780"/>
      <c r="J953" s="780"/>
      <c r="K953" s="780"/>
      <c r="L953" s="780"/>
      <c r="M953" s="780"/>
      <c r="N953" s="780"/>
      <c r="O953" s="780"/>
      <c r="P953" s="780"/>
      <c r="Q953" s="780"/>
      <c r="R953" s="780"/>
      <c r="S953" s="780"/>
      <c r="T953" s="780"/>
      <c r="U953" s="780"/>
      <c r="V953" s="785" t="e">
        <f>SUM(C953:U953)-#REF!</f>
        <v>#REF!</v>
      </c>
    </row>
    <row r="954" spans="1:22" ht="18" customHeight="1" hidden="1">
      <c r="A954" s="762" t="s">
        <v>271</v>
      </c>
      <c r="B954" s="810" t="s">
        <v>660</v>
      </c>
      <c r="C954" s="811"/>
      <c r="D954" s="811"/>
      <c r="E954" s="811"/>
      <c r="F954" s="811"/>
      <c r="G954" s="811"/>
      <c r="H954" s="811"/>
      <c r="I954" s="811"/>
      <c r="J954" s="811"/>
      <c r="K954" s="811"/>
      <c r="L954" s="811"/>
      <c r="M954" s="811"/>
      <c r="N954" s="811"/>
      <c r="O954" s="811"/>
      <c r="P954" s="811"/>
      <c r="Q954" s="811"/>
      <c r="R954" s="811"/>
      <c r="S954" s="811"/>
      <c r="T954" s="811"/>
      <c r="U954" s="811"/>
      <c r="V954" s="785" t="e">
        <f>SUM(C954:U954)-#REF!</f>
        <v>#REF!</v>
      </c>
    </row>
    <row r="955" spans="1:22" ht="18" customHeight="1" hidden="1">
      <c r="A955" s="762" t="s">
        <v>272</v>
      </c>
      <c r="B955" s="607" t="s">
        <v>661</v>
      </c>
      <c r="C955" s="780"/>
      <c r="D955" s="780"/>
      <c r="E955" s="780"/>
      <c r="F955" s="780"/>
      <c r="G955" s="780"/>
      <c r="H955" s="780"/>
      <c r="I955" s="780"/>
      <c r="J955" s="780"/>
      <c r="K955" s="780"/>
      <c r="L955" s="780"/>
      <c r="M955" s="780"/>
      <c r="N955" s="780"/>
      <c r="O955" s="780"/>
      <c r="P955" s="780"/>
      <c r="Q955" s="780"/>
      <c r="R955" s="780"/>
      <c r="S955" s="780"/>
      <c r="T955" s="780"/>
      <c r="U955" s="780"/>
      <c r="V955" s="785" t="e">
        <f>SUM(C955:U955)-#REF!</f>
        <v>#REF!</v>
      </c>
    </row>
    <row r="956" spans="1:22" ht="18" customHeight="1" hidden="1">
      <c r="A956" s="762" t="s">
        <v>273</v>
      </c>
      <c r="B956" s="810" t="s">
        <v>662</v>
      </c>
      <c r="C956" s="811"/>
      <c r="D956" s="811"/>
      <c r="E956" s="811"/>
      <c r="F956" s="811"/>
      <c r="G956" s="811"/>
      <c r="H956" s="811"/>
      <c r="I956" s="811"/>
      <c r="J956" s="811"/>
      <c r="K956" s="811"/>
      <c r="L956" s="811"/>
      <c r="M956" s="811"/>
      <c r="N956" s="811"/>
      <c r="O956" s="811"/>
      <c r="P956" s="811"/>
      <c r="Q956" s="811"/>
      <c r="R956" s="811"/>
      <c r="S956" s="811"/>
      <c r="T956" s="811"/>
      <c r="U956" s="811"/>
      <c r="V956" s="785" t="e">
        <f>SUM(C956:U956)-#REF!</f>
        <v>#REF!</v>
      </c>
    </row>
    <row r="957" spans="1:22" ht="18" customHeight="1" hidden="1">
      <c r="A957" s="762" t="s">
        <v>274</v>
      </c>
      <c r="B957" s="607" t="s">
        <v>663</v>
      </c>
      <c r="C957" s="780"/>
      <c r="D957" s="780"/>
      <c r="E957" s="780"/>
      <c r="F957" s="780"/>
      <c r="G957" s="780"/>
      <c r="H957" s="780"/>
      <c r="I957" s="780"/>
      <c r="J957" s="780"/>
      <c r="K957" s="780"/>
      <c r="L957" s="780"/>
      <c r="M957" s="780"/>
      <c r="N957" s="780"/>
      <c r="O957" s="780"/>
      <c r="P957" s="780"/>
      <c r="Q957" s="780"/>
      <c r="R957" s="780"/>
      <c r="S957" s="780"/>
      <c r="T957" s="780"/>
      <c r="U957" s="780"/>
      <c r="V957" s="785" t="e">
        <f>SUM(C957:U957)-#REF!</f>
        <v>#REF!</v>
      </c>
    </row>
    <row r="958" spans="1:22" ht="18" customHeight="1" hidden="1">
      <c r="A958" s="762" t="s">
        <v>275</v>
      </c>
      <c r="B958" s="810" t="s">
        <v>669</v>
      </c>
      <c r="C958" s="811"/>
      <c r="D958" s="811"/>
      <c r="E958" s="811"/>
      <c r="F958" s="811"/>
      <c r="G958" s="811"/>
      <c r="H958" s="811"/>
      <c r="I958" s="811"/>
      <c r="J958" s="811"/>
      <c r="K958" s="811"/>
      <c r="L958" s="811"/>
      <c r="M958" s="811"/>
      <c r="N958" s="811"/>
      <c r="O958" s="811"/>
      <c r="P958" s="811"/>
      <c r="Q958" s="811"/>
      <c r="R958" s="811"/>
      <c r="S958" s="811"/>
      <c r="T958" s="811"/>
      <c r="U958" s="811"/>
      <c r="V958" s="785" t="e">
        <f>SUM(C958:U958)-#REF!</f>
        <v>#REF!</v>
      </c>
    </row>
    <row r="959" spans="1:22" ht="18" customHeight="1" hidden="1">
      <c r="A959" s="762" t="s">
        <v>276</v>
      </c>
      <c r="B959" s="607" t="s">
        <v>670</v>
      </c>
      <c r="C959" s="780"/>
      <c r="D959" s="780"/>
      <c r="E959" s="780"/>
      <c r="F959" s="780"/>
      <c r="G959" s="780"/>
      <c r="H959" s="780"/>
      <c r="I959" s="780"/>
      <c r="J959" s="780"/>
      <c r="K959" s="780"/>
      <c r="L959" s="780"/>
      <c r="M959" s="780"/>
      <c r="N959" s="780"/>
      <c r="O959" s="780"/>
      <c r="P959" s="780"/>
      <c r="Q959" s="780"/>
      <c r="R959" s="780"/>
      <c r="S959" s="780"/>
      <c r="T959" s="780"/>
      <c r="U959" s="780"/>
      <c r="V959" s="785" t="e">
        <f>SUM(C959:U959)-#REF!</f>
        <v>#REF!</v>
      </c>
    </row>
    <row r="960" spans="1:22" ht="18" customHeight="1" hidden="1">
      <c r="A960" s="762" t="s">
        <v>277</v>
      </c>
      <c r="B960" s="810" t="s">
        <v>671</v>
      </c>
      <c r="C960" s="811"/>
      <c r="D960" s="811"/>
      <c r="E960" s="811"/>
      <c r="F960" s="811"/>
      <c r="G960" s="811"/>
      <c r="H960" s="811"/>
      <c r="I960" s="811"/>
      <c r="J960" s="811"/>
      <c r="K960" s="811"/>
      <c r="L960" s="811"/>
      <c r="M960" s="811"/>
      <c r="N960" s="811"/>
      <c r="O960" s="811"/>
      <c r="P960" s="811"/>
      <c r="Q960" s="811"/>
      <c r="R960" s="811"/>
      <c r="S960" s="811"/>
      <c r="T960" s="811"/>
      <c r="U960" s="811"/>
      <c r="V960" s="785" t="e">
        <f>SUM(C960:U960)-#REF!</f>
        <v>#REF!</v>
      </c>
    </row>
    <row r="961" spans="1:22" ht="18" customHeight="1" hidden="1">
      <c r="A961" s="762" t="s">
        <v>278</v>
      </c>
      <c r="B961" s="607" t="s">
        <v>672</v>
      </c>
      <c r="C961" s="780"/>
      <c r="D961" s="780"/>
      <c r="E961" s="780"/>
      <c r="F961" s="780"/>
      <c r="G961" s="780"/>
      <c r="H961" s="780"/>
      <c r="I961" s="780"/>
      <c r="J961" s="780"/>
      <c r="K961" s="780"/>
      <c r="L961" s="780"/>
      <c r="M961" s="780"/>
      <c r="N961" s="780"/>
      <c r="O961" s="780"/>
      <c r="P961" s="780"/>
      <c r="Q961" s="780"/>
      <c r="R961" s="780"/>
      <c r="S961" s="780"/>
      <c r="T961" s="780"/>
      <c r="U961" s="780"/>
      <c r="V961" s="785" t="e">
        <f>SUM(C961:U961)-#REF!</f>
        <v>#REF!</v>
      </c>
    </row>
    <row r="962" spans="1:22" ht="18" customHeight="1" hidden="1">
      <c r="A962" s="762" t="s">
        <v>279</v>
      </c>
      <c r="B962" s="810" t="s">
        <v>673</v>
      </c>
      <c r="C962" s="811"/>
      <c r="D962" s="811"/>
      <c r="E962" s="811"/>
      <c r="F962" s="811"/>
      <c r="G962" s="811"/>
      <c r="H962" s="811"/>
      <c r="I962" s="811"/>
      <c r="J962" s="811"/>
      <c r="K962" s="811"/>
      <c r="L962" s="811"/>
      <c r="M962" s="811"/>
      <c r="N962" s="811"/>
      <c r="O962" s="811"/>
      <c r="P962" s="811"/>
      <c r="Q962" s="811"/>
      <c r="R962" s="811"/>
      <c r="S962" s="811"/>
      <c r="T962" s="811"/>
      <c r="U962" s="811"/>
      <c r="V962" s="785" t="e">
        <f>SUM(C962:U962)-#REF!</f>
        <v>#REF!</v>
      </c>
    </row>
    <row r="963" spans="1:22" ht="18" customHeight="1" hidden="1">
      <c r="A963" s="762" t="s">
        <v>280</v>
      </c>
      <c r="B963" s="607" t="s">
        <v>675</v>
      </c>
      <c r="C963" s="780"/>
      <c r="D963" s="780"/>
      <c r="E963" s="780"/>
      <c r="F963" s="780"/>
      <c r="G963" s="780"/>
      <c r="H963" s="780"/>
      <c r="I963" s="780"/>
      <c r="J963" s="780"/>
      <c r="K963" s="780"/>
      <c r="L963" s="780"/>
      <c r="M963" s="780"/>
      <c r="N963" s="780"/>
      <c r="O963" s="780"/>
      <c r="P963" s="780"/>
      <c r="Q963" s="780"/>
      <c r="R963" s="780"/>
      <c r="S963" s="780"/>
      <c r="T963" s="780"/>
      <c r="U963" s="780"/>
      <c r="V963" s="785" t="e">
        <f>SUM(C963:U963)-#REF!</f>
        <v>#REF!</v>
      </c>
    </row>
    <row r="964" spans="1:22" ht="18" customHeight="1" hidden="1">
      <c r="A964" s="762" t="s">
        <v>281</v>
      </c>
      <c r="B964" s="810" t="s">
        <v>676</v>
      </c>
      <c r="C964" s="811"/>
      <c r="D964" s="811"/>
      <c r="E964" s="811"/>
      <c r="F964" s="811"/>
      <c r="G964" s="811"/>
      <c r="H964" s="811"/>
      <c r="I964" s="811"/>
      <c r="J964" s="811"/>
      <c r="K964" s="811"/>
      <c r="L964" s="811"/>
      <c r="M964" s="811"/>
      <c r="N964" s="811"/>
      <c r="O964" s="811"/>
      <c r="P964" s="811"/>
      <c r="Q964" s="811"/>
      <c r="R964" s="811"/>
      <c r="S964" s="811"/>
      <c r="T964" s="811"/>
      <c r="U964" s="811"/>
      <c r="V964" s="785" t="e">
        <f>SUM(C964:U964)-#REF!</f>
        <v>#REF!</v>
      </c>
    </row>
    <row r="965" spans="1:22" ht="18" customHeight="1" hidden="1">
      <c r="A965" s="762" t="s">
        <v>282</v>
      </c>
      <c r="B965" s="607" t="s">
        <v>677</v>
      </c>
      <c r="C965" s="780"/>
      <c r="D965" s="780"/>
      <c r="E965" s="780"/>
      <c r="F965" s="780"/>
      <c r="G965" s="780"/>
      <c r="H965" s="780"/>
      <c r="I965" s="780"/>
      <c r="J965" s="780"/>
      <c r="K965" s="780"/>
      <c r="L965" s="780"/>
      <c r="M965" s="780"/>
      <c r="N965" s="780"/>
      <c r="O965" s="780"/>
      <c r="P965" s="780"/>
      <c r="Q965" s="780"/>
      <c r="R965" s="780"/>
      <c r="S965" s="780"/>
      <c r="T965" s="780"/>
      <c r="U965" s="780"/>
      <c r="V965" s="785" t="e">
        <f>SUM(C965:U965)-#REF!</f>
        <v>#REF!</v>
      </c>
    </row>
    <row r="966" spans="1:22" ht="18" customHeight="1" hidden="1">
      <c r="A966" s="762" t="s">
        <v>283</v>
      </c>
      <c r="B966" s="810" t="s">
        <v>678</v>
      </c>
      <c r="C966" s="811"/>
      <c r="D966" s="811"/>
      <c r="E966" s="811"/>
      <c r="F966" s="811"/>
      <c r="G966" s="811"/>
      <c r="H966" s="811"/>
      <c r="I966" s="811"/>
      <c r="J966" s="811"/>
      <c r="K966" s="811"/>
      <c r="L966" s="811"/>
      <c r="M966" s="811"/>
      <c r="N966" s="811"/>
      <c r="O966" s="811"/>
      <c r="P966" s="811"/>
      <c r="Q966" s="811"/>
      <c r="R966" s="811"/>
      <c r="S966" s="811"/>
      <c r="T966" s="811"/>
      <c r="U966" s="811"/>
      <c r="V966" s="785" t="e">
        <f>SUM(C966:U966)-#REF!</f>
        <v>#REF!</v>
      </c>
    </row>
    <row r="967" spans="1:22" ht="18" customHeight="1" hidden="1">
      <c r="A967" s="762" t="s">
        <v>284</v>
      </c>
      <c r="B967" s="607" t="s">
        <v>679</v>
      </c>
      <c r="C967" s="780"/>
      <c r="D967" s="780"/>
      <c r="E967" s="780"/>
      <c r="F967" s="780"/>
      <c r="G967" s="780"/>
      <c r="H967" s="780"/>
      <c r="I967" s="780"/>
      <c r="J967" s="780"/>
      <c r="K967" s="780"/>
      <c r="L967" s="780"/>
      <c r="M967" s="780"/>
      <c r="N967" s="780"/>
      <c r="O967" s="780"/>
      <c r="P967" s="780"/>
      <c r="Q967" s="780"/>
      <c r="R967" s="780"/>
      <c r="S967" s="780"/>
      <c r="T967" s="780"/>
      <c r="U967" s="780"/>
      <c r="V967" s="785" t="e">
        <f>SUM(C967:U967)-#REF!</f>
        <v>#REF!</v>
      </c>
    </row>
    <row r="968" spans="1:22" ht="18" customHeight="1" hidden="1">
      <c r="A968" s="762" t="s">
        <v>285</v>
      </c>
      <c r="B968" s="607" t="s">
        <v>680</v>
      </c>
      <c r="C968" s="812"/>
      <c r="D968" s="812"/>
      <c r="E968" s="812"/>
      <c r="F968" s="812"/>
      <c r="G968" s="812"/>
      <c r="H968" s="812"/>
      <c r="I968" s="812"/>
      <c r="J968" s="812"/>
      <c r="K968" s="812"/>
      <c r="L968" s="812"/>
      <c r="M968" s="812"/>
      <c r="N968" s="812"/>
      <c r="O968" s="812"/>
      <c r="P968" s="812"/>
      <c r="Q968" s="812"/>
      <c r="R968" s="812"/>
      <c r="S968" s="812"/>
      <c r="T968" s="812"/>
      <c r="U968" s="812"/>
      <c r="V968" s="785" t="e">
        <f>SUM(C968:U968)-#REF!</f>
        <v>#REF!</v>
      </c>
    </row>
    <row r="969" spans="1:22" ht="18" customHeight="1" hidden="1">
      <c r="A969" s="809" t="s">
        <v>286</v>
      </c>
      <c r="B969" s="810" t="s">
        <v>709</v>
      </c>
      <c r="C969" s="811"/>
      <c r="D969" s="811"/>
      <c r="E969" s="811"/>
      <c r="F969" s="811"/>
      <c r="G969" s="811"/>
      <c r="H969" s="811"/>
      <c r="I969" s="811"/>
      <c r="J969" s="811"/>
      <c r="K969" s="811"/>
      <c r="L969" s="811"/>
      <c r="M969" s="811"/>
      <c r="N969" s="811"/>
      <c r="O969" s="811"/>
      <c r="P969" s="811"/>
      <c r="Q969" s="811"/>
      <c r="R969" s="811"/>
      <c r="S969" s="811"/>
      <c r="T969" s="811"/>
      <c r="U969" s="811"/>
      <c r="V969" s="785" t="e">
        <f>SUM(C969:U969)-#REF!</f>
        <v>#REF!</v>
      </c>
    </row>
    <row r="970" spans="1:22" ht="18" customHeight="1" hidden="1">
      <c r="A970" s="809" t="s">
        <v>287</v>
      </c>
      <c r="B970" s="607" t="s">
        <v>710</v>
      </c>
      <c r="C970" s="780"/>
      <c r="D970" s="780"/>
      <c r="E970" s="780"/>
      <c r="F970" s="780"/>
      <c r="G970" s="780"/>
      <c r="H970" s="780"/>
      <c r="I970" s="780"/>
      <c r="J970" s="780"/>
      <c r="K970" s="780"/>
      <c r="L970" s="780"/>
      <c r="M970" s="780"/>
      <c r="N970" s="780"/>
      <c r="O970" s="780"/>
      <c r="P970" s="780"/>
      <c r="Q970" s="780"/>
      <c r="R970" s="780"/>
      <c r="S970" s="780"/>
      <c r="T970" s="780"/>
      <c r="U970" s="780"/>
      <c r="V970" s="785" t="e">
        <f>SUM(C970:U970)-#REF!</f>
        <v>#REF!</v>
      </c>
    </row>
    <row r="971" spans="1:22" ht="18" customHeight="1" hidden="1">
      <c r="A971" s="809" t="s">
        <v>288</v>
      </c>
      <c r="B971" s="810" t="s">
        <v>711</v>
      </c>
      <c r="C971" s="811"/>
      <c r="D971" s="811"/>
      <c r="E971" s="811"/>
      <c r="F971" s="811"/>
      <c r="G971" s="811"/>
      <c r="H971" s="811"/>
      <c r="I971" s="811"/>
      <c r="J971" s="811"/>
      <c r="K971" s="811"/>
      <c r="L971" s="811"/>
      <c r="M971" s="811"/>
      <c r="N971" s="811"/>
      <c r="O971" s="811"/>
      <c r="P971" s="811"/>
      <c r="Q971" s="811"/>
      <c r="R971" s="811"/>
      <c r="S971" s="811"/>
      <c r="T971" s="811"/>
      <c r="U971" s="811"/>
      <c r="V971" s="785" t="e">
        <f>SUM(C971:U971)-#REF!</f>
        <v>#REF!</v>
      </c>
    </row>
    <row r="972" spans="1:22" ht="18" customHeight="1" hidden="1">
      <c r="A972" s="809" t="s">
        <v>289</v>
      </c>
      <c r="B972" s="607" t="s">
        <v>713</v>
      </c>
      <c r="C972" s="780"/>
      <c r="D972" s="780"/>
      <c r="E972" s="780"/>
      <c r="F972" s="780"/>
      <c r="G972" s="780"/>
      <c r="H972" s="780"/>
      <c r="I972" s="780"/>
      <c r="J972" s="780"/>
      <c r="K972" s="780"/>
      <c r="L972" s="780"/>
      <c r="M972" s="780"/>
      <c r="N972" s="780"/>
      <c r="O972" s="780"/>
      <c r="P972" s="780"/>
      <c r="Q972" s="780"/>
      <c r="R972" s="780"/>
      <c r="S972" s="780"/>
      <c r="T972" s="780"/>
      <c r="U972" s="780"/>
      <c r="V972" s="785" t="e">
        <f>SUM(C972:U972)-#REF!</f>
        <v>#REF!</v>
      </c>
    </row>
    <row r="973" spans="1:22" ht="18" customHeight="1" hidden="1">
      <c r="A973" s="809" t="s">
        <v>290</v>
      </c>
      <c r="B973" s="607" t="s">
        <v>715</v>
      </c>
      <c r="C973" s="780"/>
      <c r="D973" s="780"/>
      <c r="E973" s="780"/>
      <c r="F973" s="780"/>
      <c r="G973" s="780"/>
      <c r="H973" s="780"/>
      <c r="I973" s="780"/>
      <c r="J973" s="780"/>
      <c r="K973" s="780"/>
      <c r="L973" s="780"/>
      <c r="M973" s="780"/>
      <c r="N973" s="780"/>
      <c r="O973" s="780"/>
      <c r="P973" s="780"/>
      <c r="Q973" s="780"/>
      <c r="R973" s="780"/>
      <c r="S973" s="780"/>
      <c r="T973" s="780"/>
      <c r="U973" s="780"/>
      <c r="V973" s="785" t="e">
        <f>SUM(C973:U973)-#REF!</f>
        <v>#REF!</v>
      </c>
    </row>
    <row r="974" spans="1:22" ht="18" customHeight="1" hidden="1">
      <c r="A974" s="809" t="s">
        <v>291</v>
      </c>
      <c r="B974" s="810" t="s">
        <v>716</v>
      </c>
      <c r="C974" s="811"/>
      <c r="D974" s="811"/>
      <c r="E974" s="811"/>
      <c r="F974" s="811"/>
      <c r="G974" s="811"/>
      <c r="H974" s="811"/>
      <c r="I974" s="811"/>
      <c r="J974" s="811"/>
      <c r="K974" s="811"/>
      <c r="L974" s="811"/>
      <c r="M974" s="811"/>
      <c r="N974" s="811"/>
      <c r="O974" s="811"/>
      <c r="P974" s="811"/>
      <c r="Q974" s="811"/>
      <c r="R974" s="811"/>
      <c r="S974" s="811"/>
      <c r="T974" s="811"/>
      <c r="U974" s="811"/>
      <c r="V974" s="785" t="e">
        <f>SUM(C974:U974)-#REF!</f>
        <v>#REF!</v>
      </c>
    </row>
    <row r="975" spans="1:22" ht="18" customHeight="1" hidden="1">
      <c r="A975" s="809" t="s">
        <v>292</v>
      </c>
      <c r="B975" s="607" t="s">
        <v>717</v>
      </c>
      <c r="C975" s="780"/>
      <c r="D975" s="780"/>
      <c r="E975" s="780"/>
      <c r="F975" s="780"/>
      <c r="G975" s="780"/>
      <c r="H975" s="780"/>
      <c r="I975" s="780"/>
      <c r="J975" s="780"/>
      <c r="K975" s="780"/>
      <c r="L975" s="780"/>
      <c r="M975" s="780"/>
      <c r="N975" s="780"/>
      <c r="O975" s="780"/>
      <c r="P975" s="780"/>
      <c r="Q975" s="780"/>
      <c r="R975" s="780"/>
      <c r="S975" s="780"/>
      <c r="T975" s="780"/>
      <c r="U975" s="780"/>
      <c r="V975" s="785" t="e">
        <f>SUM(C975:U975)-#REF!</f>
        <v>#REF!</v>
      </c>
    </row>
    <row r="976" spans="1:22" ht="18" customHeight="1" hidden="1">
      <c r="A976" s="809" t="s">
        <v>293</v>
      </c>
      <c r="B976" s="810" t="s">
        <v>718</v>
      </c>
      <c r="C976" s="811"/>
      <c r="D976" s="811"/>
      <c r="E976" s="811"/>
      <c r="F976" s="811"/>
      <c r="G976" s="811"/>
      <c r="H976" s="811"/>
      <c r="I976" s="811"/>
      <c r="J976" s="811"/>
      <c r="K976" s="811"/>
      <c r="L976" s="811"/>
      <c r="M976" s="811"/>
      <c r="N976" s="811"/>
      <c r="O976" s="811"/>
      <c r="P976" s="811"/>
      <c r="Q976" s="811"/>
      <c r="R976" s="811"/>
      <c r="S976" s="811"/>
      <c r="T976" s="811"/>
      <c r="U976" s="811"/>
      <c r="V976" s="785" t="e">
        <f>SUM(C976:U976)-#REF!</f>
        <v>#REF!</v>
      </c>
    </row>
    <row r="977" spans="1:22" ht="18" customHeight="1" hidden="1">
      <c r="A977" s="809" t="s">
        <v>294</v>
      </c>
      <c r="B977" s="607" t="s">
        <v>719</v>
      </c>
      <c r="C977" s="780"/>
      <c r="D977" s="780"/>
      <c r="E977" s="780"/>
      <c r="F977" s="780"/>
      <c r="G977" s="780"/>
      <c r="H977" s="780"/>
      <c r="I977" s="780"/>
      <c r="J977" s="780"/>
      <c r="K977" s="780"/>
      <c r="L977" s="780"/>
      <c r="M977" s="780"/>
      <c r="N977" s="780"/>
      <c r="O977" s="780"/>
      <c r="P977" s="780"/>
      <c r="Q977" s="780"/>
      <c r="R977" s="780"/>
      <c r="S977" s="780"/>
      <c r="T977" s="780"/>
      <c r="U977" s="780"/>
      <c r="V977" s="785" t="e">
        <f>SUM(C977:U977)-#REF!</f>
        <v>#REF!</v>
      </c>
    </row>
    <row r="978" spans="1:22" ht="18" customHeight="1" hidden="1">
      <c r="A978" s="809" t="s">
        <v>295</v>
      </c>
      <c r="B978" s="810" t="s">
        <v>720</v>
      </c>
      <c r="C978" s="811"/>
      <c r="D978" s="811"/>
      <c r="E978" s="811"/>
      <c r="F978" s="811"/>
      <c r="G978" s="811"/>
      <c r="H978" s="811"/>
      <c r="I978" s="811"/>
      <c r="J978" s="811"/>
      <c r="K978" s="811"/>
      <c r="L978" s="811"/>
      <c r="M978" s="811"/>
      <c r="N978" s="811"/>
      <c r="O978" s="811"/>
      <c r="P978" s="811"/>
      <c r="Q978" s="811"/>
      <c r="R978" s="811"/>
      <c r="S978" s="811"/>
      <c r="T978" s="811"/>
      <c r="U978" s="811"/>
      <c r="V978" s="785" t="e">
        <f>SUM(C978:U978)-#REF!</f>
        <v>#REF!</v>
      </c>
    </row>
    <row r="979" spans="1:22" ht="18" customHeight="1" hidden="1">
      <c r="A979" s="809" t="s">
        <v>296</v>
      </c>
      <c r="B979" s="607" t="s">
        <v>721</v>
      </c>
      <c r="C979" s="780"/>
      <c r="D979" s="780"/>
      <c r="E979" s="780"/>
      <c r="F979" s="780"/>
      <c r="G979" s="780"/>
      <c r="H979" s="780"/>
      <c r="I979" s="780"/>
      <c r="J979" s="780"/>
      <c r="K979" s="780"/>
      <c r="L979" s="780"/>
      <c r="M979" s="780"/>
      <c r="N979" s="780"/>
      <c r="O979" s="780"/>
      <c r="P979" s="780"/>
      <c r="Q979" s="780"/>
      <c r="R979" s="780"/>
      <c r="S979" s="780"/>
      <c r="T979" s="780"/>
      <c r="U979" s="780"/>
      <c r="V979" s="785" t="e">
        <f>SUM(C979:U979)-#REF!</f>
        <v>#REF!</v>
      </c>
    </row>
    <row r="980" spans="1:22" ht="18" customHeight="1" hidden="1">
      <c r="A980" s="809" t="s">
        <v>297</v>
      </c>
      <c r="B980" s="810" t="s">
        <v>722</v>
      </c>
      <c r="C980" s="811"/>
      <c r="D980" s="811"/>
      <c r="E980" s="811"/>
      <c r="F980" s="811"/>
      <c r="G980" s="811"/>
      <c r="H980" s="811"/>
      <c r="I980" s="811"/>
      <c r="J980" s="811"/>
      <c r="K980" s="811"/>
      <c r="L980" s="811"/>
      <c r="M980" s="811"/>
      <c r="N980" s="811"/>
      <c r="O980" s="811"/>
      <c r="P980" s="811"/>
      <c r="Q980" s="811"/>
      <c r="R980" s="811"/>
      <c r="S980" s="811"/>
      <c r="T980" s="811"/>
      <c r="U980" s="811"/>
      <c r="V980" s="785" t="e">
        <f>SUM(C980:U980)-#REF!</f>
        <v>#REF!</v>
      </c>
    </row>
    <row r="981" spans="1:22" ht="18" customHeight="1" hidden="1">
      <c r="A981" s="809" t="s">
        <v>298</v>
      </c>
      <c r="B981" s="607" t="s">
        <v>723</v>
      </c>
      <c r="C981" s="780"/>
      <c r="D981" s="780"/>
      <c r="E981" s="780"/>
      <c r="F981" s="780"/>
      <c r="G981" s="780"/>
      <c r="H981" s="780"/>
      <c r="I981" s="780"/>
      <c r="J981" s="780"/>
      <c r="K981" s="780"/>
      <c r="L981" s="780"/>
      <c r="M981" s="780"/>
      <c r="N981" s="780"/>
      <c r="O981" s="780"/>
      <c r="P981" s="780"/>
      <c r="Q981" s="780"/>
      <c r="R981" s="780"/>
      <c r="S981" s="780"/>
      <c r="T981" s="780"/>
      <c r="U981" s="780"/>
      <c r="V981" s="785" t="e">
        <f>SUM(C981:U981)-#REF!</f>
        <v>#REF!</v>
      </c>
    </row>
    <row r="982" spans="1:22" ht="18" customHeight="1" hidden="1" thickTop="1">
      <c r="A982" s="809" t="s">
        <v>299</v>
      </c>
      <c r="B982" s="810" t="s">
        <v>724</v>
      </c>
      <c r="C982" s="811"/>
      <c r="D982" s="811"/>
      <c r="E982" s="811"/>
      <c r="F982" s="811"/>
      <c r="G982" s="811"/>
      <c r="H982" s="811"/>
      <c r="I982" s="811"/>
      <c r="J982" s="811"/>
      <c r="K982" s="811"/>
      <c r="L982" s="811"/>
      <c r="M982" s="811"/>
      <c r="N982" s="811"/>
      <c r="O982" s="811"/>
      <c r="P982" s="811"/>
      <c r="Q982" s="811"/>
      <c r="R982" s="811"/>
      <c r="S982" s="811"/>
      <c r="T982" s="811"/>
      <c r="U982" s="811"/>
      <c r="V982" s="785" t="e">
        <f>SUM(C982:U982)-#REF!</f>
        <v>#REF!</v>
      </c>
    </row>
    <row r="983" spans="1:22" ht="18" customHeight="1" hidden="1">
      <c r="A983" s="809" t="s">
        <v>300</v>
      </c>
      <c r="B983" s="607" t="s">
        <v>725</v>
      </c>
      <c r="C983" s="780"/>
      <c r="D983" s="780"/>
      <c r="E983" s="780"/>
      <c r="F983" s="780"/>
      <c r="G983" s="780"/>
      <c r="H983" s="780"/>
      <c r="I983" s="780"/>
      <c r="J983" s="780"/>
      <c r="K983" s="780"/>
      <c r="L983" s="780"/>
      <c r="M983" s="780"/>
      <c r="N983" s="780"/>
      <c r="O983" s="780"/>
      <c r="P983" s="780"/>
      <c r="Q983" s="780"/>
      <c r="R983" s="780"/>
      <c r="S983" s="780"/>
      <c r="T983" s="780"/>
      <c r="U983" s="780"/>
      <c r="V983" s="785" t="e">
        <f>SUM(C983:U983)-#REF!</f>
        <v>#REF!</v>
      </c>
    </row>
    <row r="984" spans="1:22" ht="18" customHeight="1" hidden="1">
      <c r="A984" s="809" t="s">
        <v>301</v>
      </c>
      <c r="B984" s="810" t="s">
        <v>726</v>
      </c>
      <c r="C984" s="811"/>
      <c r="D984" s="811"/>
      <c r="E984" s="811"/>
      <c r="F984" s="811"/>
      <c r="G984" s="811"/>
      <c r="H984" s="811"/>
      <c r="I984" s="811"/>
      <c r="J984" s="811"/>
      <c r="K984" s="811"/>
      <c r="L984" s="811"/>
      <c r="M984" s="811"/>
      <c r="N984" s="811"/>
      <c r="O984" s="811"/>
      <c r="P984" s="811"/>
      <c r="Q984" s="811"/>
      <c r="R984" s="811"/>
      <c r="S984" s="811"/>
      <c r="T984" s="811"/>
      <c r="U984" s="811"/>
      <c r="V984" s="785" t="e">
        <f>SUM(C984:U984)-#REF!</f>
        <v>#REF!</v>
      </c>
    </row>
    <row r="985" spans="1:22" ht="18" customHeight="1" hidden="1">
      <c r="A985" s="809" t="s">
        <v>302</v>
      </c>
      <c r="B985" s="607" t="s">
        <v>727</v>
      </c>
      <c r="C985" s="780"/>
      <c r="D985" s="780"/>
      <c r="E985" s="780"/>
      <c r="F985" s="780"/>
      <c r="G985" s="780"/>
      <c r="H985" s="780"/>
      <c r="I985" s="780"/>
      <c r="J985" s="780"/>
      <c r="K985" s="780"/>
      <c r="L985" s="780"/>
      <c r="M985" s="780"/>
      <c r="N985" s="780"/>
      <c r="O985" s="780"/>
      <c r="P985" s="780"/>
      <c r="Q985" s="780"/>
      <c r="R985" s="780"/>
      <c r="S985" s="780"/>
      <c r="T985" s="780"/>
      <c r="U985" s="780"/>
      <c r="V985" s="785" t="e">
        <f>SUM(C985:U985)-#REF!</f>
        <v>#REF!</v>
      </c>
    </row>
    <row r="986" spans="1:22" ht="18" customHeight="1" hidden="1">
      <c r="A986" s="809" t="s">
        <v>303</v>
      </c>
      <c r="B986" s="810" t="s">
        <v>744</v>
      </c>
      <c r="C986" s="811"/>
      <c r="D986" s="811"/>
      <c r="E986" s="811"/>
      <c r="F986" s="811"/>
      <c r="G986" s="811"/>
      <c r="H986" s="811"/>
      <c r="I986" s="811"/>
      <c r="J986" s="811"/>
      <c r="K986" s="811"/>
      <c r="L986" s="811"/>
      <c r="M986" s="811"/>
      <c r="N986" s="811"/>
      <c r="O986" s="811"/>
      <c r="P986" s="811"/>
      <c r="Q986" s="811"/>
      <c r="R986" s="811"/>
      <c r="S986" s="811"/>
      <c r="T986" s="811"/>
      <c r="U986" s="811"/>
      <c r="V986" s="785" t="e">
        <f>SUM(C986:U986)-#REF!</f>
        <v>#REF!</v>
      </c>
    </row>
    <row r="987" spans="1:22" ht="18" customHeight="1" hidden="1">
      <c r="A987" s="762" t="s">
        <v>304</v>
      </c>
      <c r="B987" s="607" t="s">
        <v>745</v>
      </c>
      <c r="C987" s="780"/>
      <c r="D987" s="780"/>
      <c r="E987" s="780"/>
      <c r="F987" s="780"/>
      <c r="G987" s="780"/>
      <c r="H987" s="780"/>
      <c r="I987" s="780"/>
      <c r="J987" s="780"/>
      <c r="K987" s="780"/>
      <c r="L987" s="780"/>
      <c r="M987" s="780"/>
      <c r="N987" s="780"/>
      <c r="O987" s="780"/>
      <c r="P987" s="780"/>
      <c r="Q987" s="780"/>
      <c r="R987" s="780"/>
      <c r="S987" s="780"/>
      <c r="T987" s="780"/>
      <c r="U987" s="780"/>
      <c r="V987" s="785" t="e">
        <f>SUM(C987:U987)-#REF!</f>
        <v>#REF!</v>
      </c>
    </row>
    <row r="988" spans="1:22" ht="18" customHeight="1" hidden="1">
      <c r="A988" s="809" t="s">
        <v>305</v>
      </c>
      <c r="B988" s="810" t="s">
        <v>746</v>
      </c>
      <c r="C988" s="811"/>
      <c r="D988" s="811"/>
      <c r="E988" s="811"/>
      <c r="F988" s="811"/>
      <c r="G988" s="811"/>
      <c r="H988" s="811"/>
      <c r="I988" s="811"/>
      <c r="J988" s="811"/>
      <c r="K988" s="811"/>
      <c r="L988" s="811"/>
      <c r="M988" s="811"/>
      <c r="N988" s="811"/>
      <c r="O988" s="811"/>
      <c r="P988" s="811"/>
      <c r="Q988" s="811"/>
      <c r="R988" s="811"/>
      <c r="S988" s="811"/>
      <c r="T988" s="811"/>
      <c r="U988" s="811"/>
      <c r="V988" s="785" t="e">
        <f>SUM(C988:U988)-#REF!</f>
        <v>#REF!</v>
      </c>
    </row>
    <row r="989" spans="1:22" ht="18" customHeight="1" hidden="1">
      <c r="A989" s="762" t="s">
        <v>306</v>
      </c>
      <c r="B989" s="607" t="s">
        <v>747</v>
      </c>
      <c r="C989" s="780"/>
      <c r="D989" s="780"/>
      <c r="E989" s="780"/>
      <c r="F989" s="780"/>
      <c r="G989" s="780"/>
      <c r="H989" s="780"/>
      <c r="I989" s="780"/>
      <c r="J989" s="780"/>
      <c r="K989" s="780"/>
      <c r="L989" s="780"/>
      <c r="M989" s="780"/>
      <c r="N989" s="780"/>
      <c r="O989" s="780"/>
      <c r="P989" s="780"/>
      <c r="Q989" s="780"/>
      <c r="R989" s="780"/>
      <c r="S989" s="780"/>
      <c r="T989" s="780"/>
      <c r="U989" s="780"/>
      <c r="V989" s="785" t="e">
        <f>SUM(C989:U989)-#REF!</f>
        <v>#REF!</v>
      </c>
    </row>
    <row r="990" spans="1:22" ht="18" customHeight="1" hidden="1">
      <c r="A990" s="809" t="s">
        <v>307</v>
      </c>
      <c r="B990" s="810" t="s">
        <v>748</v>
      </c>
      <c r="C990" s="811"/>
      <c r="D990" s="811"/>
      <c r="E990" s="811"/>
      <c r="F990" s="811"/>
      <c r="G990" s="811"/>
      <c r="H990" s="811"/>
      <c r="I990" s="811"/>
      <c r="J990" s="811"/>
      <c r="K990" s="811"/>
      <c r="L990" s="811"/>
      <c r="M990" s="811"/>
      <c r="N990" s="811"/>
      <c r="O990" s="811"/>
      <c r="P990" s="811"/>
      <c r="Q990" s="811"/>
      <c r="R990" s="811"/>
      <c r="S990" s="811"/>
      <c r="T990" s="811"/>
      <c r="U990" s="811"/>
      <c r="V990" s="785" t="e">
        <f>SUM(C990:U990)-#REF!</f>
        <v>#REF!</v>
      </c>
    </row>
    <row r="991" spans="1:22" ht="18" customHeight="1" hidden="1">
      <c r="A991" s="762" t="s">
        <v>308</v>
      </c>
      <c r="B991" s="607" t="s">
        <v>749</v>
      </c>
      <c r="C991" s="780"/>
      <c r="D991" s="780"/>
      <c r="E991" s="780"/>
      <c r="F991" s="780"/>
      <c r="G991" s="780"/>
      <c r="H991" s="780"/>
      <c r="I991" s="780"/>
      <c r="J991" s="780"/>
      <c r="K991" s="780"/>
      <c r="L991" s="780"/>
      <c r="M991" s="780"/>
      <c r="N991" s="780"/>
      <c r="O991" s="780"/>
      <c r="P991" s="780"/>
      <c r="Q991" s="780"/>
      <c r="R991" s="780"/>
      <c r="S991" s="780"/>
      <c r="T991" s="780"/>
      <c r="U991" s="780"/>
      <c r="V991" s="785" t="e">
        <f>SUM(C991:U991)-#REF!</f>
        <v>#REF!</v>
      </c>
    </row>
    <row r="992" spans="1:22" ht="18" customHeight="1" hidden="1">
      <c r="A992" s="809" t="s">
        <v>309</v>
      </c>
      <c r="B992" s="810" t="s">
        <v>750</v>
      </c>
      <c r="C992" s="811"/>
      <c r="D992" s="811"/>
      <c r="E992" s="811"/>
      <c r="F992" s="811"/>
      <c r="G992" s="811"/>
      <c r="H992" s="811"/>
      <c r="I992" s="811"/>
      <c r="J992" s="811"/>
      <c r="K992" s="811"/>
      <c r="L992" s="811"/>
      <c r="M992" s="811"/>
      <c r="N992" s="811"/>
      <c r="O992" s="811"/>
      <c r="P992" s="811"/>
      <c r="Q992" s="811"/>
      <c r="R992" s="811"/>
      <c r="S992" s="811"/>
      <c r="T992" s="811"/>
      <c r="U992" s="811"/>
      <c r="V992" s="785" t="e">
        <f>SUM(C992:U992)-#REF!</f>
        <v>#REF!</v>
      </c>
    </row>
    <row r="993" spans="1:22" ht="18" customHeight="1" hidden="1">
      <c r="A993" s="762" t="s">
        <v>310</v>
      </c>
      <c r="B993" s="607" t="s">
        <v>751</v>
      </c>
      <c r="C993" s="780"/>
      <c r="D993" s="780"/>
      <c r="E993" s="780"/>
      <c r="F993" s="780"/>
      <c r="G993" s="780"/>
      <c r="H993" s="780"/>
      <c r="I993" s="780"/>
      <c r="J993" s="780"/>
      <c r="K993" s="780"/>
      <c r="L993" s="780"/>
      <c r="M993" s="780"/>
      <c r="N993" s="780"/>
      <c r="O993" s="780"/>
      <c r="P993" s="780"/>
      <c r="Q993" s="780"/>
      <c r="R993" s="780"/>
      <c r="S993" s="780"/>
      <c r="T993" s="780"/>
      <c r="U993" s="780"/>
      <c r="V993" s="785" t="e">
        <f>SUM(C993:U993)-#REF!</f>
        <v>#REF!</v>
      </c>
    </row>
    <row r="994" spans="1:22" ht="18" customHeight="1" hidden="1">
      <c r="A994" s="809" t="s">
        <v>311</v>
      </c>
      <c r="B994" s="810" t="s">
        <v>752</v>
      </c>
      <c r="C994" s="811"/>
      <c r="D994" s="811"/>
      <c r="E994" s="811"/>
      <c r="F994" s="811"/>
      <c r="G994" s="811"/>
      <c r="H994" s="811"/>
      <c r="I994" s="811"/>
      <c r="J994" s="811"/>
      <c r="K994" s="811"/>
      <c r="L994" s="811"/>
      <c r="M994" s="811"/>
      <c r="N994" s="811"/>
      <c r="O994" s="811"/>
      <c r="P994" s="811"/>
      <c r="Q994" s="811"/>
      <c r="R994" s="811"/>
      <c r="S994" s="811"/>
      <c r="T994" s="811"/>
      <c r="U994" s="811"/>
      <c r="V994" s="785" t="e">
        <f>SUM(C994:U994)-#REF!</f>
        <v>#REF!</v>
      </c>
    </row>
    <row r="995" spans="1:22" ht="18" customHeight="1" hidden="1">
      <c r="A995" s="762" t="s">
        <v>312</v>
      </c>
      <c r="B995" s="607" t="s">
        <v>1078</v>
      </c>
      <c r="C995" s="780"/>
      <c r="D995" s="780"/>
      <c r="E995" s="780"/>
      <c r="F995" s="780"/>
      <c r="G995" s="780"/>
      <c r="H995" s="780"/>
      <c r="I995" s="780"/>
      <c r="J995" s="780"/>
      <c r="K995" s="780"/>
      <c r="L995" s="780"/>
      <c r="M995" s="780"/>
      <c r="N995" s="780"/>
      <c r="O995" s="780"/>
      <c r="P995" s="780"/>
      <c r="Q995" s="780"/>
      <c r="R995" s="780"/>
      <c r="S995" s="780"/>
      <c r="T995" s="780"/>
      <c r="U995" s="780"/>
      <c r="V995" s="785" t="e">
        <f>SUM(C995:U995)-#REF!</f>
        <v>#REF!</v>
      </c>
    </row>
    <row r="996" spans="1:22" ht="18" customHeight="1" hidden="1">
      <c r="A996" s="809" t="s">
        <v>313</v>
      </c>
      <c r="B996" s="810" t="s">
        <v>969</v>
      </c>
      <c r="C996" s="811"/>
      <c r="D996" s="811"/>
      <c r="E996" s="811"/>
      <c r="F996" s="811"/>
      <c r="G996" s="811"/>
      <c r="H996" s="811"/>
      <c r="I996" s="811"/>
      <c r="J996" s="811"/>
      <c r="K996" s="811"/>
      <c r="L996" s="811"/>
      <c r="M996" s="811"/>
      <c r="N996" s="811"/>
      <c r="O996" s="811"/>
      <c r="P996" s="811"/>
      <c r="Q996" s="811"/>
      <c r="R996" s="811"/>
      <c r="S996" s="811"/>
      <c r="T996" s="811"/>
      <c r="U996" s="811"/>
      <c r="V996" s="785" t="e">
        <f>SUM(C996:U996)-#REF!</f>
        <v>#REF!</v>
      </c>
    </row>
    <row r="997" spans="1:22" ht="18" customHeight="1" hidden="1">
      <c r="A997" s="762" t="s">
        <v>314</v>
      </c>
      <c r="B997" s="607" t="s">
        <v>970</v>
      </c>
      <c r="C997" s="780"/>
      <c r="D997" s="780"/>
      <c r="E997" s="780"/>
      <c r="F997" s="780"/>
      <c r="G997" s="780"/>
      <c r="H997" s="780"/>
      <c r="I997" s="780"/>
      <c r="J997" s="780"/>
      <c r="K997" s="780"/>
      <c r="L997" s="780"/>
      <c r="M997" s="780"/>
      <c r="N997" s="780"/>
      <c r="O997" s="780"/>
      <c r="P997" s="780"/>
      <c r="Q997" s="780"/>
      <c r="R997" s="780"/>
      <c r="S997" s="780"/>
      <c r="T997" s="780"/>
      <c r="U997" s="780"/>
      <c r="V997" s="785" t="e">
        <f>SUM(C997:U997)-#REF!</f>
        <v>#REF!</v>
      </c>
    </row>
    <row r="998" spans="1:22" ht="18" customHeight="1" hidden="1">
      <c r="A998" s="809" t="s">
        <v>315</v>
      </c>
      <c r="B998" s="810" t="s">
        <v>971</v>
      </c>
      <c r="C998" s="811"/>
      <c r="D998" s="811"/>
      <c r="E998" s="811"/>
      <c r="F998" s="811"/>
      <c r="G998" s="811"/>
      <c r="H998" s="811"/>
      <c r="I998" s="811"/>
      <c r="J998" s="811"/>
      <c r="K998" s="811"/>
      <c r="L998" s="811"/>
      <c r="M998" s="811"/>
      <c r="N998" s="811"/>
      <c r="O998" s="811"/>
      <c r="P998" s="811"/>
      <c r="Q998" s="811"/>
      <c r="R998" s="811"/>
      <c r="S998" s="811"/>
      <c r="T998" s="811"/>
      <c r="U998" s="811"/>
      <c r="V998" s="785" t="e">
        <f>SUM(C998:U998)-#REF!</f>
        <v>#REF!</v>
      </c>
    </row>
    <row r="999" spans="1:22" ht="18" customHeight="1" hidden="1">
      <c r="A999" s="762" t="s">
        <v>316</v>
      </c>
      <c r="B999" s="607" t="s">
        <v>972</v>
      </c>
      <c r="C999" s="780"/>
      <c r="D999" s="780"/>
      <c r="E999" s="780"/>
      <c r="F999" s="780"/>
      <c r="G999" s="780"/>
      <c r="H999" s="780"/>
      <c r="I999" s="780"/>
      <c r="J999" s="780"/>
      <c r="K999" s="780"/>
      <c r="L999" s="780"/>
      <c r="M999" s="780"/>
      <c r="N999" s="780"/>
      <c r="O999" s="780"/>
      <c r="P999" s="780"/>
      <c r="Q999" s="780"/>
      <c r="R999" s="780"/>
      <c r="S999" s="780"/>
      <c r="T999" s="780"/>
      <c r="U999" s="780"/>
      <c r="V999" s="785" t="e">
        <f>SUM(C999:U999)-#REF!</f>
        <v>#REF!</v>
      </c>
    </row>
    <row r="1000" spans="1:22" ht="18" customHeight="1" hidden="1">
      <c r="A1000" s="809" t="s">
        <v>317</v>
      </c>
      <c r="B1000" s="810" t="s">
        <v>1094</v>
      </c>
      <c r="C1000" s="811"/>
      <c r="D1000" s="811"/>
      <c r="E1000" s="811"/>
      <c r="F1000" s="811"/>
      <c r="G1000" s="811"/>
      <c r="H1000" s="811"/>
      <c r="I1000" s="811"/>
      <c r="J1000" s="811"/>
      <c r="K1000" s="811"/>
      <c r="L1000" s="811"/>
      <c r="M1000" s="811"/>
      <c r="N1000" s="811"/>
      <c r="O1000" s="811"/>
      <c r="P1000" s="811"/>
      <c r="Q1000" s="811"/>
      <c r="R1000" s="811"/>
      <c r="S1000" s="811"/>
      <c r="T1000" s="811"/>
      <c r="U1000" s="811"/>
      <c r="V1000" s="785" t="e">
        <f>SUM(C1000:U1000)-#REF!</f>
        <v>#REF!</v>
      </c>
    </row>
    <row r="1001" spans="1:22" ht="18" customHeight="1" hidden="1">
      <c r="A1001" s="809" t="s">
        <v>318</v>
      </c>
      <c r="B1001" s="810" t="s">
        <v>1073</v>
      </c>
      <c r="C1001" s="811"/>
      <c r="D1001" s="811"/>
      <c r="E1001" s="811"/>
      <c r="F1001" s="811"/>
      <c r="G1001" s="811"/>
      <c r="H1001" s="811"/>
      <c r="I1001" s="811"/>
      <c r="J1001" s="811"/>
      <c r="K1001" s="811"/>
      <c r="L1001" s="811"/>
      <c r="M1001" s="811"/>
      <c r="N1001" s="811"/>
      <c r="O1001" s="811"/>
      <c r="P1001" s="811"/>
      <c r="Q1001" s="811"/>
      <c r="R1001" s="811"/>
      <c r="S1001" s="811"/>
      <c r="T1001" s="811"/>
      <c r="U1001" s="811"/>
      <c r="V1001" s="785" t="e">
        <f>SUM(C1001:U1001)-#REF!</f>
        <v>#REF!</v>
      </c>
    </row>
    <row r="1002" spans="1:22" ht="18" customHeight="1" hidden="1">
      <c r="A1002" s="762" t="s">
        <v>319</v>
      </c>
      <c r="B1002" s="607" t="s">
        <v>869</v>
      </c>
      <c r="C1002" s="780"/>
      <c r="D1002" s="780"/>
      <c r="E1002" s="780"/>
      <c r="F1002" s="780"/>
      <c r="G1002" s="780"/>
      <c r="H1002" s="780"/>
      <c r="I1002" s="780"/>
      <c r="J1002" s="780"/>
      <c r="K1002" s="780"/>
      <c r="L1002" s="780"/>
      <c r="M1002" s="780"/>
      <c r="N1002" s="780"/>
      <c r="O1002" s="780"/>
      <c r="P1002" s="780"/>
      <c r="Q1002" s="780"/>
      <c r="R1002" s="780"/>
      <c r="S1002" s="780"/>
      <c r="T1002" s="780"/>
      <c r="U1002" s="780"/>
      <c r="V1002" s="785" t="e">
        <f>SUM(C1002:U1002)-#REF!</f>
        <v>#REF!</v>
      </c>
    </row>
    <row r="1003" spans="1:22" ht="18" customHeight="1" hidden="1">
      <c r="A1003" s="809" t="s">
        <v>320</v>
      </c>
      <c r="B1003" s="810" t="s">
        <v>1095</v>
      </c>
      <c r="C1003" s="811"/>
      <c r="D1003" s="811"/>
      <c r="E1003" s="811"/>
      <c r="F1003" s="811"/>
      <c r="G1003" s="811"/>
      <c r="H1003" s="811"/>
      <c r="I1003" s="811"/>
      <c r="J1003" s="811"/>
      <c r="K1003" s="811"/>
      <c r="L1003" s="811"/>
      <c r="M1003" s="811"/>
      <c r="N1003" s="811"/>
      <c r="O1003" s="811"/>
      <c r="P1003" s="811"/>
      <c r="Q1003" s="811"/>
      <c r="R1003" s="811"/>
      <c r="S1003" s="811"/>
      <c r="T1003" s="811"/>
      <c r="U1003" s="811"/>
      <c r="V1003" s="785" t="e">
        <f>SUM(C1003:U1003)-#REF!</f>
        <v>#REF!</v>
      </c>
    </row>
    <row r="1004" spans="1:22" ht="18" customHeight="1" hidden="1">
      <c r="A1004" s="809" t="s">
        <v>321</v>
      </c>
      <c r="B1004" s="810" t="s">
        <v>1090</v>
      </c>
      <c r="C1004" s="811"/>
      <c r="D1004" s="811"/>
      <c r="E1004" s="811"/>
      <c r="F1004" s="811"/>
      <c r="G1004" s="811"/>
      <c r="H1004" s="811"/>
      <c r="I1004" s="811"/>
      <c r="J1004" s="811"/>
      <c r="K1004" s="811"/>
      <c r="L1004" s="811"/>
      <c r="M1004" s="811"/>
      <c r="N1004" s="811"/>
      <c r="O1004" s="811"/>
      <c r="P1004" s="811"/>
      <c r="Q1004" s="811"/>
      <c r="R1004" s="811"/>
      <c r="S1004" s="811"/>
      <c r="T1004" s="811"/>
      <c r="U1004" s="811"/>
      <c r="V1004" s="785" t="e">
        <f>SUM(C1004:U1004)-#REF!</f>
        <v>#REF!</v>
      </c>
    </row>
    <row r="1005" spans="1:22" ht="18" customHeight="1" hidden="1">
      <c r="A1005" s="762" t="s">
        <v>322</v>
      </c>
      <c r="B1005" s="607" t="s">
        <v>1096</v>
      </c>
      <c r="C1005" s="780"/>
      <c r="D1005" s="780"/>
      <c r="E1005" s="780"/>
      <c r="F1005" s="780"/>
      <c r="G1005" s="780"/>
      <c r="H1005" s="780"/>
      <c r="I1005" s="780"/>
      <c r="J1005" s="780"/>
      <c r="K1005" s="780"/>
      <c r="L1005" s="780"/>
      <c r="M1005" s="780"/>
      <c r="N1005" s="780"/>
      <c r="O1005" s="780"/>
      <c r="P1005" s="780"/>
      <c r="Q1005" s="780"/>
      <c r="R1005" s="780"/>
      <c r="S1005" s="780"/>
      <c r="T1005" s="780"/>
      <c r="U1005" s="780"/>
      <c r="V1005" s="785" t="e">
        <f>SUM(C1005:U1005)-#REF!</f>
        <v>#REF!</v>
      </c>
    </row>
    <row r="1006" spans="1:22" ht="18" customHeight="1" hidden="1">
      <c r="A1006" s="809" t="s">
        <v>323</v>
      </c>
      <c r="B1006" s="810" t="s">
        <v>1097</v>
      </c>
      <c r="C1006" s="811"/>
      <c r="D1006" s="811"/>
      <c r="E1006" s="811"/>
      <c r="F1006" s="811"/>
      <c r="G1006" s="811"/>
      <c r="H1006" s="811"/>
      <c r="I1006" s="811"/>
      <c r="J1006" s="811"/>
      <c r="K1006" s="811"/>
      <c r="L1006" s="811"/>
      <c r="M1006" s="811"/>
      <c r="N1006" s="811"/>
      <c r="O1006" s="811"/>
      <c r="P1006" s="811"/>
      <c r="Q1006" s="811"/>
      <c r="R1006" s="811"/>
      <c r="S1006" s="811"/>
      <c r="T1006" s="811"/>
      <c r="U1006" s="811"/>
      <c r="V1006" s="785" t="e">
        <f>SUM(C1006:U1006)-#REF!</f>
        <v>#REF!</v>
      </c>
    </row>
    <row r="1007" spans="1:22" ht="18" customHeight="1" hidden="1">
      <c r="A1007" s="762" t="s">
        <v>324</v>
      </c>
      <c r="B1007" s="607" t="s">
        <v>753</v>
      </c>
      <c r="C1007" s="780"/>
      <c r="D1007" s="780"/>
      <c r="E1007" s="780"/>
      <c r="F1007" s="780"/>
      <c r="G1007" s="780"/>
      <c r="H1007" s="780"/>
      <c r="I1007" s="780"/>
      <c r="J1007" s="780"/>
      <c r="K1007" s="780"/>
      <c r="L1007" s="780"/>
      <c r="M1007" s="780"/>
      <c r="N1007" s="780"/>
      <c r="O1007" s="780"/>
      <c r="P1007" s="780"/>
      <c r="Q1007" s="780"/>
      <c r="R1007" s="780"/>
      <c r="S1007" s="780"/>
      <c r="T1007" s="780"/>
      <c r="U1007" s="780"/>
      <c r="V1007" s="785" t="e">
        <f>SUM(C1007:U1007)-#REF!</f>
        <v>#REF!</v>
      </c>
    </row>
    <row r="1008" spans="1:22" ht="18" customHeight="1" hidden="1">
      <c r="A1008" s="762" t="s">
        <v>325</v>
      </c>
      <c r="B1008" s="607" t="s">
        <v>860</v>
      </c>
      <c r="C1008" s="780"/>
      <c r="D1008" s="780"/>
      <c r="E1008" s="780"/>
      <c r="F1008" s="780"/>
      <c r="G1008" s="780"/>
      <c r="H1008" s="780"/>
      <c r="I1008" s="780"/>
      <c r="J1008" s="780"/>
      <c r="K1008" s="780"/>
      <c r="L1008" s="780"/>
      <c r="M1008" s="780"/>
      <c r="N1008" s="780"/>
      <c r="O1008" s="780"/>
      <c r="P1008" s="780"/>
      <c r="Q1008" s="780"/>
      <c r="R1008" s="780"/>
      <c r="S1008" s="780"/>
      <c r="T1008" s="780"/>
      <c r="U1008" s="780"/>
      <c r="V1008" s="785" t="e">
        <f>SUM(C1008:U1008)-#REF!</f>
        <v>#REF!</v>
      </c>
    </row>
    <row r="1009" spans="1:22" ht="18" customHeight="1" hidden="1">
      <c r="A1009" s="762" t="s">
        <v>326</v>
      </c>
      <c r="B1009" s="607" t="s">
        <v>863</v>
      </c>
      <c r="C1009" s="780"/>
      <c r="D1009" s="780"/>
      <c r="E1009" s="780"/>
      <c r="F1009" s="780"/>
      <c r="G1009" s="780"/>
      <c r="H1009" s="780"/>
      <c r="I1009" s="780"/>
      <c r="J1009" s="780"/>
      <c r="K1009" s="780"/>
      <c r="L1009" s="780"/>
      <c r="M1009" s="780"/>
      <c r="N1009" s="780"/>
      <c r="O1009" s="780"/>
      <c r="P1009" s="780"/>
      <c r="Q1009" s="780"/>
      <c r="R1009" s="780"/>
      <c r="S1009" s="780"/>
      <c r="T1009" s="780"/>
      <c r="U1009" s="780"/>
      <c r="V1009" s="785" t="e">
        <f>SUM(C1009:U1009)-#REF!</f>
        <v>#REF!</v>
      </c>
    </row>
    <row r="1010" spans="1:22" ht="18" customHeight="1" hidden="1">
      <c r="A1010" s="762" t="s">
        <v>327</v>
      </c>
      <c r="B1010" s="607" t="s">
        <v>1098</v>
      </c>
      <c r="C1010" s="780"/>
      <c r="D1010" s="780"/>
      <c r="E1010" s="780"/>
      <c r="F1010" s="780"/>
      <c r="G1010" s="780"/>
      <c r="H1010" s="780"/>
      <c r="I1010" s="780"/>
      <c r="J1010" s="780"/>
      <c r="K1010" s="780"/>
      <c r="L1010" s="780"/>
      <c r="M1010" s="780"/>
      <c r="N1010" s="780"/>
      <c r="O1010" s="780"/>
      <c r="P1010" s="780"/>
      <c r="Q1010" s="780"/>
      <c r="R1010" s="780"/>
      <c r="S1010" s="780"/>
      <c r="T1010" s="780"/>
      <c r="U1010" s="780"/>
      <c r="V1010" s="785" t="e">
        <f>SUM(C1010:U1010)-#REF!</f>
        <v>#REF!</v>
      </c>
    </row>
    <row r="1011" spans="1:22" ht="18" customHeight="1" hidden="1">
      <c r="A1011" s="491" t="s">
        <v>328</v>
      </c>
      <c r="B1011" s="810" t="s">
        <v>865</v>
      </c>
      <c r="C1011" s="811"/>
      <c r="D1011" s="811"/>
      <c r="E1011" s="811"/>
      <c r="F1011" s="811"/>
      <c r="G1011" s="811"/>
      <c r="H1011" s="811"/>
      <c r="I1011" s="811"/>
      <c r="J1011" s="811"/>
      <c r="K1011" s="811"/>
      <c r="L1011" s="811"/>
      <c r="M1011" s="811"/>
      <c r="N1011" s="811"/>
      <c r="O1011" s="811"/>
      <c r="P1011" s="811"/>
      <c r="Q1011" s="811"/>
      <c r="R1011" s="811"/>
      <c r="S1011" s="811"/>
      <c r="T1011" s="811"/>
      <c r="U1011" s="811"/>
      <c r="V1011" s="785" t="e">
        <f>SUM(C1011:U1011)-#REF!</f>
        <v>#REF!</v>
      </c>
    </row>
    <row r="1012" spans="1:22" ht="18" customHeight="1" hidden="1">
      <c r="A1012" s="491" t="s">
        <v>329</v>
      </c>
      <c r="B1012" s="607" t="s">
        <v>866</v>
      </c>
      <c r="C1012" s="780"/>
      <c r="D1012" s="780"/>
      <c r="E1012" s="780"/>
      <c r="F1012" s="780"/>
      <c r="G1012" s="780"/>
      <c r="H1012" s="780"/>
      <c r="I1012" s="780"/>
      <c r="J1012" s="780"/>
      <c r="K1012" s="780"/>
      <c r="L1012" s="780"/>
      <c r="M1012" s="780"/>
      <c r="N1012" s="780"/>
      <c r="O1012" s="780"/>
      <c r="P1012" s="780"/>
      <c r="Q1012" s="780"/>
      <c r="R1012" s="780"/>
      <c r="S1012" s="780"/>
      <c r="T1012" s="780"/>
      <c r="U1012" s="780"/>
      <c r="V1012" s="785" t="e">
        <f>SUM(C1012:U1012)-#REF!</f>
        <v>#REF!</v>
      </c>
    </row>
    <row r="1013" spans="1:22" ht="18" customHeight="1" hidden="1">
      <c r="A1013" s="809" t="s">
        <v>330</v>
      </c>
      <c r="B1013" s="810" t="s">
        <v>867</v>
      </c>
      <c r="C1013" s="811"/>
      <c r="D1013" s="811"/>
      <c r="E1013" s="811"/>
      <c r="F1013" s="811"/>
      <c r="G1013" s="811"/>
      <c r="H1013" s="811"/>
      <c r="I1013" s="811"/>
      <c r="J1013" s="811"/>
      <c r="K1013" s="811"/>
      <c r="L1013" s="811"/>
      <c r="M1013" s="811"/>
      <c r="N1013" s="811"/>
      <c r="O1013" s="811"/>
      <c r="P1013" s="811"/>
      <c r="Q1013" s="811"/>
      <c r="R1013" s="811"/>
      <c r="S1013" s="811"/>
      <c r="T1013" s="811"/>
      <c r="U1013" s="811"/>
      <c r="V1013" s="785" t="e">
        <f>SUM(C1013:U1013)-#REF!</f>
        <v>#REF!</v>
      </c>
    </row>
    <row r="1014" spans="1:22" ht="18" customHeight="1" hidden="1">
      <c r="A1014" s="809" t="s">
        <v>331</v>
      </c>
      <c r="B1014" s="810" t="s">
        <v>1072</v>
      </c>
      <c r="C1014" s="811"/>
      <c r="D1014" s="811"/>
      <c r="E1014" s="811"/>
      <c r="F1014" s="811"/>
      <c r="G1014" s="811"/>
      <c r="H1014" s="811"/>
      <c r="I1014" s="811"/>
      <c r="J1014" s="811"/>
      <c r="K1014" s="811"/>
      <c r="L1014" s="811"/>
      <c r="M1014" s="811"/>
      <c r="N1014" s="811"/>
      <c r="O1014" s="811"/>
      <c r="P1014" s="811"/>
      <c r="Q1014" s="811"/>
      <c r="R1014" s="811"/>
      <c r="S1014" s="811"/>
      <c r="T1014" s="811"/>
      <c r="U1014" s="811"/>
      <c r="V1014" s="785" t="e">
        <f>SUM(C1014:U1014)-#REF!</f>
        <v>#REF!</v>
      </c>
    </row>
    <row r="1015" spans="1:22" ht="18" customHeight="1" hidden="1">
      <c r="A1015" s="762" t="s">
        <v>332</v>
      </c>
      <c r="B1015" s="564" t="s">
        <v>855</v>
      </c>
      <c r="C1015" s="780"/>
      <c r="D1015" s="780"/>
      <c r="E1015" s="780"/>
      <c r="F1015" s="780"/>
      <c r="G1015" s="780"/>
      <c r="H1015" s="780"/>
      <c r="I1015" s="780"/>
      <c r="J1015" s="780"/>
      <c r="K1015" s="780"/>
      <c r="L1015" s="780"/>
      <c r="M1015" s="780"/>
      <c r="N1015" s="780"/>
      <c r="O1015" s="780"/>
      <c r="P1015" s="780"/>
      <c r="Q1015" s="780"/>
      <c r="R1015" s="780"/>
      <c r="S1015" s="780"/>
      <c r="T1015" s="780"/>
      <c r="U1015" s="780"/>
      <c r="V1015" s="785" t="e">
        <f>SUM(C1015:U1015)-#REF!</f>
        <v>#REF!</v>
      </c>
    </row>
    <row r="1016" spans="1:22" ht="18" customHeight="1" hidden="1" thickTop="1">
      <c r="A1016" s="762" t="s">
        <v>333</v>
      </c>
      <c r="B1016" s="610" t="s">
        <v>961</v>
      </c>
      <c r="C1016" s="780"/>
      <c r="D1016" s="780"/>
      <c r="E1016" s="780"/>
      <c r="F1016" s="780"/>
      <c r="G1016" s="780"/>
      <c r="H1016" s="780"/>
      <c r="I1016" s="780"/>
      <c r="J1016" s="780"/>
      <c r="K1016" s="780"/>
      <c r="L1016" s="780"/>
      <c r="M1016" s="780"/>
      <c r="N1016" s="780"/>
      <c r="O1016" s="780"/>
      <c r="P1016" s="780"/>
      <c r="Q1016" s="780"/>
      <c r="R1016" s="780"/>
      <c r="S1016" s="780"/>
      <c r="T1016" s="780"/>
      <c r="U1016" s="780"/>
      <c r="V1016" s="785" t="e">
        <f>SUM(C1016:U1016)-#REF!</f>
        <v>#REF!</v>
      </c>
    </row>
    <row r="1017" spans="1:22" ht="18" customHeight="1" hidden="1" thickTop="1">
      <c r="A1017" s="813"/>
      <c r="B1017" s="557" t="s">
        <v>695</v>
      </c>
      <c r="C1017" s="558"/>
      <c r="D1017" s="558"/>
      <c r="E1017" s="558"/>
      <c r="F1017" s="558"/>
      <c r="G1017" s="558"/>
      <c r="H1017" s="558"/>
      <c r="I1017" s="558"/>
      <c r="J1017" s="558"/>
      <c r="K1017" s="558"/>
      <c r="L1017" s="558"/>
      <c r="M1017" s="558"/>
      <c r="N1017" s="558"/>
      <c r="O1017" s="558"/>
      <c r="P1017" s="558"/>
      <c r="Q1017" s="558"/>
      <c r="R1017" s="558"/>
      <c r="S1017" s="558"/>
      <c r="T1017" s="558"/>
      <c r="U1017" s="558"/>
      <c r="V1017" s="814" t="e">
        <f>SUM(C1017:U1017)-#REF!</f>
        <v>#REF!</v>
      </c>
    </row>
    <row r="1018" spans="1:22" ht="16.5" hidden="1" thickTop="1">
      <c r="A1018" s="815">
        <v>851</v>
      </c>
      <c r="B1018" s="816" t="s">
        <v>1099</v>
      </c>
      <c r="C1018" s="817">
        <f aca="true" t="shared" si="37" ref="C1018:U1018">C1019+C1025+C1044+C1148+C1154</f>
        <v>0</v>
      </c>
      <c r="D1018" s="817">
        <f t="shared" si="37"/>
        <v>0</v>
      </c>
      <c r="E1018" s="817">
        <f t="shared" si="37"/>
        <v>0</v>
      </c>
      <c r="F1018" s="817">
        <f t="shared" si="37"/>
        <v>0</v>
      </c>
      <c r="G1018" s="817">
        <f t="shared" si="37"/>
        <v>0</v>
      </c>
      <c r="H1018" s="817">
        <f t="shared" si="37"/>
        <v>0</v>
      </c>
      <c r="I1018" s="817">
        <f t="shared" si="37"/>
        <v>0</v>
      </c>
      <c r="J1018" s="817">
        <f t="shared" si="37"/>
        <v>0</v>
      </c>
      <c r="K1018" s="817">
        <f t="shared" si="37"/>
        <v>0</v>
      </c>
      <c r="L1018" s="817">
        <f t="shared" si="37"/>
        <v>0</v>
      </c>
      <c r="M1018" s="817">
        <f t="shared" si="37"/>
        <v>0</v>
      </c>
      <c r="N1018" s="817">
        <f t="shared" si="37"/>
        <v>0</v>
      </c>
      <c r="O1018" s="817">
        <f t="shared" si="37"/>
        <v>0</v>
      </c>
      <c r="P1018" s="817">
        <f t="shared" si="37"/>
        <v>0</v>
      </c>
      <c r="Q1018" s="817">
        <f t="shared" si="37"/>
        <v>0</v>
      </c>
      <c r="R1018" s="817">
        <f t="shared" si="37"/>
        <v>0</v>
      </c>
      <c r="S1018" s="817">
        <f t="shared" si="37"/>
        <v>0</v>
      </c>
      <c r="T1018" s="817">
        <f t="shared" si="37"/>
        <v>0</v>
      </c>
      <c r="U1018" s="817">
        <f t="shared" si="37"/>
        <v>0</v>
      </c>
      <c r="V1018" s="785" t="e">
        <f>SUM(C1018:U1018)-#REF!</f>
        <v>#REF!</v>
      </c>
    </row>
    <row r="1019" spans="1:22" ht="18" customHeight="1" hidden="1">
      <c r="A1019" s="818">
        <v>85149</v>
      </c>
      <c r="B1019" s="819" t="s">
        <v>1100</v>
      </c>
      <c r="C1019" s="820">
        <f>SUM(C1021:C1024)</f>
        <v>0</v>
      </c>
      <c r="D1019" s="820">
        <f>SUM(D1021:D1024)</f>
        <v>0</v>
      </c>
      <c r="E1019" s="820">
        <f>SUM(E1021:E1024)</f>
        <v>0</v>
      </c>
      <c r="F1019" s="820">
        <f aca="true" t="shared" si="38" ref="F1019:T1019">SUM(F1021:F1024)</f>
        <v>0</v>
      </c>
      <c r="G1019" s="820">
        <f t="shared" si="38"/>
        <v>0</v>
      </c>
      <c r="H1019" s="820">
        <f t="shared" si="38"/>
        <v>0</v>
      </c>
      <c r="I1019" s="820">
        <f>SUM(I1021:I1024)</f>
        <v>0</v>
      </c>
      <c r="J1019" s="820">
        <f>SUM(J1021:J1024)</f>
        <v>0</v>
      </c>
      <c r="K1019" s="820">
        <f>SUM(K1021:K1024)</f>
        <v>0</v>
      </c>
      <c r="L1019" s="820">
        <f t="shared" si="38"/>
        <v>0</v>
      </c>
      <c r="M1019" s="820">
        <f t="shared" si="38"/>
        <v>0</v>
      </c>
      <c r="N1019" s="820">
        <f t="shared" si="38"/>
        <v>0</v>
      </c>
      <c r="O1019" s="820">
        <f t="shared" si="38"/>
        <v>0</v>
      </c>
      <c r="P1019" s="820">
        <f t="shared" si="38"/>
        <v>0</v>
      </c>
      <c r="Q1019" s="820">
        <f t="shared" si="38"/>
        <v>0</v>
      </c>
      <c r="R1019" s="820">
        <f t="shared" si="38"/>
        <v>0</v>
      </c>
      <c r="S1019" s="820">
        <f t="shared" si="38"/>
        <v>0</v>
      </c>
      <c r="T1019" s="820">
        <f t="shared" si="38"/>
        <v>0</v>
      </c>
      <c r="U1019" s="820"/>
      <c r="V1019" s="785" t="e">
        <f>SUM(C1019:U1019)-#REF!</f>
        <v>#REF!</v>
      </c>
    </row>
    <row r="1020" spans="1:22" ht="18" customHeight="1" hidden="1">
      <c r="A1020" s="821"/>
      <c r="B1020" s="822" t="s">
        <v>1101</v>
      </c>
      <c r="C1020" s="823"/>
      <c r="D1020" s="823"/>
      <c r="E1020" s="823"/>
      <c r="F1020" s="824"/>
      <c r="G1020" s="824"/>
      <c r="H1020" s="824"/>
      <c r="I1020" s="824"/>
      <c r="J1020" s="824"/>
      <c r="K1020" s="824"/>
      <c r="L1020" s="824"/>
      <c r="M1020" s="824"/>
      <c r="N1020" s="824"/>
      <c r="O1020" s="824"/>
      <c r="P1020" s="824"/>
      <c r="Q1020" s="824"/>
      <c r="R1020" s="824"/>
      <c r="S1020" s="824"/>
      <c r="T1020" s="824"/>
      <c r="U1020" s="824"/>
      <c r="V1020" s="785"/>
    </row>
    <row r="1021" spans="1:22" ht="18" customHeight="1" hidden="1">
      <c r="A1021" s="825"/>
      <c r="B1021" s="826" t="s">
        <v>680</v>
      </c>
      <c r="C1021" s="827"/>
      <c r="D1021" s="827"/>
      <c r="E1021" s="827"/>
      <c r="F1021" s="780"/>
      <c r="G1021" s="780"/>
      <c r="H1021" s="780"/>
      <c r="I1021" s="780"/>
      <c r="J1021" s="780"/>
      <c r="K1021" s="780"/>
      <c r="L1021" s="780"/>
      <c r="M1021" s="780"/>
      <c r="N1021" s="780"/>
      <c r="O1021" s="780"/>
      <c r="P1021" s="780"/>
      <c r="Q1021" s="780"/>
      <c r="R1021" s="780"/>
      <c r="S1021" s="780"/>
      <c r="T1021" s="780"/>
      <c r="U1021" s="780"/>
      <c r="V1021" s="785" t="e">
        <f>SUM(C1021:U1021)-#REF!</f>
        <v>#REF!</v>
      </c>
    </row>
    <row r="1022" spans="1:22" ht="18" customHeight="1" hidden="1">
      <c r="A1022" s="825"/>
      <c r="B1022" s="826" t="s">
        <v>968</v>
      </c>
      <c r="C1022" s="827"/>
      <c r="D1022" s="827"/>
      <c r="E1022" s="827"/>
      <c r="F1022" s="780"/>
      <c r="G1022" s="780"/>
      <c r="H1022" s="780"/>
      <c r="I1022" s="780"/>
      <c r="J1022" s="780"/>
      <c r="K1022" s="780"/>
      <c r="L1022" s="780"/>
      <c r="M1022" s="780"/>
      <c r="N1022" s="780"/>
      <c r="O1022" s="780"/>
      <c r="P1022" s="780"/>
      <c r="Q1022" s="780"/>
      <c r="R1022" s="780"/>
      <c r="S1022" s="780"/>
      <c r="T1022" s="780"/>
      <c r="U1022" s="780"/>
      <c r="V1022" s="785" t="e">
        <f>SUM(C1022:U1022)-#REF!</f>
        <v>#REF!</v>
      </c>
    </row>
    <row r="1023" spans="1:22" ht="18" customHeight="1" hidden="1">
      <c r="A1023" s="828"/>
      <c r="B1023" s="826" t="s">
        <v>869</v>
      </c>
      <c r="C1023" s="829"/>
      <c r="D1023" s="829"/>
      <c r="E1023" s="829"/>
      <c r="F1023" s="780"/>
      <c r="G1023" s="780"/>
      <c r="H1023" s="780"/>
      <c r="I1023" s="780"/>
      <c r="J1023" s="780"/>
      <c r="K1023" s="780"/>
      <c r="L1023" s="780"/>
      <c r="M1023" s="780"/>
      <c r="N1023" s="780"/>
      <c r="O1023" s="780"/>
      <c r="P1023" s="780"/>
      <c r="Q1023" s="780"/>
      <c r="R1023" s="780"/>
      <c r="S1023" s="780"/>
      <c r="T1023" s="780"/>
      <c r="U1023" s="780"/>
      <c r="V1023" s="785" t="e">
        <f>SUM(C1023:U1023)-#REF!</f>
        <v>#REF!</v>
      </c>
    </row>
    <row r="1024" spans="1:22" ht="18" customHeight="1" hidden="1">
      <c r="A1024" s="830"/>
      <c r="B1024" s="826" t="s">
        <v>713</v>
      </c>
      <c r="C1024" s="831"/>
      <c r="D1024" s="831"/>
      <c r="E1024" s="831"/>
      <c r="F1024" s="780"/>
      <c r="G1024" s="780"/>
      <c r="H1024" s="780"/>
      <c r="I1024" s="780"/>
      <c r="J1024" s="780"/>
      <c r="K1024" s="780"/>
      <c r="L1024" s="780"/>
      <c r="M1024" s="780"/>
      <c r="N1024" s="780"/>
      <c r="O1024" s="780"/>
      <c r="P1024" s="780"/>
      <c r="Q1024" s="780"/>
      <c r="R1024" s="780"/>
      <c r="S1024" s="780"/>
      <c r="T1024" s="780"/>
      <c r="U1024" s="780"/>
      <c r="V1024" s="785" t="e">
        <f>SUM(C1024:U1024)-#REF!</f>
        <v>#REF!</v>
      </c>
    </row>
    <row r="1025" spans="1:22" ht="18" customHeight="1" hidden="1">
      <c r="A1025" s="832">
        <v>85153</v>
      </c>
      <c r="B1025" s="833" t="s">
        <v>1102</v>
      </c>
      <c r="C1025" s="834">
        <f>C1027+C1031+C1042</f>
        <v>0</v>
      </c>
      <c r="D1025" s="834">
        <f aca="true" t="shared" si="39" ref="D1025:U1025">D1027+D1031+D1042</f>
        <v>0</v>
      </c>
      <c r="E1025" s="834">
        <f t="shared" si="39"/>
        <v>0</v>
      </c>
      <c r="F1025" s="834">
        <f t="shared" si="39"/>
        <v>0</v>
      </c>
      <c r="G1025" s="834">
        <f t="shared" si="39"/>
        <v>0</v>
      </c>
      <c r="H1025" s="834">
        <f t="shared" si="39"/>
        <v>0</v>
      </c>
      <c r="I1025" s="834">
        <f t="shared" si="39"/>
        <v>0</v>
      </c>
      <c r="J1025" s="834">
        <f t="shared" si="39"/>
        <v>0</v>
      </c>
      <c r="K1025" s="834">
        <f t="shared" si="39"/>
        <v>0</v>
      </c>
      <c r="L1025" s="834">
        <f t="shared" si="39"/>
        <v>0</v>
      </c>
      <c r="M1025" s="834">
        <f t="shared" si="39"/>
        <v>0</v>
      </c>
      <c r="N1025" s="834">
        <f t="shared" si="39"/>
        <v>0</v>
      </c>
      <c r="O1025" s="834">
        <f t="shared" si="39"/>
        <v>0</v>
      </c>
      <c r="P1025" s="834">
        <f t="shared" si="39"/>
        <v>0</v>
      </c>
      <c r="Q1025" s="834">
        <f t="shared" si="39"/>
        <v>0</v>
      </c>
      <c r="R1025" s="834">
        <f t="shared" si="39"/>
        <v>0</v>
      </c>
      <c r="S1025" s="834">
        <f t="shared" si="39"/>
        <v>0</v>
      </c>
      <c r="T1025" s="834">
        <f t="shared" si="39"/>
        <v>0</v>
      </c>
      <c r="U1025" s="834">
        <f t="shared" si="39"/>
        <v>0</v>
      </c>
      <c r="V1025" s="533" t="e">
        <f>SUM(C1025:U1025)-#REF!</f>
        <v>#REF!</v>
      </c>
    </row>
    <row r="1026" spans="1:22" ht="22.5" hidden="1">
      <c r="A1026" s="835"/>
      <c r="B1026" s="836" t="s">
        <v>1103</v>
      </c>
      <c r="C1026" s="827"/>
      <c r="D1026" s="827"/>
      <c r="E1026" s="827"/>
      <c r="F1026" s="827"/>
      <c r="G1026" s="827"/>
      <c r="H1026" s="827"/>
      <c r="I1026" s="827"/>
      <c r="J1026" s="827"/>
      <c r="K1026" s="827"/>
      <c r="L1026" s="827"/>
      <c r="M1026" s="827"/>
      <c r="N1026" s="827"/>
      <c r="O1026" s="827"/>
      <c r="P1026" s="827"/>
      <c r="Q1026" s="827"/>
      <c r="R1026" s="827"/>
      <c r="S1026" s="827"/>
      <c r="T1026" s="827"/>
      <c r="U1026" s="827"/>
      <c r="V1026" s="533"/>
    </row>
    <row r="1027" spans="1:22" ht="18" customHeight="1" hidden="1">
      <c r="A1027" s="837" t="s">
        <v>334</v>
      </c>
      <c r="B1027" s="838" t="s">
        <v>1104</v>
      </c>
      <c r="C1027" s="839">
        <f>SUM(C1028:C1030)</f>
        <v>0</v>
      </c>
      <c r="D1027" s="839">
        <f aca="true" t="shared" si="40" ref="D1027:U1027">SUM(D1028:D1030)</f>
        <v>0</v>
      </c>
      <c r="E1027" s="839">
        <f t="shared" si="40"/>
        <v>0</v>
      </c>
      <c r="F1027" s="839">
        <f t="shared" si="40"/>
        <v>0</v>
      </c>
      <c r="G1027" s="839">
        <f t="shared" si="40"/>
        <v>0</v>
      </c>
      <c r="H1027" s="839">
        <f t="shared" si="40"/>
        <v>0</v>
      </c>
      <c r="I1027" s="839">
        <f t="shared" si="40"/>
        <v>0</v>
      </c>
      <c r="J1027" s="839">
        <f t="shared" si="40"/>
        <v>0</v>
      </c>
      <c r="K1027" s="839">
        <f t="shared" si="40"/>
        <v>0</v>
      </c>
      <c r="L1027" s="839">
        <f t="shared" si="40"/>
        <v>0</v>
      </c>
      <c r="M1027" s="839">
        <f t="shared" si="40"/>
        <v>0</v>
      </c>
      <c r="N1027" s="839">
        <f t="shared" si="40"/>
        <v>0</v>
      </c>
      <c r="O1027" s="839">
        <f t="shared" si="40"/>
        <v>0</v>
      </c>
      <c r="P1027" s="839">
        <f t="shared" si="40"/>
        <v>0</v>
      </c>
      <c r="Q1027" s="839">
        <f t="shared" si="40"/>
        <v>0</v>
      </c>
      <c r="R1027" s="839">
        <f t="shared" si="40"/>
        <v>0</v>
      </c>
      <c r="S1027" s="839">
        <f t="shared" si="40"/>
        <v>0</v>
      </c>
      <c r="T1027" s="839">
        <f t="shared" si="40"/>
        <v>0</v>
      </c>
      <c r="U1027" s="839">
        <f t="shared" si="40"/>
        <v>0</v>
      </c>
      <c r="V1027" s="533" t="e">
        <f>SUM(C1027:U1027)-#REF!</f>
        <v>#REF!</v>
      </c>
    </row>
    <row r="1028" spans="1:22" ht="18" customHeight="1" hidden="1">
      <c r="A1028" s="825" t="s">
        <v>335</v>
      </c>
      <c r="B1028" s="840" t="s">
        <v>1105</v>
      </c>
      <c r="C1028" s="780"/>
      <c r="D1028" s="780"/>
      <c r="E1028" s="780"/>
      <c r="F1028" s="780"/>
      <c r="G1028" s="780"/>
      <c r="H1028" s="780"/>
      <c r="I1028" s="780"/>
      <c r="J1028" s="780"/>
      <c r="K1028" s="780"/>
      <c r="L1028" s="780"/>
      <c r="M1028" s="780"/>
      <c r="N1028" s="780"/>
      <c r="O1028" s="780"/>
      <c r="P1028" s="780"/>
      <c r="Q1028" s="780"/>
      <c r="R1028" s="780"/>
      <c r="S1028" s="780"/>
      <c r="T1028" s="780"/>
      <c r="U1028" s="780"/>
      <c r="V1028" s="533" t="e">
        <f>SUM(C1028:U1028)-#REF!</f>
        <v>#REF!</v>
      </c>
    </row>
    <row r="1029" spans="1:22" ht="18" customHeight="1" hidden="1">
      <c r="A1029" s="841" t="s">
        <v>336</v>
      </c>
      <c r="B1029" s="842" t="s">
        <v>711</v>
      </c>
      <c r="C1029" s="843"/>
      <c r="D1029" s="843"/>
      <c r="E1029" s="843"/>
      <c r="F1029" s="843"/>
      <c r="G1029" s="843"/>
      <c r="H1029" s="843"/>
      <c r="I1029" s="843"/>
      <c r="J1029" s="843"/>
      <c r="K1029" s="843"/>
      <c r="L1029" s="843"/>
      <c r="M1029" s="843"/>
      <c r="N1029" s="843"/>
      <c r="O1029" s="843"/>
      <c r="P1029" s="843"/>
      <c r="Q1029" s="843"/>
      <c r="R1029" s="843"/>
      <c r="S1029" s="843"/>
      <c r="T1029" s="843"/>
      <c r="U1029" s="843"/>
      <c r="V1029" s="533" t="e">
        <f>SUM(C1029:U1029)-#REF!</f>
        <v>#REF!</v>
      </c>
    </row>
    <row r="1030" spans="1:22" ht="18" customHeight="1" hidden="1">
      <c r="A1030" s="825" t="s">
        <v>337</v>
      </c>
      <c r="B1030" s="844" t="s">
        <v>961</v>
      </c>
      <c r="C1030" s="780"/>
      <c r="D1030" s="780"/>
      <c r="E1030" s="780"/>
      <c r="F1030" s="780"/>
      <c r="G1030" s="780"/>
      <c r="H1030" s="780"/>
      <c r="I1030" s="780"/>
      <c r="J1030" s="780"/>
      <c r="K1030" s="780"/>
      <c r="L1030" s="780"/>
      <c r="M1030" s="780"/>
      <c r="N1030" s="780"/>
      <c r="O1030" s="780"/>
      <c r="P1030" s="780"/>
      <c r="Q1030" s="780"/>
      <c r="R1030" s="780"/>
      <c r="S1030" s="780"/>
      <c r="T1030" s="780"/>
      <c r="U1030" s="780"/>
      <c r="V1030" s="533" t="e">
        <f>SUM(C1030:U1030)-#REF!</f>
        <v>#REF!</v>
      </c>
    </row>
    <row r="1031" spans="1:22" ht="18" customHeight="1" hidden="1">
      <c r="A1031" s="837" t="s">
        <v>338</v>
      </c>
      <c r="B1031" s="838" t="s">
        <v>1106</v>
      </c>
      <c r="C1031" s="839">
        <f>SUM(C1032:C1041)</f>
        <v>0</v>
      </c>
      <c r="D1031" s="839">
        <f>SUM(D1032:D1041)</f>
        <v>0</v>
      </c>
      <c r="E1031" s="839">
        <f>SUM(E1032:E1041)</f>
        <v>0</v>
      </c>
      <c r="F1031" s="839">
        <f aca="true" t="shared" si="41" ref="F1031:U1031">SUM(F1032:F1041)</f>
        <v>0</v>
      </c>
      <c r="G1031" s="839">
        <f t="shared" si="41"/>
        <v>0</v>
      </c>
      <c r="H1031" s="839">
        <f t="shared" si="41"/>
        <v>0</v>
      </c>
      <c r="I1031" s="839">
        <f>SUM(I1032:I1041)</f>
        <v>0</v>
      </c>
      <c r="J1031" s="839">
        <f>SUM(J1032:J1041)</f>
        <v>0</v>
      </c>
      <c r="K1031" s="839">
        <f>SUM(K1032:K1041)</f>
        <v>0</v>
      </c>
      <c r="L1031" s="839">
        <f t="shared" si="41"/>
        <v>0</v>
      </c>
      <c r="M1031" s="839">
        <f t="shared" si="41"/>
        <v>0</v>
      </c>
      <c r="N1031" s="839">
        <f t="shared" si="41"/>
        <v>0</v>
      </c>
      <c r="O1031" s="839">
        <f t="shared" si="41"/>
        <v>0</v>
      </c>
      <c r="P1031" s="839">
        <f t="shared" si="41"/>
        <v>0</v>
      </c>
      <c r="Q1031" s="839">
        <f t="shared" si="41"/>
        <v>0</v>
      </c>
      <c r="R1031" s="839">
        <f t="shared" si="41"/>
        <v>0</v>
      </c>
      <c r="S1031" s="839">
        <f t="shared" si="41"/>
        <v>0</v>
      </c>
      <c r="T1031" s="839">
        <f t="shared" si="41"/>
        <v>0</v>
      </c>
      <c r="U1031" s="839">
        <f t="shared" si="41"/>
        <v>0</v>
      </c>
      <c r="V1031" s="533" t="e">
        <f>SUM(C1031:U1031)-#REF!</f>
        <v>#REF!</v>
      </c>
    </row>
    <row r="1032" spans="1:22" ht="18" customHeight="1" hidden="1">
      <c r="A1032" s="825" t="s">
        <v>339</v>
      </c>
      <c r="B1032" s="826" t="s">
        <v>656</v>
      </c>
      <c r="C1032" s="780"/>
      <c r="D1032" s="780"/>
      <c r="E1032" s="780"/>
      <c r="F1032" s="780"/>
      <c r="G1032" s="780"/>
      <c r="H1032" s="780"/>
      <c r="I1032" s="780"/>
      <c r="J1032" s="780"/>
      <c r="K1032" s="780"/>
      <c r="L1032" s="780"/>
      <c r="M1032" s="780"/>
      <c r="N1032" s="780"/>
      <c r="O1032" s="780"/>
      <c r="P1032" s="780"/>
      <c r="Q1032" s="780"/>
      <c r="R1032" s="780"/>
      <c r="S1032" s="780"/>
      <c r="T1032" s="780"/>
      <c r="U1032" s="780"/>
      <c r="V1032" s="533" t="e">
        <f>SUM(C1032:U1032)-#REF!</f>
        <v>#REF!</v>
      </c>
    </row>
    <row r="1033" spans="1:22" ht="18" customHeight="1" hidden="1">
      <c r="A1033" s="825" t="s">
        <v>340</v>
      </c>
      <c r="B1033" s="826" t="s">
        <v>675</v>
      </c>
      <c r="C1033" s="780"/>
      <c r="D1033" s="780"/>
      <c r="E1033" s="780"/>
      <c r="F1033" s="780"/>
      <c r="G1033" s="780"/>
      <c r="H1033" s="780"/>
      <c r="I1033" s="780"/>
      <c r="J1033" s="780"/>
      <c r="K1033" s="780"/>
      <c r="L1033" s="780"/>
      <c r="M1033" s="780"/>
      <c r="N1033" s="780"/>
      <c r="O1033" s="780"/>
      <c r="P1033" s="780"/>
      <c r="Q1033" s="780"/>
      <c r="R1033" s="780"/>
      <c r="S1033" s="780"/>
      <c r="T1033" s="780"/>
      <c r="U1033" s="780"/>
      <c r="V1033" s="533" t="e">
        <f>SUM(C1033:U1033)-#REF!</f>
        <v>#REF!</v>
      </c>
    </row>
    <row r="1034" spans="1:22" ht="18" customHeight="1" hidden="1">
      <c r="A1034" s="825" t="s">
        <v>341</v>
      </c>
      <c r="B1034" s="826" t="s">
        <v>711</v>
      </c>
      <c r="C1034" s="780"/>
      <c r="D1034" s="780"/>
      <c r="E1034" s="780"/>
      <c r="F1034" s="780"/>
      <c r="G1034" s="780"/>
      <c r="H1034" s="780"/>
      <c r="I1034" s="780"/>
      <c r="J1034" s="780"/>
      <c r="K1034" s="780"/>
      <c r="L1034" s="780"/>
      <c r="M1034" s="780"/>
      <c r="N1034" s="780"/>
      <c r="O1034" s="780"/>
      <c r="P1034" s="780"/>
      <c r="Q1034" s="780"/>
      <c r="R1034" s="780"/>
      <c r="S1034" s="780"/>
      <c r="T1034" s="780"/>
      <c r="U1034" s="780"/>
      <c r="V1034" s="533" t="e">
        <f>SUM(C1034:U1034)-#REF!</f>
        <v>#REF!</v>
      </c>
    </row>
    <row r="1035" spans="1:22" ht="18" customHeight="1" hidden="1">
      <c r="A1035" s="825" t="s">
        <v>342</v>
      </c>
      <c r="B1035" s="826" t="s">
        <v>722</v>
      </c>
      <c r="C1035" s="780"/>
      <c r="D1035" s="780"/>
      <c r="E1035" s="780"/>
      <c r="F1035" s="780"/>
      <c r="G1035" s="780"/>
      <c r="H1035" s="780"/>
      <c r="I1035" s="780"/>
      <c r="J1035" s="780"/>
      <c r="K1035" s="780"/>
      <c r="L1035" s="780"/>
      <c r="M1035" s="780"/>
      <c r="N1035" s="780"/>
      <c r="O1035" s="780"/>
      <c r="P1035" s="780"/>
      <c r="Q1035" s="780"/>
      <c r="R1035" s="780"/>
      <c r="S1035" s="780"/>
      <c r="T1035" s="780"/>
      <c r="U1035" s="780"/>
      <c r="V1035" s="533" t="e">
        <f>SUM(C1035:U1035)-#REF!</f>
        <v>#REF!</v>
      </c>
    </row>
    <row r="1036" spans="1:22" ht="18" customHeight="1" hidden="1">
      <c r="A1036" s="825" t="s">
        <v>358</v>
      </c>
      <c r="B1036" s="826" t="s">
        <v>723</v>
      </c>
      <c r="C1036" s="780"/>
      <c r="D1036" s="780"/>
      <c r="E1036" s="780"/>
      <c r="F1036" s="780"/>
      <c r="G1036" s="780"/>
      <c r="H1036" s="780"/>
      <c r="I1036" s="780"/>
      <c r="J1036" s="780"/>
      <c r="K1036" s="780"/>
      <c r="L1036" s="780"/>
      <c r="M1036" s="780"/>
      <c r="N1036" s="780"/>
      <c r="O1036" s="780"/>
      <c r="P1036" s="780"/>
      <c r="Q1036" s="780"/>
      <c r="R1036" s="780"/>
      <c r="S1036" s="780"/>
      <c r="T1036" s="780"/>
      <c r="U1036" s="780"/>
      <c r="V1036" s="533" t="e">
        <f>SUM(C1036:U1036)-#REF!</f>
        <v>#REF!</v>
      </c>
    </row>
    <row r="1037" spans="1:22" ht="18" customHeight="1" hidden="1">
      <c r="A1037" s="825" t="s">
        <v>359</v>
      </c>
      <c r="B1037" s="845" t="s">
        <v>744</v>
      </c>
      <c r="C1037" s="780"/>
      <c r="D1037" s="780"/>
      <c r="E1037" s="780"/>
      <c r="F1037" s="780"/>
      <c r="G1037" s="780"/>
      <c r="H1037" s="780"/>
      <c r="I1037" s="780"/>
      <c r="J1037" s="780"/>
      <c r="K1037" s="780"/>
      <c r="L1037" s="780"/>
      <c r="M1037" s="780"/>
      <c r="N1037" s="780"/>
      <c r="O1037" s="780"/>
      <c r="P1037" s="780"/>
      <c r="Q1037" s="780"/>
      <c r="R1037" s="780"/>
      <c r="S1037" s="780"/>
      <c r="T1037" s="780"/>
      <c r="U1037" s="780"/>
      <c r="V1037" s="533" t="e">
        <f>SUM(C1037:U1037)-#REF!</f>
        <v>#REF!</v>
      </c>
    </row>
    <row r="1038" spans="1:22" ht="18" customHeight="1" hidden="1">
      <c r="A1038" s="825" t="s">
        <v>360</v>
      </c>
      <c r="B1038" s="845" t="s">
        <v>745</v>
      </c>
      <c r="C1038" s="780"/>
      <c r="D1038" s="780"/>
      <c r="E1038" s="780"/>
      <c r="F1038" s="780"/>
      <c r="G1038" s="780"/>
      <c r="H1038" s="780"/>
      <c r="I1038" s="780"/>
      <c r="J1038" s="780"/>
      <c r="K1038" s="780"/>
      <c r="L1038" s="780"/>
      <c r="M1038" s="780"/>
      <c r="N1038" s="780"/>
      <c r="O1038" s="780"/>
      <c r="P1038" s="780"/>
      <c r="Q1038" s="780"/>
      <c r="R1038" s="780"/>
      <c r="S1038" s="780"/>
      <c r="T1038" s="780"/>
      <c r="U1038" s="780"/>
      <c r="V1038" s="533" t="e">
        <f>SUM(C1038:U1038)-#REF!</f>
        <v>#REF!</v>
      </c>
    </row>
    <row r="1039" spans="1:22" ht="18" customHeight="1" hidden="1">
      <c r="A1039" s="825" t="s">
        <v>361</v>
      </c>
      <c r="B1039" s="845" t="s">
        <v>1078</v>
      </c>
      <c r="C1039" s="780"/>
      <c r="D1039" s="780"/>
      <c r="E1039" s="780"/>
      <c r="F1039" s="780"/>
      <c r="G1039" s="780"/>
      <c r="H1039" s="780"/>
      <c r="I1039" s="780"/>
      <c r="J1039" s="780"/>
      <c r="K1039" s="780"/>
      <c r="L1039" s="780"/>
      <c r="M1039" s="780"/>
      <c r="N1039" s="780"/>
      <c r="O1039" s="780"/>
      <c r="P1039" s="780"/>
      <c r="Q1039" s="780"/>
      <c r="R1039" s="780"/>
      <c r="S1039" s="780"/>
      <c r="T1039" s="780"/>
      <c r="U1039" s="780"/>
      <c r="V1039" s="533" t="e">
        <f>SUM(C1039:U1039)-#REF!</f>
        <v>#REF!</v>
      </c>
    </row>
    <row r="1040" spans="1:22" ht="18" customHeight="1" hidden="1">
      <c r="A1040" s="825" t="s">
        <v>362</v>
      </c>
      <c r="B1040" s="845" t="s">
        <v>1072</v>
      </c>
      <c r="C1040" s="780"/>
      <c r="D1040" s="780"/>
      <c r="E1040" s="780"/>
      <c r="F1040" s="780"/>
      <c r="G1040" s="780"/>
      <c r="H1040" s="780"/>
      <c r="I1040" s="780"/>
      <c r="J1040" s="780"/>
      <c r="K1040" s="780"/>
      <c r="L1040" s="780"/>
      <c r="M1040" s="780"/>
      <c r="N1040" s="780"/>
      <c r="O1040" s="780"/>
      <c r="P1040" s="780"/>
      <c r="Q1040" s="780"/>
      <c r="R1040" s="780"/>
      <c r="S1040" s="780"/>
      <c r="T1040" s="780"/>
      <c r="U1040" s="780"/>
      <c r="V1040" s="533" t="e">
        <f>SUM(C1040:U1040)-#REF!</f>
        <v>#REF!</v>
      </c>
    </row>
    <row r="1041" spans="1:22" ht="18" customHeight="1" hidden="1">
      <c r="A1041" s="825" t="s">
        <v>363</v>
      </c>
      <c r="B1041" s="844" t="s">
        <v>961</v>
      </c>
      <c r="C1041" s="780"/>
      <c r="D1041" s="780"/>
      <c r="E1041" s="780"/>
      <c r="F1041" s="780"/>
      <c r="G1041" s="780"/>
      <c r="H1041" s="780"/>
      <c r="I1041" s="780"/>
      <c r="J1041" s="780"/>
      <c r="K1041" s="780"/>
      <c r="L1041" s="780"/>
      <c r="M1041" s="780"/>
      <c r="N1041" s="780"/>
      <c r="O1041" s="780"/>
      <c r="P1041" s="780"/>
      <c r="Q1041" s="780"/>
      <c r="R1041" s="780"/>
      <c r="S1041" s="780"/>
      <c r="T1041" s="780"/>
      <c r="U1041" s="780"/>
      <c r="V1041" s="533" t="e">
        <f>SUM(C1041:U1041)-#REF!</f>
        <v>#REF!</v>
      </c>
    </row>
    <row r="1042" spans="1:22" ht="51" hidden="1">
      <c r="A1042" s="837" t="s">
        <v>364</v>
      </c>
      <c r="B1042" s="846" t="s">
        <v>1107</v>
      </c>
      <c r="C1042" s="839">
        <f>SUM(C1043)</f>
        <v>0</v>
      </c>
      <c r="D1042" s="839">
        <f aca="true" t="shared" si="42" ref="D1042:U1042">SUM(D1043)</f>
        <v>0</v>
      </c>
      <c r="E1042" s="839">
        <f t="shared" si="42"/>
        <v>0</v>
      </c>
      <c r="F1042" s="839">
        <f t="shared" si="42"/>
        <v>0</v>
      </c>
      <c r="G1042" s="839">
        <f t="shared" si="42"/>
        <v>0</v>
      </c>
      <c r="H1042" s="839">
        <f t="shared" si="42"/>
        <v>0</v>
      </c>
      <c r="I1042" s="839">
        <f t="shared" si="42"/>
        <v>0</v>
      </c>
      <c r="J1042" s="839">
        <f t="shared" si="42"/>
        <v>0</v>
      </c>
      <c r="K1042" s="839">
        <f t="shared" si="42"/>
        <v>0</v>
      </c>
      <c r="L1042" s="839">
        <f t="shared" si="42"/>
        <v>0</v>
      </c>
      <c r="M1042" s="839">
        <f t="shared" si="42"/>
        <v>0</v>
      </c>
      <c r="N1042" s="839">
        <f t="shared" si="42"/>
        <v>0</v>
      </c>
      <c r="O1042" s="839">
        <f t="shared" si="42"/>
        <v>0</v>
      </c>
      <c r="P1042" s="839">
        <f t="shared" si="42"/>
        <v>0</v>
      </c>
      <c r="Q1042" s="839">
        <f t="shared" si="42"/>
        <v>0</v>
      </c>
      <c r="R1042" s="839">
        <f t="shared" si="42"/>
        <v>0</v>
      </c>
      <c r="S1042" s="839">
        <f t="shared" si="42"/>
        <v>0</v>
      </c>
      <c r="T1042" s="839">
        <f t="shared" si="42"/>
        <v>0</v>
      </c>
      <c r="U1042" s="839">
        <f t="shared" si="42"/>
        <v>0</v>
      </c>
      <c r="V1042" s="533" t="e">
        <f>SUM(C1042:U1042)-#REF!</f>
        <v>#REF!</v>
      </c>
    </row>
    <row r="1043" spans="1:22" ht="18" customHeight="1" hidden="1">
      <c r="A1043" s="847" t="s">
        <v>365</v>
      </c>
      <c r="B1043" s="845" t="s">
        <v>1072</v>
      </c>
      <c r="C1043" s="848"/>
      <c r="D1043" s="848"/>
      <c r="E1043" s="848"/>
      <c r="F1043" s="848"/>
      <c r="G1043" s="848"/>
      <c r="H1043" s="848"/>
      <c r="I1043" s="848"/>
      <c r="J1043" s="848"/>
      <c r="K1043" s="848"/>
      <c r="L1043" s="848"/>
      <c r="M1043" s="848"/>
      <c r="N1043" s="848"/>
      <c r="O1043" s="848"/>
      <c r="P1043" s="848"/>
      <c r="Q1043" s="848"/>
      <c r="R1043" s="848"/>
      <c r="S1043" s="848"/>
      <c r="T1043" s="848"/>
      <c r="U1043" s="848"/>
      <c r="V1043" s="533" t="e">
        <f>SUM(C1043:U1043)-#REF!</f>
        <v>#REF!</v>
      </c>
    </row>
    <row r="1044" spans="1:22" ht="18" customHeight="1" hidden="1">
      <c r="A1044" s="849">
        <v>85154</v>
      </c>
      <c r="B1044" s="850" t="s">
        <v>1108</v>
      </c>
      <c r="C1044" s="851">
        <f>C1046+C1055+C1138+C1141</f>
        <v>0</v>
      </c>
      <c r="D1044" s="851">
        <f aca="true" t="shared" si="43" ref="D1044:U1044">D1046+D1055+D1138+D1141</f>
        <v>0</v>
      </c>
      <c r="E1044" s="851">
        <f t="shared" si="43"/>
        <v>0</v>
      </c>
      <c r="F1044" s="851">
        <f t="shared" si="43"/>
        <v>0</v>
      </c>
      <c r="G1044" s="851">
        <f t="shared" si="43"/>
        <v>0</v>
      </c>
      <c r="H1044" s="851">
        <f t="shared" si="43"/>
        <v>0</v>
      </c>
      <c r="I1044" s="851">
        <f t="shared" si="43"/>
        <v>0</v>
      </c>
      <c r="J1044" s="851">
        <f t="shared" si="43"/>
        <v>0</v>
      </c>
      <c r="K1044" s="851">
        <f t="shared" si="43"/>
        <v>0</v>
      </c>
      <c r="L1044" s="851">
        <f t="shared" si="43"/>
        <v>0</v>
      </c>
      <c r="M1044" s="851">
        <f t="shared" si="43"/>
        <v>0</v>
      </c>
      <c r="N1044" s="851">
        <f t="shared" si="43"/>
        <v>0</v>
      </c>
      <c r="O1044" s="851">
        <f t="shared" si="43"/>
        <v>0</v>
      </c>
      <c r="P1044" s="851">
        <f t="shared" si="43"/>
        <v>0</v>
      </c>
      <c r="Q1044" s="851">
        <f t="shared" si="43"/>
        <v>0</v>
      </c>
      <c r="R1044" s="851">
        <f t="shared" si="43"/>
        <v>0</v>
      </c>
      <c r="S1044" s="851">
        <f t="shared" si="43"/>
        <v>0</v>
      </c>
      <c r="T1044" s="851">
        <f t="shared" si="43"/>
        <v>0</v>
      </c>
      <c r="U1044" s="851">
        <f t="shared" si="43"/>
        <v>0</v>
      </c>
      <c r="V1044" s="533" t="e">
        <f>SUM(C1044:U1044)-#REF!</f>
        <v>#REF!</v>
      </c>
    </row>
    <row r="1045" spans="1:22" ht="33.75" hidden="1">
      <c r="A1045" s="835"/>
      <c r="B1045" s="836" t="s">
        <v>1109</v>
      </c>
      <c r="C1045" s="827"/>
      <c r="D1045" s="827"/>
      <c r="E1045" s="827"/>
      <c r="F1045" s="827"/>
      <c r="G1045" s="827"/>
      <c r="H1045" s="827"/>
      <c r="I1045" s="827"/>
      <c r="J1045" s="827"/>
      <c r="K1045" s="827"/>
      <c r="L1045" s="827"/>
      <c r="M1045" s="827"/>
      <c r="N1045" s="827"/>
      <c r="O1045" s="827"/>
      <c r="P1045" s="827"/>
      <c r="Q1045" s="827"/>
      <c r="R1045" s="827"/>
      <c r="S1045" s="827"/>
      <c r="T1045" s="827"/>
      <c r="U1045" s="827"/>
      <c r="V1045" s="533"/>
    </row>
    <row r="1046" spans="1:22" ht="51" hidden="1">
      <c r="A1046" s="852" t="s">
        <v>366</v>
      </c>
      <c r="B1046" s="853" t="s">
        <v>1110</v>
      </c>
      <c r="C1046" s="854">
        <f>SUM(C1047:C1054)</f>
        <v>0</v>
      </c>
      <c r="D1046" s="854">
        <f>SUM(D1047:D1054)</f>
        <v>0</v>
      </c>
      <c r="E1046" s="854">
        <f>SUM(E1047:E1054)</f>
        <v>0</v>
      </c>
      <c r="F1046" s="854">
        <f aca="true" t="shared" si="44" ref="F1046:U1046">SUM(F1047:F1054)</f>
        <v>0</v>
      </c>
      <c r="G1046" s="854">
        <f t="shared" si="44"/>
        <v>0</v>
      </c>
      <c r="H1046" s="854">
        <f t="shared" si="44"/>
        <v>0</v>
      </c>
      <c r="I1046" s="854">
        <f>SUM(I1047:I1054)</f>
        <v>0</v>
      </c>
      <c r="J1046" s="854">
        <f>SUM(J1047:J1054)</f>
        <v>0</v>
      </c>
      <c r="K1046" s="854">
        <f>SUM(K1047:K1054)</f>
        <v>0</v>
      </c>
      <c r="L1046" s="854">
        <f t="shared" si="44"/>
        <v>0</v>
      </c>
      <c r="M1046" s="854">
        <f t="shared" si="44"/>
        <v>0</v>
      </c>
      <c r="N1046" s="854">
        <f t="shared" si="44"/>
        <v>0</v>
      </c>
      <c r="O1046" s="854">
        <f t="shared" si="44"/>
        <v>0</v>
      </c>
      <c r="P1046" s="854">
        <f t="shared" si="44"/>
        <v>0</v>
      </c>
      <c r="Q1046" s="854">
        <f t="shared" si="44"/>
        <v>0</v>
      </c>
      <c r="R1046" s="854">
        <f t="shared" si="44"/>
        <v>0</v>
      </c>
      <c r="S1046" s="854">
        <f t="shared" si="44"/>
        <v>0</v>
      </c>
      <c r="T1046" s="854">
        <f t="shared" si="44"/>
        <v>0</v>
      </c>
      <c r="U1046" s="854">
        <f t="shared" si="44"/>
        <v>0</v>
      </c>
      <c r="V1046" s="533" t="e">
        <f>SUM(C1046:U1046)-#REF!</f>
        <v>#REF!</v>
      </c>
    </row>
    <row r="1047" spans="1:22" ht="18" customHeight="1" hidden="1" thickBot="1">
      <c r="A1047" s="825" t="s">
        <v>367</v>
      </c>
      <c r="B1047" s="840" t="s">
        <v>670</v>
      </c>
      <c r="C1047" s="780"/>
      <c r="D1047" s="780"/>
      <c r="E1047" s="780"/>
      <c r="F1047" s="780"/>
      <c r="G1047" s="780"/>
      <c r="H1047" s="780"/>
      <c r="I1047" s="780"/>
      <c r="J1047" s="780"/>
      <c r="K1047" s="780"/>
      <c r="L1047" s="780"/>
      <c r="M1047" s="780"/>
      <c r="N1047" s="780"/>
      <c r="O1047" s="780"/>
      <c r="P1047" s="780"/>
      <c r="Q1047" s="780"/>
      <c r="R1047" s="780"/>
      <c r="S1047" s="780"/>
      <c r="T1047" s="780"/>
      <c r="U1047" s="780"/>
      <c r="V1047" s="533" t="e">
        <f>SUM(C1047:U1047)-#REF!</f>
        <v>#REF!</v>
      </c>
    </row>
    <row r="1048" spans="1:22" ht="18" customHeight="1" hidden="1">
      <c r="A1048" s="825" t="s">
        <v>368</v>
      </c>
      <c r="B1048" s="840" t="s">
        <v>673</v>
      </c>
      <c r="C1048" s="780"/>
      <c r="D1048" s="780"/>
      <c r="E1048" s="780"/>
      <c r="F1048" s="780"/>
      <c r="G1048" s="780"/>
      <c r="H1048" s="780"/>
      <c r="I1048" s="780"/>
      <c r="J1048" s="780"/>
      <c r="K1048" s="780"/>
      <c r="L1048" s="780"/>
      <c r="M1048" s="780"/>
      <c r="N1048" s="780"/>
      <c r="O1048" s="780"/>
      <c r="P1048" s="780"/>
      <c r="Q1048" s="780"/>
      <c r="R1048" s="780"/>
      <c r="S1048" s="780"/>
      <c r="T1048" s="780"/>
      <c r="U1048" s="780"/>
      <c r="V1048" s="533" t="e">
        <f>SUM(C1048:U1048)-#REF!</f>
        <v>#REF!</v>
      </c>
    </row>
    <row r="1049" spans="1:22" ht="18" customHeight="1" hidden="1">
      <c r="A1049" s="825" t="s">
        <v>369</v>
      </c>
      <c r="B1049" s="840" t="s">
        <v>679</v>
      </c>
      <c r="C1049" s="780"/>
      <c r="D1049" s="780"/>
      <c r="E1049" s="780"/>
      <c r="F1049" s="780"/>
      <c r="G1049" s="780"/>
      <c r="H1049" s="780"/>
      <c r="I1049" s="780"/>
      <c r="J1049" s="780"/>
      <c r="K1049" s="780"/>
      <c r="L1049" s="780"/>
      <c r="M1049" s="780"/>
      <c r="N1049" s="780"/>
      <c r="O1049" s="780"/>
      <c r="P1049" s="780"/>
      <c r="Q1049" s="780"/>
      <c r="R1049" s="780"/>
      <c r="S1049" s="780"/>
      <c r="T1049" s="780"/>
      <c r="U1049" s="780"/>
      <c r="V1049" s="533" t="e">
        <f>SUM(C1049:U1049)-#REF!</f>
        <v>#REF!</v>
      </c>
    </row>
    <row r="1050" spans="1:22" ht="18" customHeight="1" hidden="1">
      <c r="A1050" s="825"/>
      <c r="B1050" s="840" t="s">
        <v>723</v>
      </c>
      <c r="C1050" s="780"/>
      <c r="D1050" s="780"/>
      <c r="E1050" s="780"/>
      <c r="F1050" s="780"/>
      <c r="G1050" s="780"/>
      <c r="H1050" s="780"/>
      <c r="I1050" s="780"/>
      <c r="J1050" s="780"/>
      <c r="K1050" s="780"/>
      <c r="L1050" s="780"/>
      <c r="M1050" s="780"/>
      <c r="N1050" s="780"/>
      <c r="O1050" s="780"/>
      <c r="P1050" s="780"/>
      <c r="Q1050" s="780"/>
      <c r="R1050" s="780"/>
      <c r="S1050" s="780"/>
      <c r="T1050" s="780"/>
      <c r="U1050" s="780"/>
      <c r="V1050" s="533" t="e">
        <f>SUM(C1050:U1050)-#REF!</f>
        <v>#REF!</v>
      </c>
    </row>
    <row r="1051" spans="1:22" ht="18" customHeight="1" hidden="1">
      <c r="A1051" s="825" t="s">
        <v>370</v>
      </c>
      <c r="B1051" s="840" t="s">
        <v>751</v>
      </c>
      <c r="C1051" s="780"/>
      <c r="D1051" s="780"/>
      <c r="E1051" s="780"/>
      <c r="F1051" s="780"/>
      <c r="G1051" s="780"/>
      <c r="H1051" s="780"/>
      <c r="I1051" s="780"/>
      <c r="J1051" s="780"/>
      <c r="K1051" s="780"/>
      <c r="L1051" s="780"/>
      <c r="M1051" s="780"/>
      <c r="N1051" s="780"/>
      <c r="O1051" s="780"/>
      <c r="P1051" s="780"/>
      <c r="Q1051" s="780"/>
      <c r="R1051" s="780"/>
      <c r="S1051" s="780"/>
      <c r="T1051" s="780"/>
      <c r="U1051" s="780"/>
      <c r="V1051" s="533" t="e">
        <f>SUM(C1051:U1051)-#REF!</f>
        <v>#REF!</v>
      </c>
    </row>
    <row r="1052" spans="1:22" ht="18" customHeight="1" hidden="1">
      <c r="A1052" s="825" t="s">
        <v>371</v>
      </c>
      <c r="B1052" s="845" t="s">
        <v>969</v>
      </c>
      <c r="C1052" s="780"/>
      <c r="D1052" s="780"/>
      <c r="E1052" s="780"/>
      <c r="F1052" s="780"/>
      <c r="G1052" s="780"/>
      <c r="H1052" s="780"/>
      <c r="I1052" s="780"/>
      <c r="J1052" s="780"/>
      <c r="K1052" s="780"/>
      <c r="L1052" s="780"/>
      <c r="M1052" s="780"/>
      <c r="N1052" s="780"/>
      <c r="O1052" s="780"/>
      <c r="P1052" s="780"/>
      <c r="Q1052" s="780"/>
      <c r="R1052" s="780"/>
      <c r="S1052" s="780"/>
      <c r="T1052" s="780"/>
      <c r="U1052" s="780"/>
      <c r="V1052" s="533" t="e">
        <f>SUM(C1052:U1052)-#REF!</f>
        <v>#REF!</v>
      </c>
    </row>
    <row r="1053" spans="1:22" ht="18" customHeight="1" hidden="1">
      <c r="A1053" s="825" t="s">
        <v>372</v>
      </c>
      <c r="B1053" s="840" t="s">
        <v>863</v>
      </c>
      <c r="C1053" s="780"/>
      <c r="D1053" s="780"/>
      <c r="E1053" s="780"/>
      <c r="F1053" s="780"/>
      <c r="G1053" s="780"/>
      <c r="H1053" s="780"/>
      <c r="I1053" s="780"/>
      <c r="J1053" s="780"/>
      <c r="K1053" s="780"/>
      <c r="L1053" s="780"/>
      <c r="M1053" s="780"/>
      <c r="N1053" s="780"/>
      <c r="O1053" s="780"/>
      <c r="P1053" s="780"/>
      <c r="Q1053" s="780"/>
      <c r="R1053" s="780"/>
      <c r="S1053" s="780"/>
      <c r="T1053" s="780"/>
      <c r="U1053" s="780"/>
      <c r="V1053" s="533" t="e">
        <f>SUM(C1053:U1053)-#REF!</f>
        <v>#REF!</v>
      </c>
    </row>
    <row r="1054" spans="1:22" ht="18" customHeight="1" hidden="1">
      <c r="A1054" s="825" t="s">
        <v>373</v>
      </c>
      <c r="B1054" s="840" t="s">
        <v>962</v>
      </c>
      <c r="C1054" s="780"/>
      <c r="D1054" s="780"/>
      <c r="E1054" s="780"/>
      <c r="F1054" s="780"/>
      <c r="G1054" s="780"/>
      <c r="H1054" s="780"/>
      <c r="I1054" s="780"/>
      <c r="J1054" s="780"/>
      <c r="K1054" s="780"/>
      <c r="L1054" s="780"/>
      <c r="M1054" s="780"/>
      <c r="N1054" s="780"/>
      <c r="O1054" s="780"/>
      <c r="P1054" s="780"/>
      <c r="Q1054" s="780"/>
      <c r="R1054" s="780"/>
      <c r="S1054" s="780"/>
      <c r="T1054" s="780"/>
      <c r="U1054" s="780"/>
      <c r="V1054" s="533" t="e">
        <f>SUM(C1054:U1054)-#REF!</f>
        <v>#REF!</v>
      </c>
    </row>
    <row r="1055" spans="1:22" ht="38.25" hidden="1">
      <c r="A1055" s="852" t="s">
        <v>374</v>
      </c>
      <c r="B1055" s="853" t="s">
        <v>1111</v>
      </c>
      <c r="C1055" s="854">
        <f aca="true" t="shared" si="45" ref="C1055:U1055">SUM(C1056:C1137)</f>
        <v>0</v>
      </c>
      <c r="D1055" s="854">
        <f t="shared" si="45"/>
        <v>0</v>
      </c>
      <c r="E1055" s="854">
        <f t="shared" si="45"/>
        <v>0</v>
      </c>
      <c r="F1055" s="854">
        <f t="shared" si="45"/>
        <v>0</v>
      </c>
      <c r="G1055" s="854">
        <f t="shared" si="45"/>
        <v>0</v>
      </c>
      <c r="H1055" s="854">
        <f t="shared" si="45"/>
        <v>0</v>
      </c>
      <c r="I1055" s="854">
        <f t="shared" si="45"/>
        <v>0</v>
      </c>
      <c r="J1055" s="854">
        <f t="shared" si="45"/>
        <v>0</v>
      </c>
      <c r="K1055" s="854">
        <f t="shared" si="45"/>
        <v>0</v>
      </c>
      <c r="L1055" s="854">
        <f t="shared" si="45"/>
        <v>0</v>
      </c>
      <c r="M1055" s="854">
        <f t="shared" si="45"/>
        <v>0</v>
      </c>
      <c r="N1055" s="854">
        <f t="shared" si="45"/>
        <v>0</v>
      </c>
      <c r="O1055" s="854">
        <f t="shared" si="45"/>
        <v>0</v>
      </c>
      <c r="P1055" s="854">
        <f t="shared" si="45"/>
        <v>0</v>
      </c>
      <c r="Q1055" s="854">
        <f t="shared" si="45"/>
        <v>0</v>
      </c>
      <c r="R1055" s="854">
        <f t="shared" si="45"/>
        <v>0</v>
      </c>
      <c r="S1055" s="854">
        <f t="shared" si="45"/>
        <v>0</v>
      </c>
      <c r="T1055" s="854">
        <f t="shared" si="45"/>
        <v>0</v>
      </c>
      <c r="U1055" s="854">
        <f t="shared" si="45"/>
        <v>0</v>
      </c>
      <c r="V1055" s="533" t="e">
        <f>SUM(C1055:U1055)-#REF!</f>
        <v>#REF!</v>
      </c>
    </row>
    <row r="1056" spans="1:22" ht="18" customHeight="1" hidden="1">
      <c r="A1056" s="825" t="s">
        <v>375</v>
      </c>
      <c r="B1056" s="840" t="s">
        <v>603</v>
      </c>
      <c r="C1056" s="780"/>
      <c r="D1056" s="780"/>
      <c r="E1056" s="780"/>
      <c r="F1056" s="780"/>
      <c r="G1056" s="780"/>
      <c r="H1056" s="780"/>
      <c r="I1056" s="780"/>
      <c r="J1056" s="780"/>
      <c r="K1056" s="780"/>
      <c r="L1056" s="780"/>
      <c r="M1056" s="780"/>
      <c r="N1056" s="780"/>
      <c r="O1056" s="780"/>
      <c r="P1056" s="780"/>
      <c r="Q1056" s="780"/>
      <c r="R1056" s="780"/>
      <c r="S1056" s="780"/>
      <c r="T1056" s="780"/>
      <c r="U1056" s="780"/>
      <c r="V1056" s="533" t="e">
        <f>SUM(C1056:U1056)-#REF!</f>
        <v>#REF!</v>
      </c>
    </row>
    <row r="1057" spans="1:22" ht="18" customHeight="1" hidden="1" thickBot="1">
      <c r="A1057" s="825" t="s">
        <v>376</v>
      </c>
      <c r="B1057" s="840" t="s">
        <v>604</v>
      </c>
      <c r="C1057" s="780"/>
      <c r="D1057" s="780"/>
      <c r="E1057" s="780"/>
      <c r="F1057" s="780"/>
      <c r="G1057" s="780"/>
      <c r="H1057" s="780"/>
      <c r="I1057" s="780"/>
      <c r="J1057" s="780"/>
      <c r="K1057" s="780"/>
      <c r="L1057" s="780"/>
      <c r="M1057" s="780"/>
      <c r="N1057" s="780"/>
      <c r="O1057" s="780"/>
      <c r="P1057" s="780"/>
      <c r="Q1057" s="780"/>
      <c r="R1057" s="780"/>
      <c r="S1057" s="780"/>
      <c r="T1057" s="780"/>
      <c r="U1057" s="780"/>
      <c r="V1057" s="533" t="e">
        <f>SUM(C1057:U1057)-#REF!</f>
        <v>#REF!</v>
      </c>
    </row>
    <row r="1058" spans="1:22" ht="18" customHeight="1" hidden="1">
      <c r="A1058" s="825" t="s">
        <v>377</v>
      </c>
      <c r="B1058" s="840" t="s">
        <v>605</v>
      </c>
      <c r="C1058" s="780"/>
      <c r="D1058" s="780"/>
      <c r="E1058" s="780"/>
      <c r="F1058" s="780"/>
      <c r="G1058" s="780"/>
      <c r="H1058" s="780"/>
      <c r="I1058" s="780"/>
      <c r="J1058" s="780"/>
      <c r="K1058" s="780"/>
      <c r="L1058" s="780"/>
      <c r="M1058" s="780"/>
      <c r="N1058" s="780"/>
      <c r="O1058" s="780"/>
      <c r="P1058" s="780"/>
      <c r="Q1058" s="780"/>
      <c r="R1058" s="780"/>
      <c r="S1058" s="780"/>
      <c r="T1058" s="780"/>
      <c r="U1058" s="780"/>
      <c r="V1058" s="533" t="e">
        <f>SUM(C1058:U1058)-#REF!</f>
        <v>#REF!</v>
      </c>
    </row>
    <row r="1059" spans="1:22" ht="18" customHeight="1" hidden="1">
      <c r="A1059" s="825" t="s">
        <v>378</v>
      </c>
      <c r="B1059" s="840" t="s">
        <v>607</v>
      </c>
      <c r="C1059" s="780"/>
      <c r="D1059" s="780"/>
      <c r="E1059" s="780"/>
      <c r="F1059" s="780"/>
      <c r="G1059" s="780"/>
      <c r="H1059" s="780"/>
      <c r="I1059" s="780"/>
      <c r="J1059" s="780"/>
      <c r="K1059" s="780"/>
      <c r="L1059" s="780"/>
      <c r="M1059" s="780"/>
      <c r="N1059" s="780"/>
      <c r="O1059" s="780"/>
      <c r="P1059" s="780"/>
      <c r="Q1059" s="780"/>
      <c r="R1059" s="780"/>
      <c r="S1059" s="780"/>
      <c r="T1059" s="780"/>
      <c r="U1059" s="780"/>
      <c r="V1059" s="533" t="e">
        <f>SUM(C1059:U1059)-#REF!</f>
        <v>#REF!</v>
      </c>
    </row>
    <row r="1060" spans="1:22" ht="18" customHeight="1" hidden="1">
      <c r="A1060" s="825" t="s">
        <v>379</v>
      </c>
      <c r="B1060" s="840" t="s">
        <v>608</v>
      </c>
      <c r="C1060" s="780"/>
      <c r="D1060" s="780"/>
      <c r="E1060" s="780"/>
      <c r="F1060" s="780"/>
      <c r="G1060" s="780"/>
      <c r="H1060" s="780"/>
      <c r="I1060" s="780"/>
      <c r="J1060" s="780"/>
      <c r="K1060" s="780"/>
      <c r="L1060" s="780"/>
      <c r="M1060" s="780"/>
      <c r="N1060" s="780"/>
      <c r="O1060" s="780"/>
      <c r="P1060" s="780"/>
      <c r="Q1060" s="780"/>
      <c r="R1060" s="780"/>
      <c r="S1060" s="780"/>
      <c r="T1060" s="780"/>
      <c r="U1060" s="780"/>
      <c r="V1060" s="533" t="e">
        <f>SUM(C1060:U1060)-#REF!</f>
        <v>#REF!</v>
      </c>
    </row>
    <row r="1061" spans="1:22" ht="18" customHeight="1" hidden="1">
      <c r="A1061" s="825" t="s">
        <v>380</v>
      </c>
      <c r="B1061" s="840" t="s">
        <v>610</v>
      </c>
      <c r="C1061" s="780"/>
      <c r="D1061" s="780"/>
      <c r="E1061" s="780"/>
      <c r="F1061" s="780"/>
      <c r="G1061" s="780"/>
      <c r="H1061" s="780"/>
      <c r="I1061" s="780"/>
      <c r="J1061" s="780"/>
      <c r="K1061" s="780"/>
      <c r="L1061" s="780"/>
      <c r="M1061" s="780"/>
      <c r="N1061" s="780"/>
      <c r="O1061" s="780"/>
      <c r="P1061" s="780"/>
      <c r="Q1061" s="780"/>
      <c r="R1061" s="780"/>
      <c r="S1061" s="780"/>
      <c r="T1061" s="780"/>
      <c r="U1061" s="780"/>
      <c r="V1061" s="533" t="e">
        <f>SUM(C1061:U1061)-#REF!</f>
        <v>#REF!</v>
      </c>
    </row>
    <row r="1062" spans="1:22" ht="18" customHeight="1" hidden="1">
      <c r="A1062" s="825" t="s">
        <v>381</v>
      </c>
      <c r="B1062" s="840" t="s">
        <v>613</v>
      </c>
      <c r="C1062" s="780"/>
      <c r="D1062" s="780"/>
      <c r="E1062" s="780"/>
      <c r="F1062" s="780"/>
      <c r="G1062" s="780"/>
      <c r="H1062" s="780"/>
      <c r="I1062" s="780"/>
      <c r="J1062" s="780"/>
      <c r="K1062" s="780"/>
      <c r="L1062" s="780"/>
      <c r="M1062" s="780"/>
      <c r="N1062" s="780"/>
      <c r="O1062" s="780"/>
      <c r="P1062" s="780"/>
      <c r="Q1062" s="780"/>
      <c r="R1062" s="780"/>
      <c r="S1062" s="780"/>
      <c r="T1062" s="780"/>
      <c r="U1062" s="780"/>
      <c r="V1062" s="533" t="e">
        <f>SUM(C1062:U1062)-#REF!</f>
        <v>#REF!</v>
      </c>
    </row>
    <row r="1063" spans="1:22" ht="18" customHeight="1" hidden="1">
      <c r="A1063" s="825" t="s">
        <v>382</v>
      </c>
      <c r="B1063" s="840" t="s">
        <v>614</v>
      </c>
      <c r="C1063" s="780"/>
      <c r="D1063" s="780"/>
      <c r="E1063" s="780"/>
      <c r="F1063" s="780"/>
      <c r="G1063" s="780"/>
      <c r="H1063" s="780"/>
      <c r="I1063" s="780"/>
      <c r="J1063" s="780"/>
      <c r="K1063" s="780"/>
      <c r="L1063" s="780"/>
      <c r="M1063" s="780"/>
      <c r="N1063" s="780"/>
      <c r="O1063" s="780"/>
      <c r="P1063" s="780"/>
      <c r="Q1063" s="780"/>
      <c r="R1063" s="780"/>
      <c r="S1063" s="780"/>
      <c r="T1063" s="780"/>
      <c r="U1063" s="780"/>
      <c r="V1063" s="533" t="e">
        <f>SUM(C1063:U1063)-#REF!</f>
        <v>#REF!</v>
      </c>
    </row>
    <row r="1064" spans="1:22" ht="18" customHeight="1" hidden="1">
      <c r="A1064" s="825" t="s">
        <v>383</v>
      </c>
      <c r="B1064" s="840" t="s">
        <v>618</v>
      </c>
      <c r="C1064" s="780"/>
      <c r="D1064" s="780"/>
      <c r="E1064" s="780"/>
      <c r="F1064" s="780"/>
      <c r="G1064" s="780"/>
      <c r="H1064" s="780"/>
      <c r="I1064" s="780"/>
      <c r="J1064" s="780"/>
      <c r="K1064" s="780"/>
      <c r="L1064" s="780"/>
      <c r="M1064" s="780"/>
      <c r="N1064" s="780"/>
      <c r="O1064" s="780"/>
      <c r="P1064" s="780"/>
      <c r="Q1064" s="780"/>
      <c r="R1064" s="780"/>
      <c r="S1064" s="780"/>
      <c r="T1064" s="780"/>
      <c r="U1064" s="780"/>
      <c r="V1064" s="533" t="e">
        <f>SUM(C1064:U1064)-#REF!</f>
        <v>#REF!</v>
      </c>
    </row>
    <row r="1065" spans="1:22" ht="18" customHeight="1" hidden="1">
      <c r="A1065" s="825" t="s">
        <v>384</v>
      </c>
      <c r="B1065" s="840" t="s">
        <v>648</v>
      </c>
      <c r="C1065" s="780"/>
      <c r="D1065" s="780"/>
      <c r="E1065" s="780"/>
      <c r="F1065" s="780"/>
      <c r="G1065" s="780"/>
      <c r="H1065" s="780"/>
      <c r="I1065" s="780"/>
      <c r="J1065" s="780"/>
      <c r="K1065" s="780"/>
      <c r="L1065" s="780"/>
      <c r="M1065" s="780"/>
      <c r="N1065" s="780"/>
      <c r="O1065" s="780"/>
      <c r="P1065" s="780"/>
      <c r="Q1065" s="780"/>
      <c r="R1065" s="780"/>
      <c r="S1065" s="780"/>
      <c r="T1065" s="780"/>
      <c r="U1065" s="780"/>
      <c r="V1065" s="533" t="e">
        <f>SUM(C1065:U1065)-#REF!</f>
        <v>#REF!</v>
      </c>
    </row>
    <row r="1066" spans="1:22" ht="18" customHeight="1" hidden="1">
      <c r="A1066" s="825" t="s">
        <v>385</v>
      </c>
      <c r="B1066" s="840" t="s">
        <v>650</v>
      </c>
      <c r="C1066" s="780"/>
      <c r="D1066" s="780"/>
      <c r="E1066" s="780"/>
      <c r="F1066" s="780"/>
      <c r="G1066" s="780"/>
      <c r="H1066" s="780"/>
      <c r="I1066" s="780"/>
      <c r="J1066" s="780"/>
      <c r="K1066" s="780"/>
      <c r="L1066" s="780"/>
      <c r="M1066" s="780"/>
      <c r="N1066" s="780"/>
      <c r="O1066" s="780"/>
      <c r="P1066" s="780"/>
      <c r="Q1066" s="780"/>
      <c r="R1066" s="780"/>
      <c r="S1066" s="780"/>
      <c r="T1066" s="780"/>
      <c r="U1066" s="780"/>
      <c r="V1066" s="533" t="e">
        <f>SUM(C1066:U1066)-#REF!</f>
        <v>#REF!</v>
      </c>
    </row>
    <row r="1067" spans="1:22" ht="18" customHeight="1" hidden="1">
      <c r="A1067" s="825" t="s">
        <v>386</v>
      </c>
      <c r="B1067" s="840" t="s">
        <v>651</v>
      </c>
      <c r="C1067" s="780"/>
      <c r="D1067" s="780"/>
      <c r="E1067" s="780"/>
      <c r="F1067" s="780"/>
      <c r="G1067" s="780"/>
      <c r="H1067" s="780"/>
      <c r="I1067" s="780"/>
      <c r="J1067" s="780"/>
      <c r="K1067" s="780"/>
      <c r="L1067" s="780"/>
      <c r="M1067" s="780"/>
      <c r="N1067" s="780"/>
      <c r="O1067" s="780"/>
      <c r="P1067" s="780"/>
      <c r="Q1067" s="780"/>
      <c r="R1067" s="780"/>
      <c r="S1067" s="780"/>
      <c r="T1067" s="780"/>
      <c r="U1067" s="780"/>
      <c r="V1067" s="533" t="e">
        <f>SUM(C1067:U1067)-#REF!</f>
        <v>#REF!</v>
      </c>
    </row>
    <row r="1068" spans="1:22" ht="18" customHeight="1" hidden="1">
      <c r="A1068" s="825" t="s">
        <v>387</v>
      </c>
      <c r="B1068" s="840" t="s">
        <v>652</v>
      </c>
      <c r="C1068" s="780"/>
      <c r="D1068" s="780"/>
      <c r="E1068" s="780"/>
      <c r="F1068" s="780"/>
      <c r="G1068" s="780"/>
      <c r="H1068" s="780"/>
      <c r="I1068" s="780"/>
      <c r="J1068" s="780"/>
      <c r="K1068" s="780"/>
      <c r="L1068" s="780"/>
      <c r="M1068" s="780"/>
      <c r="N1068" s="780"/>
      <c r="O1068" s="780"/>
      <c r="P1068" s="780"/>
      <c r="Q1068" s="780"/>
      <c r="R1068" s="780"/>
      <c r="S1068" s="780"/>
      <c r="T1068" s="780"/>
      <c r="U1068" s="780"/>
      <c r="V1068" s="533" t="e">
        <f>SUM(C1068:U1068)-#REF!</f>
        <v>#REF!</v>
      </c>
    </row>
    <row r="1069" spans="1:22" ht="18" customHeight="1" hidden="1">
      <c r="A1069" s="825" t="s">
        <v>388</v>
      </c>
      <c r="B1069" s="840" t="s">
        <v>653</v>
      </c>
      <c r="C1069" s="780"/>
      <c r="D1069" s="780"/>
      <c r="E1069" s="780"/>
      <c r="F1069" s="780"/>
      <c r="G1069" s="780"/>
      <c r="H1069" s="780"/>
      <c r="I1069" s="780"/>
      <c r="J1069" s="780"/>
      <c r="K1069" s="780"/>
      <c r="L1069" s="780"/>
      <c r="M1069" s="780"/>
      <c r="N1069" s="780"/>
      <c r="O1069" s="780"/>
      <c r="P1069" s="780"/>
      <c r="Q1069" s="780"/>
      <c r="R1069" s="780"/>
      <c r="S1069" s="780"/>
      <c r="T1069" s="780"/>
      <c r="U1069" s="780"/>
      <c r="V1069" s="533" t="e">
        <f>SUM(C1069:U1069)-#REF!</f>
        <v>#REF!</v>
      </c>
    </row>
    <row r="1070" spans="1:22" ht="18" customHeight="1" hidden="1">
      <c r="A1070" s="825" t="s">
        <v>389</v>
      </c>
      <c r="B1070" s="840" t="s">
        <v>654</v>
      </c>
      <c r="C1070" s="780"/>
      <c r="D1070" s="780"/>
      <c r="E1070" s="780"/>
      <c r="F1070" s="780"/>
      <c r="G1070" s="780"/>
      <c r="H1070" s="780"/>
      <c r="I1070" s="780"/>
      <c r="J1070" s="780"/>
      <c r="K1070" s="780"/>
      <c r="L1070" s="780"/>
      <c r="M1070" s="780"/>
      <c r="N1070" s="780"/>
      <c r="O1070" s="780"/>
      <c r="P1070" s="780"/>
      <c r="Q1070" s="780"/>
      <c r="R1070" s="780"/>
      <c r="S1070" s="780"/>
      <c r="T1070" s="780"/>
      <c r="U1070" s="780"/>
      <c r="V1070" s="533" t="e">
        <f>SUM(C1070:U1070)-#REF!</f>
        <v>#REF!</v>
      </c>
    </row>
    <row r="1071" spans="1:22" ht="18" customHeight="1" hidden="1">
      <c r="A1071" s="825" t="s">
        <v>390</v>
      </c>
      <c r="B1071" s="840" t="s">
        <v>655</v>
      </c>
      <c r="C1071" s="780"/>
      <c r="D1071" s="780"/>
      <c r="E1071" s="780"/>
      <c r="F1071" s="780"/>
      <c r="G1071" s="780"/>
      <c r="H1071" s="780"/>
      <c r="I1071" s="780"/>
      <c r="J1071" s="780"/>
      <c r="K1071" s="780"/>
      <c r="L1071" s="780"/>
      <c r="M1071" s="780"/>
      <c r="N1071" s="780"/>
      <c r="O1071" s="780"/>
      <c r="P1071" s="780"/>
      <c r="Q1071" s="780"/>
      <c r="R1071" s="780"/>
      <c r="S1071" s="780"/>
      <c r="T1071" s="780"/>
      <c r="U1071" s="780"/>
      <c r="V1071" s="533" t="e">
        <f>SUM(C1071:U1071)-#REF!</f>
        <v>#REF!</v>
      </c>
    </row>
    <row r="1072" spans="1:22" ht="18" customHeight="1" hidden="1" thickTop="1">
      <c r="A1072" s="825" t="s">
        <v>391</v>
      </c>
      <c r="B1072" s="840" t="s">
        <v>656</v>
      </c>
      <c r="C1072" s="780"/>
      <c r="D1072" s="780"/>
      <c r="E1072" s="780"/>
      <c r="F1072" s="780"/>
      <c r="G1072" s="780"/>
      <c r="H1072" s="780"/>
      <c r="I1072" s="780"/>
      <c r="J1072" s="780"/>
      <c r="K1072" s="780"/>
      <c r="L1072" s="780"/>
      <c r="M1072" s="780"/>
      <c r="N1072" s="780"/>
      <c r="O1072" s="780"/>
      <c r="P1072" s="780"/>
      <c r="Q1072" s="780"/>
      <c r="R1072" s="780"/>
      <c r="S1072" s="780"/>
      <c r="T1072" s="780"/>
      <c r="U1072" s="780"/>
      <c r="V1072" s="533" t="e">
        <f>SUM(C1072:U1072)-#REF!</f>
        <v>#REF!</v>
      </c>
    </row>
    <row r="1073" spans="1:22" ht="18" customHeight="1" hidden="1">
      <c r="A1073" s="825" t="s">
        <v>392</v>
      </c>
      <c r="B1073" s="840" t="s">
        <v>657</v>
      </c>
      <c r="C1073" s="780"/>
      <c r="D1073" s="780"/>
      <c r="E1073" s="780"/>
      <c r="F1073" s="780"/>
      <c r="G1073" s="780"/>
      <c r="H1073" s="780"/>
      <c r="I1073" s="780"/>
      <c r="J1073" s="780"/>
      <c r="K1073" s="780"/>
      <c r="L1073" s="780"/>
      <c r="M1073" s="780"/>
      <c r="N1073" s="780"/>
      <c r="O1073" s="780"/>
      <c r="P1073" s="780"/>
      <c r="Q1073" s="780"/>
      <c r="R1073" s="780"/>
      <c r="S1073" s="780"/>
      <c r="T1073" s="780"/>
      <c r="U1073" s="780"/>
      <c r="V1073" s="533" t="e">
        <f>SUM(C1073:U1073)-#REF!</f>
        <v>#REF!</v>
      </c>
    </row>
    <row r="1074" spans="1:22" ht="18" customHeight="1" hidden="1">
      <c r="A1074" s="825" t="s">
        <v>393</v>
      </c>
      <c r="B1074" s="840" t="s">
        <v>658</v>
      </c>
      <c r="C1074" s="780"/>
      <c r="D1074" s="780"/>
      <c r="E1074" s="780"/>
      <c r="F1074" s="780"/>
      <c r="G1074" s="780"/>
      <c r="H1074" s="780"/>
      <c r="I1074" s="780"/>
      <c r="J1074" s="780"/>
      <c r="K1074" s="780"/>
      <c r="L1074" s="780"/>
      <c r="M1074" s="780"/>
      <c r="N1074" s="780"/>
      <c r="O1074" s="780"/>
      <c r="P1074" s="780"/>
      <c r="Q1074" s="780"/>
      <c r="R1074" s="780"/>
      <c r="S1074" s="780"/>
      <c r="T1074" s="780"/>
      <c r="U1074" s="780"/>
      <c r="V1074" s="533" t="e">
        <f>SUM(C1074:U1074)-#REF!</f>
        <v>#REF!</v>
      </c>
    </row>
    <row r="1075" spans="1:22" ht="18" customHeight="1" hidden="1">
      <c r="A1075" s="825" t="s">
        <v>394</v>
      </c>
      <c r="B1075" s="840" t="s">
        <v>660</v>
      </c>
      <c r="C1075" s="780"/>
      <c r="D1075" s="780"/>
      <c r="E1075" s="780"/>
      <c r="F1075" s="780"/>
      <c r="G1075" s="780"/>
      <c r="H1075" s="780"/>
      <c r="I1075" s="780"/>
      <c r="J1075" s="780"/>
      <c r="K1075" s="780"/>
      <c r="L1075" s="780"/>
      <c r="M1075" s="780"/>
      <c r="N1075" s="780"/>
      <c r="O1075" s="780"/>
      <c r="P1075" s="780"/>
      <c r="Q1075" s="780"/>
      <c r="R1075" s="780"/>
      <c r="S1075" s="780"/>
      <c r="T1075" s="780"/>
      <c r="U1075" s="780"/>
      <c r="V1075" s="533" t="e">
        <f>SUM(C1075:U1075)-#REF!</f>
        <v>#REF!</v>
      </c>
    </row>
    <row r="1076" spans="1:22" ht="18" customHeight="1" hidden="1">
      <c r="A1076" s="825" t="s">
        <v>395</v>
      </c>
      <c r="B1076" s="840" t="s">
        <v>669</v>
      </c>
      <c r="C1076" s="780"/>
      <c r="D1076" s="780"/>
      <c r="E1076" s="780"/>
      <c r="F1076" s="780"/>
      <c r="G1076" s="780"/>
      <c r="H1076" s="780"/>
      <c r="I1076" s="780"/>
      <c r="J1076" s="780"/>
      <c r="K1076" s="780"/>
      <c r="L1076" s="780"/>
      <c r="M1076" s="780"/>
      <c r="N1076" s="780"/>
      <c r="O1076" s="780"/>
      <c r="P1076" s="780"/>
      <c r="Q1076" s="780"/>
      <c r="R1076" s="780"/>
      <c r="S1076" s="780"/>
      <c r="T1076" s="780"/>
      <c r="U1076" s="780"/>
      <c r="V1076" s="533" t="e">
        <f>SUM(C1076:U1076)-#REF!</f>
        <v>#REF!</v>
      </c>
    </row>
    <row r="1077" spans="1:22" ht="18" customHeight="1" hidden="1">
      <c r="A1077" s="825" t="s">
        <v>396</v>
      </c>
      <c r="B1077" s="840" t="s">
        <v>670</v>
      </c>
      <c r="C1077" s="780"/>
      <c r="D1077" s="780"/>
      <c r="E1077" s="780"/>
      <c r="F1077" s="780"/>
      <c r="G1077" s="780"/>
      <c r="H1077" s="780"/>
      <c r="I1077" s="780"/>
      <c r="J1077" s="780"/>
      <c r="K1077" s="780"/>
      <c r="L1077" s="780"/>
      <c r="M1077" s="780"/>
      <c r="N1077" s="780"/>
      <c r="O1077" s="780"/>
      <c r="P1077" s="780"/>
      <c r="Q1077" s="780"/>
      <c r="R1077" s="780"/>
      <c r="S1077" s="780"/>
      <c r="T1077" s="780"/>
      <c r="U1077" s="780"/>
      <c r="V1077" s="533" t="e">
        <f>SUM(C1077:U1077)-#REF!</f>
        <v>#REF!</v>
      </c>
    </row>
    <row r="1078" spans="1:22" ht="18" customHeight="1" hidden="1">
      <c r="A1078" s="825" t="s">
        <v>397</v>
      </c>
      <c r="B1078" s="840" t="s">
        <v>671</v>
      </c>
      <c r="C1078" s="780"/>
      <c r="D1078" s="780"/>
      <c r="E1078" s="780"/>
      <c r="F1078" s="780"/>
      <c r="G1078" s="780"/>
      <c r="H1078" s="780"/>
      <c r="I1078" s="780"/>
      <c r="J1078" s="780"/>
      <c r="K1078" s="780"/>
      <c r="L1078" s="780"/>
      <c r="M1078" s="780"/>
      <c r="N1078" s="780"/>
      <c r="O1078" s="780"/>
      <c r="P1078" s="780"/>
      <c r="Q1078" s="780"/>
      <c r="R1078" s="780"/>
      <c r="S1078" s="780"/>
      <c r="T1078" s="780"/>
      <c r="U1078" s="780"/>
      <c r="V1078" s="533" t="e">
        <f>SUM(C1078:U1078)-#REF!</f>
        <v>#REF!</v>
      </c>
    </row>
    <row r="1079" spans="1:22" ht="18" customHeight="1" hidden="1">
      <c r="A1079" s="825" t="s">
        <v>398</v>
      </c>
      <c r="B1079" s="840" t="s">
        <v>672</v>
      </c>
      <c r="C1079" s="780"/>
      <c r="D1079" s="780"/>
      <c r="E1079" s="780"/>
      <c r="F1079" s="780"/>
      <c r="G1079" s="780"/>
      <c r="H1079" s="780"/>
      <c r="I1079" s="780"/>
      <c r="J1079" s="780"/>
      <c r="K1079" s="780"/>
      <c r="L1079" s="780"/>
      <c r="M1079" s="780"/>
      <c r="N1079" s="780"/>
      <c r="O1079" s="780"/>
      <c r="P1079" s="780"/>
      <c r="Q1079" s="780"/>
      <c r="R1079" s="780"/>
      <c r="S1079" s="780"/>
      <c r="T1079" s="780"/>
      <c r="U1079" s="780"/>
      <c r="V1079" s="533" t="e">
        <f>SUM(C1079:U1079)-#REF!</f>
        <v>#REF!</v>
      </c>
    </row>
    <row r="1080" spans="1:22" ht="18" customHeight="1" hidden="1">
      <c r="A1080" s="825" t="s">
        <v>399</v>
      </c>
      <c r="B1080" s="840" t="s">
        <v>673</v>
      </c>
      <c r="C1080" s="780"/>
      <c r="D1080" s="780"/>
      <c r="E1080" s="780"/>
      <c r="F1080" s="780"/>
      <c r="G1080" s="780"/>
      <c r="H1080" s="780"/>
      <c r="I1080" s="780"/>
      <c r="J1080" s="780"/>
      <c r="K1080" s="780"/>
      <c r="L1080" s="780"/>
      <c r="M1080" s="780"/>
      <c r="N1080" s="780"/>
      <c r="O1080" s="780"/>
      <c r="P1080" s="780"/>
      <c r="Q1080" s="780"/>
      <c r="R1080" s="780"/>
      <c r="S1080" s="780"/>
      <c r="T1080" s="780"/>
      <c r="U1080" s="780"/>
      <c r="V1080" s="533" t="e">
        <f>SUM(C1080:U1080)-#REF!</f>
        <v>#REF!</v>
      </c>
    </row>
    <row r="1081" spans="1:22" ht="18" customHeight="1" hidden="1">
      <c r="A1081" s="825" t="s">
        <v>400</v>
      </c>
      <c r="B1081" s="840" t="s">
        <v>675</v>
      </c>
      <c r="C1081" s="780"/>
      <c r="D1081" s="780"/>
      <c r="E1081" s="780"/>
      <c r="F1081" s="780"/>
      <c r="G1081" s="780"/>
      <c r="H1081" s="780"/>
      <c r="I1081" s="780"/>
      <c r="J1081" s="780"/>
      <c r="K1081" s="780"/>
      <c r="L1081" s="780"/>
      <c r="M1081" s="780"/>
      <c r="N1081" s="780"/>
      <c r="O1081" s="780"/>
      <c r="P1081" s="780"/>
      <c r="Q1081" s="780"/>
      <c r="R1081" s="780"/>
      <c r="S1081" s="780"/>
      <c r="T1081" s="780"/>
      <c r="U1081" s="780"/>
      <c r="V1081" s="533" t="e">
        <f>SUM(C1081:U1081)-#REF!</f>
        <v>#REF!</v>
      </c>
    </row>
    <row r="1082" spans="1:22" ht="18" customHeight="1" hidden="1">
      <c r="A1082" s="825" t="s">
        <v>401</v>
      </c>
      <c r="B1082" s="840" t="s">
        <v>677</v>
      </c>
      <c r="C1082" s="780"/>
      <c r="D1082" s="780"/>
      <c r="E1082" s="780"/>
      <c r="F1082" s="780"/>
      <c r="G1082" s="780"/>
      <c r="H1082" s="780"/>
      <c r="I1082" s="780"/>
      <c r="J1082" s="780"/>
      <c r="K1082" s="780"/>
      <c r="L1082" s="780"/>
      <c r="M1082" s="780"/>
      <c r="N1082" s="780"/>
      <c r="O1082" s="780"/>
      <c r="P1082" s="780"/>
      <c r="Q1082" s="780"/>
      <c r="R1082" s="780"/>
      <c r="S1082" s="780"/>
      <c r="T1082" s="780"/>
      <c r="U1082" s="780"/>
      <c r="V1082" s="533" t="e">
        <f>SUM(C1082:U1082)-#REF!</f>
        <v>#REF!</v>
      </c>
    </row>
    <row r="1083" spans="1:22" ht="18" customHeight="1" hidden="1">
      <c r="A1083" s="825" t="s">
        <v>402</v>
      </c>
      <c r="B1083" s="840" t="s">
        <v>678</v>
      </c>
      <c r="C1083" s="780"/>
      <c r="D1083" s="780"/>
      <c r="E1083" s="780"/>
      <c r="F1083" s="780"/>
      <c r="G1083" s="780"/>
      <c r="H1083" s="780"/>
      <c r="I1083" s="780"/>
      <c r="J1083" s="780"/>
      <c r="K1083" s="780"/>
      <c r="L1083" s="780"/>
      <c r="M1083" s="780"/>
      <c r="N1083" s="780"/>
      <c r="O1083" s="780"/>
      <c r="P1083" s="780"/>
      <c r="Q1083" s="780"/>
      <c r="R1083" s="780"/>
      <c r="S1083" s="780"/>
      <c r="T1083" s="780"/>
      <c r="U1083" s="780"/>
      <c r="V1083" s="533" t="e">
        <f>SUM(C1083:U1083)-#REF!</f>
        <v>#REF!</v>
      </c>
    </row>
    <row r="1084" spans="1:22" ht="18" customHeight="1" hidden="1">
      <c r="A1084" s="825" t="s">
        <v>403</v>
      </c>
      <c r="B1084" s="840" t="s">
        <v>679</v>
      </c>
      <c r="C1084" s="780"/>
      <c r="D1084" s="780"/>
      <c r="E1084" s="780"/>
      <c r="F1084" s="780"/>
      <c r="G1084" s="780"/>
      <c r="H1084" s="780"/>
      <c r="I1084" s="780"/>
      <c r="J1084" s="780"/>
      <c r="K1084" s="780"/>
      <c r="L1084" s="780"/>
      <c r="M1084" s="780"/>
      <c r="N1084" s="780"/>
      <c r="O1084" s="780"/>
      <c r="P1084" s="780"/>
      <c r="Q1084" s="780"/>
      <c r="R1084" s="780"/>
      <c r="S1084" s="780"/>
      <c r="T1084" s="780"/>
      <c r="U1084" s="780"/>
      <c r="V1084" s="533" t="e">
        <f>SUM(C1084:U1084)-#REF!</f>
        <v>#REF!</v>
      </c>
    </row>
    <row r="1085" spans="1:22" ht="18" customHeight="1" hidden="1">
      <c r="A1085" s="825" t="s">
        <v>404</v>
      </c>
      <c r="B1085" s="840" t="s">
        <v>680</v>
      </c>
      <c r="C1085" s="780"/>
      <c r="D1085" s="780"/>
      <c r="E1085" s="780"/>
      <c r="F1085" s="780"/>
      <c r="G1085" s="780"/>
      <c r="H1085" s="780"/>
      <c r="I1085" s="780"/>
      <c r="J1085" s="780"/>
      <c r="K1085" s="780"/>
      <c r="L1085" s="780"/>
      <c r="M1085" s="780"/>
      <c r="N1085" s="780"/>
      <c r="O1085" s="780"/>
      <c r="P1085" s="780"/>
      <c r="Q1085" s="780"/>
      <c r="R1085" s="780"/>
      <c r="S1085" s="780"/>
      <c r="T1085" s="780"/>
      <c r="U1085" s="780"/>
      <c r="V1085" s="533" t="e">
        <f>SUM(C1085:U1085)-#REF!</f>
        <v>#REF!</v>
      </c>
    </row>
    <row r="1086" spans="1:22" ht="18" customHeight="1" hidden="1">
      <c r="A1086" s="825" t="s">
        <v>405</v>
      </c>
      <c r="B1086" s="840" t="s">
        <v>1112</v>
      </c>
      <c r="C1086" s="780"/>
      <c r="D1086" s="780"/>
      <c r="E1086" s="780"/>
      <c r="F1086" s="780"/>
      <c r="G1086" s="780"/>
      <c r="H1086" s="780"/>
      <c r="I1086" s="780"/>
      <c r="J1086" s="780"/>
      <c r="K1086" s="780"/>
      <c r="L1086" s="780"/>
      <c r="M1086" s="780"/>
      <c r="N1086" s="780"/>
      <c r="O1086" s="780"/>
      <c r="P1086" s="780"/>
      <c r="Q1086" s="780"/>
      <c r="R1086" s="780"/>
      <c r="S1086" s="780"/>
      <c r="T1086" s="780"/>
      <c r="U1086" s="780"/>
      <c r="V1086" s="533" t="e">
        <f>SUM(C1086:U1086)-#REF!</f>
        <v>#REF!</v>
      </c>
    </row>
    <row r="1087" spans="1:22" ht="18" customHeight="1" hidden="1">
      <c r="A1087" s="825" t="s">
        <v>406</v>
      </c>
      <c r="B1087" s="840" t="s">
        <v>710</v>
      </c>
      <c r="C1087" s="780"/>
      <c r="D1087" s="780"/>
      <c r="E1087" s="780"/>
      <c r="F1087" s="780"/>
      <c r="G1087" s="780"/>
      <c r="H1087" s="780"/>
      <c r="I1087" s="780"/>
      <c r="J1087" s="780"/>
      <c r="K1087" s="780"/>
      <c r="L1087" s="780"/>
      <c r="M1087" s="780"/>
      <c r="N1087" s="780"/>
      <c r="O1087" s="780"/>
      <c r="P1087" s="780"/>
      <c r="Q1087" s="780"/>
      <c r="R1087" s="780"/>
      <c r="S1087" s="780"/>
      <c r="T1087" s="780"/>
      <c r="U1087" s="780"/>
      <c r="V1087" s="533" t="e">
        <f>SUM(C1087:U1087)-#REF!</f>
        <v>#REF!</v>
      </c>
    </row>
    <row r="1088" spans="1:22" ht="18" customHeight="1" hidden="1">
      <c r="A1088" s="825" t="s">
        <v>407</v>
      </c>
      <c r="B1088" s="840" t="s">
        <v>711</v>
      </c>
      <c r="C1088" s="780"/>
      <c r="D1088" s="780"/>
      <c r="E1088" s="780"/>
      <c r="F1088" s="780"/>
      <c r="G1088" s="780"/>
      <c r="H1088" s="780"/>
      <c r="I1088" s="780"/>
      <c r="J1088" s="780"/>
      <c r="K1088" s="780"/>
      <c r="L1088" s="780"/>
      <c r="M1088" s="780"/>
      <c r="N1088" s="780"/>
      <c r="O1088" s="780"/>
      <c r="P1088" s="780"/>
      <c r="Q1088" s="780"/>
      <c r="R1088" s="780"/>
      <c r="S1088" s="780"/>
      <c r="T1088" s="780"/>
      <c r="U1088" s="780"/>
      <c r="V1088" s="533" t="e">
        <f>SUM(C1088:U1088)-#REF!</f>
        <v>#REF!</v>
      </c>
    </row>
    <row r="1089" spans="1:22" ht="18" customHeight="1" hidden="1">
      <c r="A1089" s="825" t="s">
        <v>408</v>
      </c>
      <c r="B1089" s="840" t="s">
        <v>713</v>
      </c>
      <c r="C1089" s="780"/>
      <c r="D1089" s="780"/>
      <c r="E1089" s="780"/>
      <c r="F1089" s="780"/>
      <c r="G1089" s="780"/>
      <c r="H1089" s="780"/>
      <c r="I1089" s="780"/>
      <c r="J1089" s="780"/>
      <c r="K1089" s="780"/>
      <c r="L1089" s="780"/>
      <c r="M1089" s="780"/>
      <c r="N1089" s="780"/>
      <c r="O1089" s="780"/>
      <c r="P1089" s="780"/>
      <c r="Q1089" s="780"/>
      <c r="R1089" s="780"/>
      <c r="S1089" s="780"/>
      <c r="T1089" s="780"/>
      <c r="U1089" s="780"/>
      <c r="V1089" s="533" t="e">
        <f>SUM(C1089:U1089)-#REF!</f>
        <v>#REF!</v>
      </c>
    </row>
    <row r="1090" spans="1:22" ht="18" customHeight="1" hidden="1">
      <c r="A1090" s="825" t="s">
        <v>409</v>
      </c>
      <c r="B1090" s="840" t="s">
        <v>715</v>
      </c>
      <c r="C1090" s="780"/>
      <c r="D1090" s="780"/>
      <c r="E1090" s="780"/>
      <c r="F1090" s="780"/>
      <c r="G1090" s="780"/>
      <c r="H1090" s="780"/>
      <c r="I1090" s="780"/>
      <c r="J1090" s="780"/>
      <c r="K1090" s="780"/>
      <c r="L1090" s="780"/>
      <c r="M1090" s="780"/>
      <c r="N1090" s="780"/>
      <c r="O1090" s="780"/>
      <c r="P1090" s="780"/>
      <c r="Q1090" s="780"/>
      <c r="R1090" s="780"/>
      <c r="S1090" s="780"/>
      <c r="T1090" s="780"/>
      <c r="U1090" s="780"/>
      <c r="V1090" s="533" t="e">
        <f>SUM(C1090:U1090)-#REF!</f>
        <v>#REF!</v>
      </c>
    </row>
    <row r="1091" spans="1:22" ht="18" customHeight="1" hidden="1">
      <c r="A1091" s="825" t="s">
        <v>410</v>
      </c>
      <c r="B1091" s="840" t="s">
        <v>717</v>
      </c>
      <c r="C1091" s="780"/>
      <c r="D1091" s="780"/>
      <c r="E1091" s="780"/>
      <c r="F1091" s="780"/>
      <c r="G1091" s="780"/>
      <c r="H1091" s="780"/>
      <c r="I1091" s="780"/>
      <c r="J1091" s="780"/>
      <c r="K1091" s="780"/>
      <c r="L1091" s="780"/>
      <c r="M1091" s="780"/>
      <c r="N1091" s="780"/>
      <c r="O1091" s="780"/>
      <c r="P1091" s="780"/>
      <c r="Q1091" s="780"/>
      <c r="R1091" s="780"/>
      <c r="S1091" s="780"/>
      <c r="T1091" s="780"/>
      <c r="U1091" s="780"/>
      <c r="V1091" s="533" t="e">
        <f>SUM(C1091:U1091)-#REF!</f>
        <v>#REF!</v>
      </c>
    </row>
    <row r="1092" spans="1:22" ht="18" customHeight="1" hidden="1">
      <c r="A1092" s="825" t="s">
        <v>411</v>
      </c>
      <c r="B1092" s="840" t="s">
        <v>718</v>
      </c>
      <c r="C1092" s="780"/>
      <c r="D1092" s="780"/>
      <c r="E1092" s="780"/>
      <c r="F1092" s="780"/>
      <c r="G1092" s="780"/>
      <c r="H1092" s="780"/>
      <c r="I1092" s="780"/>
      <c r="J1092" s="780"/>
      <c r="K1092" s="780"/>
      <c r="L1092" s="780"/>
      <c r="M1092" s="780"/>
      <c r="N1092" s="780"/>
      <c r="O1092" s="780"/>
      <c r="P1092" s="780"/>
      <c r="Q1092" s="780"/>
      <c r="R1092" s="780"/>
      <c r="S1092" s="780"/>
      <c r="T1092" s="780"/>
      <c r="U1092" s="780"/>
      <c r="V1092" s="533" t="e">
        <f>SUM(C1092:U1092)-#REF!</f>
        <v>#REF!</v>
      </c>
    </row>
    <row r="1093" spans="1:22" ht="18" customHeight="1" hidden="1">
      <c r="A1093" s="825" t="s">
        <v>412</v>
      </c>
      <c r="B1093" s="840" t="s">
        <v>720</v>
      </c>
      <c r="C1093" s="780"/>
      <c r="D1093" s="780"/>
      <c r="E1093" s="780"/>
      <c r="F1093" s="780"/>
      <c r="G1093" s="780"/>
      <c r="H1093" s="780"/>
      <c r="I1093" s="780"/>
      <c r="J1093" s="780"/>
      <c r="K1093" s="780"/>
      <c r="L1093" s="780"/>
      <c r="M1093" s="780"/>
      <c r="N1093" s="780"/>
      <c r="O1093" s="780"/>
      <c r="P1093" s="780"/>
      <c r="Q1093" s="780"/>
      <c r="R1093" s="780"/>
      <c r="S1093" s="780"/>
      <c r="T1093" s="780"/>
      <c r="U1093" s="780"/>
      <c r="V1093" s="533" t="e">
        <f>SUM(C1093:U1093)-#REF!</f>
        <v>#REF!</v>
      </c>
    </row>
    <row r="1094" spans="1:22" ht="18" customHeight="1" hidden="1">
      <c r="A1094" s="825" t="s">
        <v>413</v>
      </c>
      <c r="B1094" s="840" t="s">
        <v>721</v>
      </c>
      <c r="C1094" s="780"/>
      <c r="D1094" s="780"/>
      <c r="E1094" s="780"/>
      <c r="F1094" s="780"/>
      <c r="G1094" s="780"/>
      <c r="H1094" s="780"/>
      <c r="I1094" s="780"/>
      <c r="J1094" s="780"/>
      <c r="K1094" s="780"/>
      <c r="L1094" s="780"/>
      <c r="M1094" s="780"/>
      <c r="N1094" s="780"/>
      <c r="O1094" s="780"/>
      <c r="P1094" s="780"/>
      <c r="Q1094" s="780"/>
      <c r="R1094" s="780"/>
      <c r="S1094" s="780"/>
      <c r="T1094" s="780"/>
      <c r="U1094" s="780"/>
      <c r="V1094" s="533" t="e">
        <f>SUM(C1094:U1094)-#REF!</f>
        <v>#REF!</v>
      </c>
    </row>
    <row r="1095" spans="1:22" ht="18" customHeight="1" hidden="1">
      <c r="A1095" s="825" t="s">
        <v>414</v>
      </c>
      <c r="B1095" s="840" t="s">
        <v>722</v>
      </c>
      <c r="C1095" s="780"/>
      <c r="D1095" s="780"/>
      <c r="E1095" s="780"/>
      <c r="F1095" s="780"/>
      <c r="G1095" s="780"/>
      <c r="H1095" s="780"/>
      <c r="I1095" s="780"/>
      <c r="J1095" s="780"/>
      <c r="K1095" s="780"/>
      <c r="L1095" s="780"/>
      <c r="M1095" s="780"/>
      <c r="N1095" s="780"/>
      <c r="O1095" s="780"/>
      <c r="P1095" s="780"/>
      <c r="Q1095" s="780"/>
      <c r="R1095" s="780"/>
      <c r="S1095" s="780"/>
      <c r="T1095" s="780"/>
      <c r="U1095" s="780"/>
      <c r="V1095" s="533" t="e">
        <f>SUM(C1095:U1095)-#REF!</f>
        <v>#REF!</v>
      </c>
    </row>
    <row r="1096" spans="1:22" ht="18" customHeight="1" hidden="1">
      <c r="A1096" s="825"/>
      <c r="B1096" s="840" t="s">
        <v>723</v>
      </c>
      <c r="C1096" s="780"/>
      <c r="D1096" s="780"/>
      <c r="E1096" s="780"/>
      <c r="F1096" s="780"/>
      <c r="G1096" s="780"/>
      <c r="H1096" s="780"/>
      <c r="I1096" s="780"/>
      <c r="J1096" s="780"/>
      <c r="K1096" s="780"/>
      <c r="L1096" s="780"/>
      <c r="M1096" s="780"/>
      <c r="N1096" s="780"/>
      <c r="O1096" s="780"/>
      <c r="P1096" s="780"/>
      <c r="Q1096" s="780"/>
      <c r="R1096" s="780"/>
      <c r="S1096" s="780"/>
      <c r="T1096" s="780"/>
      <c r="U1096" s="780"/>
      <c r="V1096" s="533" t="e">
        <f>SUM(C1096:U1096)-#REF!</f>
        <v>#REF!</v>
      </c>
    </row>
    <row r="1097" spans="1:22" ht="18" customHeight="1" hidden="1">
      <c r="A1097" s="825" t="s">
        <v>415</v>
      </c>
      <c r="B1097" s="840" t="s">
        <v>724</v>
      </c>
      <c r="C1097" s="780"/>
      <c r="D1097" s="780"/>
      <c r="E1097" s="780"/>
      <c r="F1097" s="780"/>
      <c r="G1097" s="780"/>
      <c r="H1097" s="780"/>
      <c r="I1097" s="780"/>
      <c r="J1097" s="780"/>
      <c r="K1097" s="780"/>
      <c r="L1097" s="780"/>
      <c r="M1097" s="780"/>
      <c r="N1097" s="780"/>
      <c r="O1097" s="780"/>
      <c r="P1097" s="780"/>
      <c r="Q1097" s="780"/>
      <c r="R1097" s="780"/>
      <c r="S1097" s="780"/>
      <c r="T1097" s="780"/>
      <c r="U1097" s="780"/>
      <c r="V1097" s="533" t="e">
        <f>SUM(C1097:U1097)-#REF!</f>
        <v>#REF!</v>
      </c>
    </row>
    <row r="1098" spans="1:22" ht="18" customHeight="1" hidden="1">
      <c r="A1098" s="825" t="s">
        <v>416</v>
      </c>
      <c r="B1098" s="840" t="s">
        <v>725</v>
      </c>
      <c r="C1098" s="780"/>
      <c r="D1098" s="780"/>
      <c r="E1098" s="780"/>
      <c r="F1098" s="780"/>
      <c r="G1098" s="780"/>
      <c r="H1098" s="780"/>
      <c r="I1098" s="780"/>
      <c r="J1098" s="780"/>
      <c r="K1098" s="780"/>
      <c r="L1098" s="780"/>
      <c r="M1098" s="780"/>
      <c r="N1098" s="780"/>
      <c r="O1098" s="780"/>
      <c r="P1098" s="780"/>
      <c r="Q1098" s="780"/>
      <c r="R1098" s="780"/>
      <c r="S1098" s="780"/>
      <c r="T1098" s="780"/>
      <c r="U1098" s="780"/>
      <c r="V1098" s="533" t="e">
        <f>SUM(C1098:U1098)-#REF!</f>
        <v>#REF!</v>
      </c>
    </row>
    <row r="1099" spans="1:22" ht="18" customHeight="1" hidden="1">
      <c r="A1099" s="825" t="s">
        <v>417</v>
      </c>
      <c r="B1099" s="840" t="s">
        <v>726</v>
      </c>
      <c r="C1099" s="780"/>
      <c r="D1099" s="780"/>
      <c r="E1099" s="780"/>
      <c r="F1099" s="780"/>
      <c r="G1099" s="780"/>
      <c r="H1099" s="780"/>
      <c r="I1099" s="780"/>
      <c r="J1099" s="780"/>
      <c r="K1099" s="780"/>
      <c r="L1099" s="780"/>
      <c r="M1099" s="780"/>
      <c r="N1099" s="780"/>
      <c r="O1099" s="780"/>
      <c r="P1099" s="780"/>
      <c r="Q1099" s="780"/>
      <c r="R1099" s="780"/>
      <c r="S1099" s="780"/>
      <c r="T1099" s="780"/>
      <c r="U1099" s="780"/>
      <c r="V1099" s="533" t="e">
        <f>SUM(C1099:U1099)-#REF!</f>
        <v>#REF!</v>
      </c>
    </row>
    <row r="1100" spans="1:22" ht="18" customHeight="1" hidden="1">
      <c r="A1100" s="825" t="s">
        <v>418</v>
      </c>
      <c r="B1100" s="840" t="s">
        <v>744</v>
      </c>
      <c r="C1100" s="780"/>
      <c r="D1100" s="780"/>
      <c r="E1100" s="780"/>
      <c r="F1100" s="780"/>
      <c r="G1100" s="780"/>
      <c r="H1100" s="780"/>
      <c r="I1100" s="780"/>
      <c r="J1100" s="780"/>
      <c r="K1100" s="780"/>
      <c r="L1100" s="780"/>
      <c r="M1100" s="780"/>
      <c r="N1100" s="780"/>
      <c r="O1100" s="780"/>
      <c r="P1100" s="780"/>
      <c r="Q1100" s="780"/>
      <c r="R1100" s="780"/>
      <c r="S1100" s="780"/>
      <c r="T1100" s="780"/>
      <c r="U1100" s="780"/>
      <c r="V1100" s="533" t="e">
        <f>SUM(C1100:U1100)-#REF!</f>
        <v>#REF!</v>
      </c>
    </row>
    <row r="1101" spans="1:22" ht="18" customHeight="1" hidden="1">
      <c r="A1101" s="825" t="s">
        <v>419</v>
      </c>
      <c r="B1101" s="840" t="s">
        <v>745</v>
      </c>
      <c r="C1101" s="780"/>
      <c r="D1101" s="780"/>
      <c r="E1101" s="780"/>
      <c r="F1101" s="780"/>
      <c r="G1101" s="780"/>
      <c r="H1101" s="780"/>
      <c r="I1101" s="780"/>
      <c r="J1101" s="780"/>
      <c r="K1101" s="780"/>
      <c r="L1101" s="780"/>
      <c r="M1101" s="780"/>
      <c r="N1101" s="780"/>
      <c r="O1101" s="780"/>
      <c r="P1101" s="780"/>
      <c r="Q1101" s="780"/>
      <c r="R1101" s="780"/>
      <c r="S1101" s="780"/>
      <c r="T1101" s="780"/>
      <c r="U1101" s="780"/>
      <c r="V1101" s="533" t="e">
        <f>SUM(C1101:U1101)-#REF!</f>
        <v>#REF!</v>
      </c>
    </row>
    <row r="1102" spans="1:22" ht="18" customHeight="1" hidden="1">
      <c r="A1102" s="825" t="s">
        <v>420</v>
      </c>
      <c r="B1102" s="840" t="s">
        <v>746</v>
      </c>
      <c r="C1102" s="780"/>
      <c r="D1102" s="780"/>
      <c r="E1102" s="780"/>
      <c r="F1102" s="780"/>
      <c r="G1102" s="780"/>
      <c r="H1102" s="780"/>
      <c r="I1102" s="780"/>
      <c r="J1102" s="780"/>
      <c r="K1102" s="780"/>
      <c r="L1102" s="780"/>
      <c r="M1102" s="780"/>
      <c r="N1102" s="780"/>
      <c r="O1102" s="780"/>
      <c r="P1102" s="780"/>
      <c r="Q1102" s="780"/>
      <c r="R1102" s="780"/>
      <c r="S1102" s="780"/>
      <c r="T1102" s="780"/>
      <c r="U1102" s="780"/>
      <c r="V1102" s="533" t="e">
        <f>SUM(C1102:U1102)-#REF!</f>
        <v>#REF!</v>
      </c>
    </row>
    <row r="1103" spans="1:22" ht="18" customHeight="1" hidden="1">
      <c r="A1103" s="825" t="s">
        <v>421</v>
      </c>
      <c r="B1103" s="840" t="s">
        <v>747</v>
      </c>
      <c r="C1103" s="780"/>
      <c r="D1103" s="780"/>
      <c r="E1103" s="780"/>
      <c r="F1103" s="780"/>
      <c r="G1103" s="780"/>
      <c r="H1103" s="780"/>
      <c r="I1103" s="780"/>
      <c r="J1103" s="780"/>
      <c r="K1103" s="780"/>
      <c r="L1103" s="780"/>
      <c r="M1103" s="780"/>
      <c r="N1103" s="780"/>
      <c r="O1103" s="780"/>
      <c r="P1103" s="780"/>
      <c r="Q1103" s="780"/>
      <c r="R1103" s="780"/>
      <c r="S1103" s="780"/>
      <c r="T1103" s="780"/>
      <c r="U1103" s="780"/>
      <c r="V1103" s="533" t="e">
        <f>SUM(C1103:U1103)-#REF!</f>
        <v>#REF!</v>
      </c>
    </row>
    <row r="1104" spans="1:22" ht="18" customHeight="1" hidden="1" thickBot="1">
      <c r="A1104" s="825" t="s">
        <v>422</v>
      </c>
      <c r="B1104" s="840" t="s">
        <v>748</v>
      </c>
      <c r="C1104" s="780"/>
      <c r="D1104" s="780"/>
      <c r="E1104" s="780"/>
      <c r="F1104" s="780"/>
      <c r="G1104" s="780"/>
      <c r="H1104" s="780"/>
      <c r="I1104" s="780"/>
      <c r="J1104" s="780"/>
      <c r="K1104" s="780"/>
      <c r="L1104" s="780"/>
      <c r="M1104" s="780"/>
      <c r="N1104" s="780"/>
      <c r="O1104" s="780"/>
      <c r="P1104" s="780"/>
      <c r="Q1104" s="780"/>
      <c r="R1104" s="780"/>
      <c r="S1104" s="780"/>
      <c r="T1104" s="780"/>
      <c r="U1104" s="780"/>
      <c r="V1104" s="533" t="e">
        <f>SUM(C1104:U1104)-#REF!</f>
        <v>#REF!</v>
      </c>
    </row>
    <row r="1105" spans="1:22" ht="18" customHeight="1" hidden="1">
      <c r="A1105" s="825" t="s">
        <v>423</v>
      </c>
      <c r="B1105" s="840" t="s">
        <v>749</v>
      </c>
      <c r="C1105" s="780"/>
      <c r="D1105" s="780"/>
      <c r="E1105" s="780"/>
      <c r="F1105" s="780"/>
      <c r="G1105" s="780"/>
      <c r="H1105" s="780"/>
      <c r="I1105" s="780"/>
      <c r="J1105" s="780"/>
      <c r="K1105" s="780"/>
      <c r="L1105" s="780"/>
      <c r="M1105" s="780"/>
      <c r="N1105" s="780"/>
      <c r="O1105" s="780"/>
      <c r="P1105" s="780"/>
      <c r="Q1105" s="780"/>
      <c r="R1105" s="780"/>
      <c r="S1105" s="780"/>
      <c r="T1105" s="780"/>
      <c r="U1105" s="780"/>
      <c r="V1105" s="533" t="e">
        <f>SUM(C1105:U1105)-#REF!</f>
        <v>#REF!</v>
      </c>
    </row>
    <row r="1106" spans="1:22" ht="18" customHeight="1" hidden="1" thickBot="1">
      <c r="A1106" s="825" t="s">
        <v>424</v>
      </c>
      <c r="B1106" s="840" t="s">
        <v>750</v>
      </c>
      <c r="C1106" s="780"/>
      <c r="D1106" s="780"/>
      <c r="E1106" s="780"/>
      <c r="F1106" s="780"/>
      <c r="G1106" s="780"/>
      <c r="H1106" s="780"/>
      <c r="I1106" s="780"/>
      <c r="J1106" s="780"/>
      <c r="K1106" s="780"/>
      <c r="L1106" s="780"/>
      <c r="M1106" s="780"/>
      <c r="N1106" s="780"/>
      <c r="O1106" s="780"/>
      <c r="P1106" s="780"/>
      <c r="Q1106" s="780"/>
      <c r="R1106" s="780"/>
      <c r="S1106" s="780"/>
      <c r="T1106" s="780"/>
      <c r="U1106" s="780"/>
      <c r="V1106" s="533" t="e">
        <f>SUM(C1106:U1106)-#REF!</f>
        <v>#REF!</v>
      </c>
    </row>
    <row r="1107" spans="1:22" ht="18" customHeight="1" hidden="1">
      <c r="A1107" s="825" t="s">
        <v>425</v>
      </c>
      <c r="B1107" s="840" t="s">
        <v>751</v>
      </c>
      <c r="C1107" s="780"/>
      <c r="D1107" s="780"/>
      <c r="E1107" s="780"/>
      <c r="F1107" s="780"/>
      <c r="G1107" s="780"/>
      <c r="H1107" s="780"/>
      <c r="I1107" s="780"/>
      <c r="J1107" s="780"/>
      <c r="K1107" s="780"/>
      <c r="L1107" s="780"/>
      <c r="M1107" s="780"/>
      <c r="N1107" s="780"/>
      <c r="O1107" s="780"/>
      <c r="P1107" s="780"/>
      <c r="Q1107" s="780"/>
      <c r="R1107" s="780"/>
      <c r="S1107" s="780"/>
      <c r="T1107" s="780"/>
      <c r="U1107" s="780"/>
      <c r="V1107" s="533" t="e">
        <f>SUM(C1107:U1107)-#REF!</f>
        <v>#REF!</v>
      </c>
    </row>
    <row r="1108" spans="1:22" ht="18" customHeight="1" hidden="1">
      <c r="A1108" s="825" t="s">
        <v>426</v>
      </c>
      <c r="B1108" s="840" t="s">
        <v>752</v>
      </c>
      <c r="C1108" s="780"/>
      <c r="D1108" s="780"/>
      <c r="E1108" s="780"/>
      <c r="F1108" s="780"/>
      <c r="G1108" s="780"/>
      <c r="H1108" s="780"/>
      <c r="I1108" s="780"/>
      <c r="J1108" s="780"/>
      <c r="K1108" s="780"/>
      <c r="L1108" s="780"/>
      <c r="M1108" s="780"/>
      <c r="N1108" s="780"/>
      <c r="O1108" s="780"/>
      <c r="P1108" s="780"/>
      <c r="Q1108" s="780"/>
      <c r="R1108" s="780"/>
      <c r="S1108" s="780"/>
      <c r="T1108" s="780"/>
      <c r="U1108" s="780"/>
      <c r="V1108" s="533" t="e">
        <f>SUM(C1108:U1108)-#REF!</f>
        <v>#REF!</v>
      </c>
    </row>
    <row r="1109" spans="1:22" ht="18" customHeight="1" hidden="1">
      <c r="A1109" s="825" t="s">
        <v>427</v>
      </c>
      <c r="B1109" s="840" t="s">
        <v>969</v>
      </c>
      <c r="C1109" s="780"/>
      <c r="D1109" s="780"/>
      <c r="E1109" s="780"/>
      <c r="F1109" s="780"/>
      <c r="G1109" s="780"/>
      <c r="H1109" s="780"/>
      <c r="I1109" s="780"/>
      <c r="J1109" s="780"/>
      <c r="K1109" s="780"/>
      <c r="L1109" s="780"/>
      <c r="M1109" s="780"/>
      <c r="N1109" s="780"/>
      <c r="O1109" s="780"/>
      <c r="P1109" s="780"/>
      <c r="Q1109" s="780"/>
      <c r="R1109" s="780"/>
      <c r="S1109" s="780"/>
      <c r="T1109" s="780"/>
      <c r="U1109" s="780"/>
      <c r="V1109" s="533" t="e">
        <f>SUM(C1109:U1109)-#REF!</f>
        <v>#REF!</v>
      </c>
    </row>
    <row r="1110" spans="1:22" ht="18" customHeight="1" hidden="1">
      <c r="A1110" s="825" t="s">
        <v>428</v>
      </c>
      <c r="B1110" s="840" t="s">
        <v>970</v>
      </c>
      <c r="C1110" s="780"/>
      <c r="D1110" s="780"/>
      <c r="E1110" s="780"/>
      <c r="F1110" s="780"/>
      <c r="G1110" s="780"/>
      <c r="H1110" s="780"/>
      <c r="I1110" s="780"/>
      <c r="J1110" s="780"/>
      <c r="K1110" s="780"/>
      <c r="L1110" s="780"/>
      <c r="M1110" s="780"/>
      <c r="N1110" s="780"/>
      <c r="O1110" s="780"/>
      <c r="P1110" s="780"/>
      <c r="Q1110" s="780"/>
      <c r="R1110" s="780"/>
      <c r="S1110" s="780"/>
      <c r="T1110" s="780"/>
      <c r="U1110" s="780"/>
      <c r="V1110" s="533" t="e">
        <f>SUM(C1110:U1110)-#REF!</f>
        <v>#REF!</v>
      </c>
    </row>
    <row r="1111" spans="1:22" ht="18" customHeight="1" hidden="1">
      <c r="A1111" s="825" t="s">
        <v>429</v>
      </c>
      <c r="B1111" s="840" t="s">
        <v>971</v>
      </c>
      <c r="C1111" s="780"/>
      <c r="D1111" s="780"/>
      <c r="E1111" s="780"/>
      <c r="F1111" s="780"/>
      <c r="G1111" s="780"/>
      <c r="H1111" s="780"/>
      <c r="I1111" s="780"/>
      <c r="J1111" s="780"/>
      <c r="K1111" s="780"/>
      <c r="L1111" s="780"/>
      <c r="M1111" s="780"/>
      <c r="N1111" s="780"/>
      <c r="O1111" s="780"/>
      <c r="P1111" s="780"/>
      <c r="Q1111" s="780"/>
      <c r="R1111" s="780"/>
      <c r="S1111" s="780"/>
      <c r="T1111" s="780"/>
      <c r="U1111" s="780"/>
      <c r="V1111" s="533" t="e">
        <f>SUM(C1111:U1111)-#REF!</f>
        <v>#REF!</v>
      </c>
    </row>
    <row r="1112" spans="1:22" ht="18" customHeight="1" hidden="1" thickBot="1">
      <c r="A1112" s="825" t="s">
        <v>430</v>
      </c>
      <c r="B1112" s="840" t="s">
        <v>972</v>
      </c>
      <c r="C1112" s="780"/>
      <c r="D1112" s="780"/>
      <c r="E1112" s="780"/>
      <c r="F1112" s="780"/>
      <c r="G1112" s="780"/>
      <c r="H1112" s="780"/>
      <c r="I1112" s="780"/>
      <c r="J1112" s="780"/>
      <c r="K1112" s="780"/>
      <c r="L1112" s="780"/>
      <c r="M1112" s="780"/>
      <c r="N1112" s="780"/>
      <c r="O1112" s="780"/>
      <c r="P1112" s="780"/>
      <c r="Q1112" s="780"/>
      <c r="R1112" s="780"/>
      <c r="S1112" s="780"/>
      <c r="T1112" s="780"/>
      <c r="U1112" s="780"/>
      <c r="V1112" s="533" t="e">
        <f>SUM(C1112:U1112)-#REF!</f>
        <v>#REF!</v>
      </c>
    </row>
    <row r="1113" spans="1:22" ht="18" customHeight="1" hidden="1">
      <c r="A1113" s="825" t="s">
        <v>431</v>
      </c>
      <c r="B1113" s="840" t="s">
        <v>1094</v>
      </c>
      <c r="C1113" s="780"/>
      <c r="D1113" s="780"/>
      <c r="E1113" s="780"/>
      <c r="F1113" s="780"/>
      <c r="G1113" s="780"/>
      <c r="H1113" s="780"/>
      <c r="I1113" s="780"/>
      <c r="J1113" s="780"/>
      <c r="K1113" s="780"/>
      <c r="L1113" s="780"/>
      <c r="M1113" s="780"/>
      <c r="N1113" s="780"/>
      <c r="O1113" s="780"/>
      <c r="P1113" s="780"/>
      <c r="Q1113" s="780"/>
      <c r="R1113" s="780"/>
      <c r="S1113" s="780"/>
      <c r="T1113" s="780"/>
      <c r="U1113" s="780"/>
      <c r="V1113" s="533" t="e">
        <f>SUM(C1113:U1113)-#REF!</f>
        <v>#REF!</v>
      </c>
    </row>
    <row r="1114" spans="1:22" ht="18" customHeight="1" hidden="1">
      <c r="A1114" s="825" t="s">
        <v>432</v>
      </c>
      <c r="B1114" s="840" t="s">
        <v>1073</v>
      </c>
      <c r="C1114" s="780"/>
      <c r="D1114" s="780"/>
      <c r="E1114" s="780"/>
      <c r="F1114" s="780"/>
      <c r="G1114" s="780"/>
      <c r="H1114" s="780"/>
      <c r="I1114" s="780"/>
      <c r="J1114" s="780"/>
      <c r="K1114" s="780"/>
      <c r="L1114" s="780"/>
      <c r="M1114" s="780"/>
      <c r="N1114" s="780"/>
      <c r="O1114" s="780"/>
      <c r="P1114" s="780"/>
      <c r="Q1114" s="780"/>
      <c r="R1114" s="780"/>
      <c r="S1114" s="780"/>
      <c r="T1114" s="780"/>
      <c r="U1114" s="780"/>
      <c r="V1114" s="533" t="e">
        <f>SUM(C1114:U1114)-#REF!</f>
        <v>#REF!</v>
      </c>
    </row>
    <row r="1115" spans="1:22" ht="18" customHeight="1" hidden="1">
      <c r="A1115" s="825" t="s">
        <v>433</v>
      </c>
      <c r="B1115" s="840" t="s">
        <v>992</v>
      </c>
      <c r="C1115" s="780"/>
      <c r="D1115" s="780"/>
      <c r="E1115" s="780"/>
      <c r="F1115" s="780"/>
      <c r="G1115" s="780"/>
      <c r="H1115" s="780"/>
      <c r="I1115" s="780"/>
      <c r="J1115" s="780"/>
      <c r="K1115" s="780"/>
      <c r="L1115" s="780"/>
      <c r="M1115" s="780"/>
      <c r="N1115" s="780"/>
      <c r="O1115" s="780"/>
      <c r="P1115" s="780"/>
      <c r="Q1115" s="780"/>
      <c r="R1115" s="780"/>
      <c r="S1115" s="780"/>
      <c r="T1115" s="780"/>
      <c r="U1115" s="780"/>
      <c r="V1115" s="533" t="e">
        <f>SUM(C1115:U1115)-#REF!</f>
        <v>#REF!</v>
      </c>
    </row>
    <row r="1116" spans="1:22" ht="18" customHeight="1" hidden="1">
      <c r="A1116" s="825" t="s">
        <v>434</v>
      </c>
      <c r="B1116" s="840" t="s">
        <v>869</v>
      </c>
      <c r="C1116" s="780"/>
      <c r="D1116" s="780"/>
      <c r="E1116" s="780"/>
      <c r="F1116" s="780"/>
      <c r="G1116" s="780"/>
      <c r="H1116" s="780"/>
      <c r="I1116" s="780"/>
      <c r="J1116" s="780"/>
      <c r="K1116" s="780"/>
      <c r="L1116" s="780"/>
      <c r="M1116" s="780"/>
      <c r="N1116" s="780"/>
      <c r="O1116" s="780"/>
      <c r="P1116" s="780"/>
      <c r="Q1116" s="780"/>
      <c r="R1116" s="780"/>
      <c r="S1116" s="780"/>
      <c r="T1116" s="780"/>
      <c r="U1116" s="780"/>
      <c r="V1116" s="533" t="e">
        <f>SUM(C1116:U1116)-#REF!</f>
        <v>#REF!</v>
      </c>
    </row>
    <row r="1117" spans="1:22" ht="18" customHeight="1" hidden="1">
      <c r="A1117" s="825" t="s">
        <v>435</v>
      </c>
      <c r="B1117" s="840" t="s">
        <v>1095</v>
      </c>
      <c r="C1117" s="780"/>
      <c r="D1117" s="780"/>
      <c r="E1117" s="780"/>
      <c r="F1117" s="780"/>
      <c r="G1117" s="780"/>
      <c r="H1117" s="780"/>
      <c r="I1117" s="780"/>
      <c r="J1117" s="780"/>
      <c r="K1117" s="780"/>
      <c r="L1117" s="780"/>
      <c r="M1117" s="780"/>
      <c r="N1117" s="780"/>
      <c r="O1117" s="780"/>
      <c r="P1117" s="780"/>
      <c r="Q1117" s="780"/>
      <c r="R1117" s="780"/>
      <c r="S1117" s="780"/>
      <c r="T1117" s="780"/>
      <c r="U1117" s="780"/>
      <c r="V1117" s="533" t="e">
        <f>SUM(C1117:U1117)-#REF!</f>
        <v>#REF!</v>
      </c>
    </row>
    <row r="1118" spans="1:22" ht="18" customHeight="1" hidden="1">
      <c r="A1118" s="825" t="s">
        <v>436</v>
      </c>
      <c r="B1118" s="840" t="s">
        <v>856</v>
      </c>
      <c r="C1118" s="780"/>
      <c r="D1118" s="780"/>
      <c r="E1118" s="780"/>
      <c r="F1118" s="780"/>
      <c r="G1118" s="780"/>
      <c r="H1118" s="780"/>
      <c r="I1118" s="780"/>
      <c r="J1118" s="780"/>
      <c r="K1118" s="780"/>
      <c r="L1118" s="780"/>
      <c r="M1118" s="780"/>
      <c r="N1118" s="780"/>
      <c r="O1118" s="780"/>
      <c r="P1118" s="780"/>
      <c r="Q1118" s="780"/>
      <c r="R1118" s="780"/>
      <c r="S1118" s="780"/>
      <c r="T1118" s="780"/>
      <c r="U1118" s="780"/>
      <c r="V1118" s="533" t="e">
        <f>SUM(C1118:U1118)-#REF!</f>
        <v>#REF!</v>
      </c>
    </row>
    <row r="1119" spans="1:22" ht="18" customHeight="1" hidden="1">
      <c r="A1119" s="825" t="s">
        <v>437</v>
      </c>
      <c r="B1119" s="840" t="s">
        <v>857</v>
      </c>
      <c r="C1119" s="780"/>
      <c r="D1119" s="780"/>
      <c r="E1119" s="780"/>
      <c r="F1119" s="780"/>
      <c r="G1119" s="780"/>
      <c r="H1119" s="780"/>
      <c r="I1119" s="780"/>
      <c r="J1119" s="780"/>
      <c r="K1119" s="780"/>
      <c r="L1119" s="780"/>
      <c r="M1119" s="780"/>
      <c r="N1119" s="780"/>
      <c r="O1119" s="780"/>
      <c r="P1119" s="780"/>
      <c r="Q1119" s="780"/>
      <c r="R1119" s="780"/>
      <c r="S1119" s="780"/>
      <c r="T1119" s="780"/>
      <c r="U1119" s="780"/>
      <c r="V1119" s="533" t="e">
        <f>SUM(C1119:U1119)-#REF!</f>
        <v>#REF!</v>
      </c>
    </row>
    <row r="1120" spans="1:22" ht="18" customHeight="1" hidden="1">
      <c r="A1120" s="825" t="s">
        <v>114</v>
      </c>
      <c r="B1120" s="840" t="s">
        <v>859</v>
      </c>
      <c r="C1120" s="780"/>
      <c r="D1120" s="780"/>
      <c r="E1120" s="780"/>
      <c r="F1120" s="780"/>
      <c r="G1120" s="780"/>
      <c r="H1120" s="780"/>
      <c r="I1120" s="780"/>
      <c r="J1120" s="780"/>
      <c r="K1120" s="780"/>
      <c r="L1120" s="780"/>
      <c r="M1120" s="780"/>
      <c r="N1120" s="780"/>
      <c r="O1120" s="780"/>
      <c r="P1120" s="780"/>
      <c r="Q1120" s="780"/>
      <c r="R1120" s="780"/>
      <c r="S1120" s="780"/>
      <c r="T1120" s="780"/>
      <c r="U1120" s="780"/>
      <c r="V1120" s="533" t="e">
        <f>SUM(C1120:U1120)-#REF!</f>
        <v>#REF!</v>
      </c>
    </row>
    <row r="1121" spans="1:22" ht="18" customHeight="1" hidden="1">
      <c r="A1121" s="825" t="s">
        <v>438</v>
      </c>
      <c r="B1121" s="840" t="s">
        <v>860</v>
      </c>
      <c r="C1121" s="780"/>
      <c r="D1121" s="780"/>
      <c r="E1121" s="780"/>
      <c r="F1121" s="780"/>
      <c r="G1121" s="780"/>
      <c r="H1121" s="780"/>
      <c r="I1121" s="780"/>
      <c r="J1121" s="780"/>
      <c r="K1121" s="780"/>
      <c r="L1121" s="780"/>
      <c r="M1121" s="780"/>
      <c r="N1121" s="780"/>
      <c r="O1121" s="780"/>
      <c r="P1121" s="780"/>
      <c r="Q1121" s="780"/>
      <c r="R1121" s="780"/>
      <c r="S1121" s="780"/>
      <c r="T1121" s="780"/>
      <c r="U1121" s="780"/>
      <c r="V1121" s="533" t="e">
        <f>SUM(C1121:U1121)-#REF!</f>
        <v>#REF!</v>
      </c>
    </row>
    <row r="1122" spans="1:22" ht="18" customHeight="1" hidden="1">
      <c r="A1122" s="825"/>
      <c r="B1122" s="840" t="s">
        <v>858</v>
      </c>
      <c r="C1122" s="780"/>
      <c r="D1122" s="780"/>
      <c r="E1122" s="780"/>
      <c r="F1122" s="780"/>
      <c r="G1122" s="780"/>
      <c r="H1122" s="780"/>
      <c r="I1122" s="780"/>
      <c r="J1122" s="780"/>
      <c r="K1122" s="780"/>
      <c r="L1122" s="780"/>
      <c r="M1122" s="780"/>
      <c r="N1122" s="780"/>
      <c r="O1122" s="780"/>
      <c r="P1122" s="780"/>
      <c r="Q1122" s="780"/>
      <c r="R1122" s="780"/>
      <c r="S1122" s="780"/>
      <c r="T1122" s="780"/>
      <c r="U1122" s="780"/>
      <c r="V1122" s="533" t="e">
        <f>SUM(C1122:U1122)-#REF!</f>
        <v>#REF!</v>
      </c>
    </row>
    <row r="1123" spans="1:22" ht="18" customHeight="1" hidden="1">
      <c r="A1123" s="825" t="s">
        <v>439</v>
      </c>
      <c r="B1123" s="840" t="s">
        <v>862</v>
      </c>
      <c r="C1123" s="780"/>
      <c r="D1123" s="780"/>
      <c r="E1123" s="780"/>
      <c r="F1123" s="780"/>
      <c r="G1123" s="780"/>
      <c r="H1123" s="780"/>
      <c r="I1123" s="780"/>
      <c r="J1123" s="780"/>
      <c r="K1123" s="780"/>
      <c r="L1123" s="780"/>
      <c r="M1123" s="780"/>
      <c r="N1123" s="780"/>
      <c r="O1123" s="780"/>
      <c r="P1123" s="780"/>
      <c r="Q1123" s="780"/>
      <c r="R1123" s="780"/>
      <c r="S1123" s="780"/>
      <c r="T1123" s="780"/>
      <c r="U1123" s="780"/>
      <c r="V1123" s="533" t="e">
        <f>SUM(C1123:U1123)-#REF!</f>
        <v>#REF!</v>
      </c>
    </row>
    <row r="1124" spans="1:22" ht="18" customHeight="1" hidden="1">
      <c r="A1124" s="825" t="s">
        <v>440</v>
      </c>
      <c r="B1124" s="840" t="s">
        <v>864</v>
      </c>
      <c r="C1124" s="780"/>
      <c r="D1124" s="780"/>
      <c r="E1124" s="780"/>
      <c r="F1124" s="780"/>
      <c r="G1124" s="780"/>
      <c r="H1124" s="780"/>
      <c r="I1124" s="780"/>
      <c r="J1124" s="780"/>
      <c r="K1124" s="780"/>
      <c r="L1124" s="780"/>
      <c r="M1124" s="780"/>
      <c r="N1124" s="780"/>
      <c r="O1124" s="780"/>
      <c r="P1124" s="780"/>
      <c r="Q1124" s="780"/>
      <c r="R1124" s="780"/>
      <c r="S1124" s="780"/>
      <c r="T1124" s="780"/>
      <c r="U1124" s="780"/>
      <c r="V1124" s="533" t="e">
        <f>SUM(C1124:U1124)-#REF!</f>
        <v>#REF!</v>
      </c>
    </row>
    <row r="1125" spans="1:22" ht="18" customHeight="1" hidden="1">
      <c r="A1125" s="825" t="s">
        <v>441</v>
      </c>
      <c r="B1125" s="840" t="s">
        <v>865</v>
      </c>
      <c r="C1125" s="780"/>
      <c r="D1125" s="780"/>
      <c r="E1125" s="780"/>
      <c r="F1125" s="780"/>
      <c r="G1125" s="780"/>
      <c r="H1125" s="780"/>
      <c r="I1125" s="780"/>
      <c r="J1125" s="780"/>
      <c r="K1125" s="780"/>
      <c r="L1125" s="780"/>
      <c r="M1125" s="780"/>
      <c r="N1125" s="780"/>
      <c r="O1125" s="780"/>
      <c r="P1125" s="780"/>
      <c r="Q1125" s="780"/>
      <c r="R1125" s="780"/>
      <c r="S1125" s="780"/>
      <c r="T1125" s="780"/>
      <c r="U1125" s="780"/>
      <c r="V1125" s="533" t="e">
        <f>SUM(C1125:U1125)-#REF!</f>
        <v>#REF!</v>
      </c>
    </row>
    <row r="1126" spans="1:22" ht="18" customHeight="1" hidden="1">
      <c r="A1126" s="825" t="s">
        <v>442</v>
      </c>
      <c r="B1126" s="840" t="s">
        <v>1072</v>
      </c>
      <c r="C1126" s="780"/>
      <c r="D1126" s="780"/>
      <c r="E1126" s="780"/>
      <c r="F1126" s="780"/>
      <c r="G1126" s="780"/>
      <c r="H1126" s="780"/>
      <c r="I1126" s="780"/>
      <c r="J1126" s="780"/>
      <c r="K1126" s="780"/>
      <c r="L1126" s="780"/>
      <c r="M1126" s="780"/>
      <c r="N1126" s="780"/>
      <c r="O1126" s="780"/>
      <c r="P1126" s="780"/>
      <c r="Q1126" s="780"/>
      <c r="R1126" s="780"/>
      <c r="S1126" s="780"/>
      <c r="T1126" s="780"/>
      <c r="U1126" s="780"/>
      <c r="V1126" s="533" t="e">
        <f>SUM(C1126:U1126)-#REF!</f>
        <v>#REF!</v>
      </c>
    </row>
    <row r="1127" spans="1:22" ht="18" customHeight="1" hidden="1">
      <c r="A1127" s="825" t="s">
        <v>443</v>
      </c>
      <c r="B1127" s="840" t="s">
        <v>867</v>
      </c>
      <c r="C1127" s="780"/>
      <c r="D1127" s="780"/>
      <c r="E1127" s="780"/>
      <c r="F1127" s="780"/>
      <c r="G1127" s="780"/>
      <c r="H1127" s="780"/>
      <c r="I1127" s="780"/>
      <c r="J1127" s="780"/>
      <c r="K1127" s="780"/>
      <c r="L1127" s="780"/>
      <c r="M1127" s="780"/>
      <c r="N1127" s="780"/>
      <c r="O1127" s="780"/>
      <c r="P1127" s="780"/>
      <c r="Q1127" s="780"/>
      <c r="R1127" s="780"/>
      <c r="S1127" s="780"/>
      <c r="T1127" s="780"/>
      <c r="U1127" s="780"/>
      <c r="V1127" s="533" t="e">
        <f>SUM(C1127:U1127)-#REF!</f>
        <v>#REF!</v>
      </c>
    </row>
    <row r="1128" spans="1:22" ht="18" customHeight="1" hidden="1">
      <c r="A1128" s="825"/>
      <c r="B1128" s="840" t="s">
        <v>863</v>
      </c>
      <c r="C1128" s="780"/>
      <c r="D1128" s="780"/>
      <c r="E1128" s="780"/>
      <c r="F1128" s="780"/>
      <c r="G1128" s="780"/>
      <c r="H1128" s="780"/>
      <c r="I1128" s="780"/>
      <c r="J1128" s="780"/>
      <c r="K1128" s="780"/>
      <c r="L1128" s="780"/>
      <c r="M1128" s="780"/>
      <c r="N1128" s="780"/>
      <c r="O1128" s="780"/>
      <c r="P1128" s="780"/>
      <c r="Q1128" s="780"/>
      <c r="R1128" s="780"/>
      <c r="S1128" s="780"/>
      <c r="T1128" s="780"/>
      <c r="U1128" s="780"/>
      <c r="V1128" s="533" t="e">
        <f>SUM(C1128:U1128)-#REF!</f>
        <v>#REF!</v>
      </c>
    </row>
    <row r="1129" spans="1:22" ht="18" customHeight="1" hidden="1">
      <c r="A1129" s="825" t="s">
        <v>444</v>
      </c>
      <c r="B1129" s="840" t="s">
        <v>961</v>
      </c>
      <c r="C1129" s="780"/>
      <c r="D1129" s="780"/>
      <c r="E1129" s="780"/>
      <c r="F1129" s="780"/>
      <c r="G1129" s="780"/>
      <c r="H1129" s="780"/>
      <c r="I1129" s="780"/>
      <c r="J1129" s="780"/>
      <c r="K1129" s="780"/>
      <c r="L1129" s="780"/>
      <c r="M1129" s="780"/>
      <c r="N1129" s="780"/>
      <c r="O1129" s="780"/>
      <c r="P1129" s="780"/>
      <c r="Q1129" s="780"/>
      <c r="R1129" s="780"/>
      <c r="S1129" s="780"/>
      <c r="T1129" s="780"/>
      <c r="U1129" s="780"/>
      <c r="V1129" s="533" t="e">
        <f>SUM(C1129:U1129)-#REF!</f>
        <v>#REF!</v>
      </c>
    </row>
    <row r="1130" spans="1:22" ht="18" customHeight="1" hidden="1">
      <c r="A1130" s="825" t="s">
        <v>445</v>
      </c>
      <c r="B1130" s="840" t="s">
        <v>962</v>
      </c>
      <c r="C1130" s="780"/>
      <c r="D1130" s="780"/>
      <c r="E1130" s="780"/>
      <c r="F1130" s="780"/>
      <c r="G1130" s="780"/>
      <c r="H1130" s="780"/>
      <c r="I1130" s="780"/>
      <c r="J1130" s="780"/>
      <c r="K1130" s="780"/>
      <c r="L1130" s="780"/>
      <c r="M1130" s="780"/>
      <c r="N1130" s="780"/>
      <c r="O1130" s="780"/>
      <c r="P1130" s="780"/>
      <c r="Q1130" s="780"/>
      <c r="R1130" s="780"/>
      <c r="S1130" s="780"/>
      <c r="T1130" s="780"/>
      <c r="U1130" s="780"/>
      <c r="V1130" s="533" t="e">
        <f>SUM(C1130:U1130)-#REF!</f>
        <v>#REF!</v>
      </c>
    </row>
    <row r="1131" spans="1:22" ht="24.75" customHeight="1" hidden="1">
      <c r="A1131" s="825"/>
      <c r="B1131" s="840" t="s">
        <v>703</v>
      </c>
      <c r="C1131" s="780"/>
      <c r="D1131" s="780"/>
      <c r="E1131" s="780"/>
      <c r="F1131" s="780"/>
      <c r="G1131" s="780"/>
      <c r="H1131" s="780"/>
      <c r="I1131" s="780"/>
      <c r="J1131" s="780"/>
      <c r="K1131" s="780"/>
      <c r="L1131" s="780"/>
      <c r="M1131" s="780"/>
      <c r="N1131" s="780"/>
      <c r="O1131" s="780"/>
      <c r="P1131" s="780"/>
      <c r="Q1131" s="780"/>
      <c r="R1131" s="780"/>
      <c r="S1131" s="780"/>
      <c r="T1131" s="780"/>
      <c r="U1131" s="780"/>
      <c r="V1131" s="533" t="e">
        <f>SUM(C1131:U1131)-#REF!</f>
        <v>#REF!</v>
      </c>
    </row>
    <row r="1132" spans="1:22" ht="18" customHeight="1" hidden="1">
      <c r="A1132" s="825"/>
      <c r="B1132" s="840" t="s">
        <v>1071</v>
      </c>
      <c r="C1132" s="780"/>
      <c r="D1132" s="780"/>
      <c r="E1132" s="780"/>
      <c r="F1132" s="780"/>
      <c r="G1132" s="780"/>
      <c r="H1132" s="780"/>
      <c r="I1132" s="780"/>
      <c r="J1132" s="780"/>
      <c r="K1132" s="780"/>
      <c r="L1132" s="780"/>
      <c r="M1132" s="780"/>
      <c r="N1132" s="780"/>
      <c r="O1132" s="780"/>
      <c r="P1132" s="780"/>
      <c r="Q1132" s="780"/>
      <c r="R1132" s="780"/>
      <c r="S1132" s="780"/>
      <c r="T1132" s="780"/>
      <c r="U1132" s="780"/>
      <c r="V1132" s="533" t="e">
        <f>SUM(C1132:U1132)-#REF!</f>
        <v>#REF!</v>
      </c>
    </row>
    <row r="1133" spans="1:22" ht="18" customHeight="1" hidden="1">
      <c r="A1133" s="825" t="s">
        <v>446</v>
      </c>
      <c r="B1133" s="840" t="s">
        <v>1002</v>
      </c>
      <c r="C1133" s="780"/>
      <c r="D1133" s="780"/>
      <c r="E1133" s="780"/>
      <c r="F1133" s="780"/>
      <c r="G1133" s="780"/>
      <c r="H1133" s="780"/>
      <c r="I1133" s="780"/>
      <c r="J1133" s="780"/>
      <c r="K1133" s="780"/>
      <c r="L1133" s="780"/>
      <c r="M1133" s="780"/>
      <c r="N1133" s="780"/>
      <c r="O1133" s="780"/>
      <c r="P1133" s="780"/>
      <c r="Q1133" s="780"/>
      <c r="R1133" s="780"/>
      <c r="S1133" s="780"/>
      <c r="T1133" s="780"/>
      <c r="U1133" s="780"/>
      <c r="V1133" s="533" t="e">
        <f>SUM(C1133:U1133)-#REF!</f>
        <v>#REF!</v>
      </c>
    </row>
    <row r="1134" spans="1:22" ht="18" customHeight="1" hidden="1">
      <c r="A1134" s="825" t="s">
        <v>447</v>
      </c>
      <c r="B1134" s="840" t="s">
        <v>1003</v>
      </c>
      <c r="C1134" s="780"/>
      <c r="D1134" s="780"/>
      <c r="E1134" s="780"/>
      <c r="F1134" s="780"/>
      <c r="G1134" s="780"/>
      <c r="H1134" s="780"/>
      <c r="I1134" s="780"/>
      <c r="J1134" s="780"/>
      <c r="K1134" s="780"/>
      <c r="L1134" s="780"/>
      <c r="M1134" s="780"/>
      <c r="N1134" s="780"/>
      <c r="O1134" s="780"/>
      <c r="P1134" s="780"/>
      <c r="Q1134" s="780"/>
      <c r="R1134" s="780"/>
      <c r="S1134" s="780"/>
      <c r="T1134" s="780"/>
      <c r="U1134" s="780"/>
      <c r="V1134" s="533" t="e">
        <f>SUM(C1134:U1134)-#REF!</f>
        <v>#REF!</v>
      </c>
    </row>
    <row r="1135" spans="1:22" ht="18" customHeight="1" hidden="1">
      <c r="A1135" s="825"/>
      <c r="B1135" s="840" t="s">
        <v>996</v>
      </c>
      <c r="C1135" s="780"/>
      <c r="D1135" s="780"/>
      <c r="E1135" s="780"/>
      <c r="F1135" s="780"/>
      <c r="G1135" s="780"/>
      <c r="H1135" s="780"/>
      <c r="I1135" s="780"/>
      <c r="J1135" s="780"/>
      <c r="K1135" s="780"/>
      <c r="L1135" s="780"/>
      <c r="M1135" s="780"/>
      <c r="N1135" s="780"/>
      <c r="O1135" s="780"/>
      <c r="P1135" s="780"/>
      <c r="Q1135" s="780"/>
      <c r="R1135" s="780"/>
      <c r="S1135" s="780"/>
      <c r="T1135" s="780"/>
      <c r="U1135" s="780"/>
      <c r="V1135" s="533" t="e">
        <f>SUM(C1135:U1135)-#REF!</f>
        <v>#REF!</v>
      </c>
    </row>
    <row r="1136" spans="1:22" ht="18" customHeight="1" hidden="1">
      <c r="A1136" s="825" t="s">
        <v>448</v>
      </c>
      <c r="B1136" s="840" t="s">
        <v>1085</v>
      </c>
      <c r="C1136" s="780"/>
      <c r="D1136" s="780"/>
      <c r="E1136" s="780"/>
      <c r="F1136" s="780"/>
      <c r="G1136" s="780"/>
      <c r="H1136" s="780"/>
      <c r="I1136" s="780"/>
      <c r="J1136" s="780"/>
      <c r="K1136" s="780"/>
      <c r="L1136" s="780"/>
      <c r="M1136" s="780"/>
      <c r="N1136" s="780"/>
      <c r="O1136" s="780"/>
      <c r="P1136" s="780"/>
      <c r="Q1136" s="780"/>
      <c r="R1136" s="780"/>
      <c r="S1136" s="780"/>
      <c r="T1136" s="780"/>
      <c r="U1136" s="780"/>
      <c r="V1136" s="533" t="e">
        <f>SUM(C1136:U1136)-#REF!</f>
        <v>#REF!</v>
      </c>
    </row>
    <row r="1137" spans="1:22" ht="18" customHeight="1" hidden="1">
      <c r="A1137" s="813"/>
      <c r="B1137" s="557" t="s">
        <v>695</v>
      </c>
      <c r="C1137" s="558"/>
      <c r="D1137" s="558"/>
      <c r="E1137" s="558"/>
      <c r="F1137" s="558"/>
      <c r="G1137" s="558"/>
      <c r="H1137" s="558"/>
      <c r="I1137" s="558"/>
      <c r="J1137" s="558"/>
      <c r="K1137" s="558"/>
      <c r="L1137" s="558"/>
      <c r="M1137" s="558"/>
      <c r="N1137" s="558"/>
      <c r="O1137" s="558"/>
      <c r="P1137" s="558"/>
      <c r="Q1137" s="558"/>
      <c r="R1137" s="558"/>
      <c r="S1137" s="558"/>
      <c r="T1137" s="558"/>
      <c r="U1137" s="558"/>
      <c r="V1137" s="533" t="e">
        <f>SUM(C1137:U1137)-#REF!</f>
        <v>#REF!</v>
      </c>
    </row>
    <row r="1138" spans="1:22" ht="18" customHeight="1" hidden="1">
      <c r="A1138" s="855" t="s">
        <v>449</v>
      </c>
      <c r="B1138" s="856" t="s">
        <v>1113</v>
      </c>
      <c r="C1138" s="854">
        <f>SUM(C1139:C1140)</f>
        <v>0</v>
      </c>
      <c r="D1138" s="854">
        <f aca="true" t="shared" si="46" ref="D1138:U1138">SUM(D1139:D1140)</f>
        <v>0</v>
      </c>
      <c r="E1138" s="854">
        <f t="shared" si="46"/>
        <v>0</v>
      </c>
      <c r="F1138" s="854">
        <f t="shared" si="46"/>
        <v>0</v>
      </c>
      <c r="G1138" s="854">
        <f t="shared" si="46"/>
        <v>0</v>
      </c>
      <c r="H1138" s="854">
        <f t="shared" si="46"/>
        <v>0</v>
      </c>
      <c r="I1138" s="854">
        <f t="shared" si="46"/>
        <v>0</v>
      </c>
      <c r="J1138" s="854">
        <f t="shared" si="46"/>
        <v>0</v>
      </c>
      <c r="K1138" s="854">
        <f t="shared" si="46"/>
        <v>0</v>
      </c>
      <c r="L1138" s="854">
        <f t="shared" si="46"/>
        <v>0</v>
      </c>
      <c r="M1138" s="854">
        <f t="shared" si="46"/>
        <v>0</v>
      </c>
      <c r="N1138" s="854">
        <f t="shared" si="46"/>
        <v>0</v>
      </c>
      <c r="O1138" s="854">
        <f t="shared" si="46"/>
        <v>0</v>
      </c>
      <c r="P1138" s="854">
        <f t="shared" si="46"/>
        <v>0</v>
      </c>
      <c r="Q1138" s="854">
        <f t="shared" si="46"/>
        <v>0</v>
      </c>
      <c r="R1138" s="854">
        <f t="shared" si="46"/>
        <v>0</v>
      </c>
      <c r="S1138" s="854">
        <f t="shared" si="46"/>
        <v>0</v>
      </c>
      <c r="T1138" s="854">
        <f t="shared" si="46"/>
        <v>0</v>
      </c>
      <c r="U1138" s="854">
        <f t="shared" si="46"/>
        <v>0</v>
      </c>
      <c r="V1138" s="533" t="e">
        <f>SUM(C1138:U1138)-#REF!</f>
        <v>#REF!</v>
      </c>
    </row>
    <row r="1139" spans="1:22" ht="18" customHeight="1" hidden="1">
      <c r="A1139" s="550" t="s">
        <v>450</v>
      </c>
      <c r="B1139" s="840" t="s">
        <v>656</v>
      </c>
      <c r="C1139" s="780"/>
      <c r="D1139" s="780"/>
      <c r="E1139" s="780"/>
      <c r="F1139" s="780"/>
      <c r="G1139" s="780"/>
      <c r="H1139" s="780"/>
      <c r="I1139" s="780"/>
      <c r="J1139" s="780"/>
      <c r="K1139" s="780"/>
      <c r="L1139" s="780"/>
      <c r="M1139" s="780"/>
      <c r="N1139" s="780"/>
      <c r="O1139" s="780"/>
      <c r="P1139" s="780"/>
      <c r="Q1139" s="780"/>
      <c r="R1139" s="780"/>
      <c r="S1139" s="780"/>
      <c r="T1139" s="780"/>
      <c r="U1139" s="780"/>
      <c r="V1139" s="533" t="e">
        <f>SUM(C1139:U1139)-#REF!</f>
        <v>#REF!</v>
      </c>
    </row>
    <row r="1140" spans="1:22" ht="18" customHeight="1" hidden="1">
      <c r="A1140" s="550" t="s">
        <v>451</v>
      </c>
      <c r="B1140" s="840" t="s">
        <v>672</v>
      </c>
      <c r="C1140" s="780"/>
      <c r="D1140" s="780"/>
      <c r="E1140" s="780"/>
      <c r="F1140" s="780"/>
      <c r="G1140" s="780"/>
      <c r="H1140" s="780"/>
      <c r="I1140" s="780"/>
      <c r="J1140" s="780"/>
      <c r="K1140" s="780"/>
      <c r="L1140" s="780"/>
      <c r="M1140" s="780"/>
      <c r="N1140" s="780"/>
      <c r="O1140" s="780"/>
      <c r="P1140" s="780"/>
      <c r="Q1140" s="780"/>
      <c r="R1140" s="780"/>
      <c r="S1140" s="780"/>
      <c r="T1140" s="780"/>
      <c r="U1140" s="780"/>
      <c r="V1140" s="533" t="e">
        <f>SUM(C1140:U1140)-#REF!</f>
        <v>#REF!</v>
      </c>
    </row>
    <row r="1141" spans="1:22" ht="38.25" hidden="1">
      <c r="A1141" s="855" t="s">
        <v>452</v>
      </c>
      <c r="B1141" s="856" t="s">
        <v>1114</v>
      </c>
      <c r="C1141" s="854">
        <f>SUM(C1142:C1147)</f>
        <v>0</v>
      </c>
      <c r="D1141" s="854">
        <f>SUM(D1142:D1147)</f>
        <v>0</v>
      </c>
      <c r="E1141" s="854">
        <f>SUM(E1142:E1147)</f>
        <v>0</v>
      </c>
      <c r="F1141" s="854">
        <f aca="true" t="shared" si="47" ref="F1141:U1141">SUM(F1142:F1147)</f>
        <v>0</v>
      </c>
      <c r="G1141" s="854">
        <f t="shared" si="47"/>
        <v>0</v>
      </c>
      <c r="H1141" s="854">
        <f t="shared" si="47"/>
        <v>0</v>
      </c>
      <c r="I1141" s="854">
        <f>SUM(I1142:I1147)</f>
        <v>0</v>
      </c>
      <c r="J1141" s="854">
        <f>SUM(J1142:J1147)</f>
        <v>0</v>
      </c>
      <c r="K1141" s="854">
        <f>SUM(K1142:K1147)</f>
        <v>0</v>
      </c>
      <c r="L1141" s="854">
        <f t="shared" si="47"/>
        <v>0</v>
      </c>
      <c r="M1141" s="854">
        <f t="shared" si="47"/>
        <v>0</v>
      </c>
      <c r="N1141" s="854">
        <f t="shared" si="47"/>
        <v>0</v>
      </c>
      <c r="O1141" s="854">
        <f t="shared" si="47"/>
        <v>0</v>
      </c>
      <c r="P1141" s="854">
        <f t="shared" si="47"/>
        <v>0</v>
      </c>
      <c r="Q1141" s="854">
        <f t="shared" si="47"/>
        <v>0</v>
      </c>
      <c r="R1141" s="854">
        <f t="shared" si="47"/>
        <v>0</v>
      </c>
      <c r="S1141" s="854">
        <f t="shared" si="47"/>
        <v>0</v>
      </c>
      <c r="T1141" s="854">
        <f t="shared" si="47"/>
        <v>0</v>
      </c>
      <c r="U1141" s="854">
        <f t="shared" si="47"/>
        <v>0</v>
      </c>
      <c r="V1141" s="533" t="e">
        <f>SUM(C1141:U1141)-#REF!</f>
        <v>#REF!</v>
      </c>
    </row>
    <row r="1142" spans="1:22" ht="18" customHeight="1" hidden="1">
      <c r="A1142" s="550"/>
      <c r="B1142" s="840" t="s">
        <v>613</v>
      </c>
      <c r="C1142" s="780"/>
      <c r="D1142" s="780"/>
      <c r="E1142" s="780"/>
      <c r="F1142" s="780"/>
      <c r="G1142" s="780"/>
      <c r="H1142" s="780"/>
      <c r="I1142" s="780"/>
      <c r="J1142" s="780"/>
      <c r="K1142" s="780"/>
      <c r="L1142" s="780"/>
      <c r="M1142" s="780"/>
      <c r="N1142" s="780"/>
      <c r="O1142" s="780"/>
      <c r="P1142" s="780"/>
      <c r="Q1142" s="780"/>
      <c r="R1142" s="780"/>
      <c r="S1142" s="780"/>
      <c r="T1142" s="780"/>
      <c r="U1142" s="780"/>
      <c r="V1142" s="533" t="e">
        <f>SUM(C1142:U1142)-#REF!</f>
        <v>#REF!</v>
      </c>
    </row>
    <row r="1143" spans="1:22" ht="18" customHeight="1" hidden="1">
      <c r="A1143" s="550"/>
      <c r="B1143" s="840" t="s">
        <v>656</v>
      </c>
      <c r="C1143" s="780"/>
      <c r="D1143" s="780"/>
      <c r="E1143" s="780"/>
      <c r="F1143" s="780"/>
      <c r="G1143" s="780"/>
      <c r="H1143" s="780"/>
      <c r="I1143" s="780"/>
      <c r="J1143" s="780"/>
      <c r="K1143" s="780"/>
      <c r="L1143" s="780"/>
      <c r="M1143" s="780"/>
      <c r="N1143" s="780"/>
      <c r="O1143" s="780"/>
      <c r="P1143" s="780"/>
      <c r="Q1143" s="780"/>
      <c r="R1143" s="780"/>
      <c r="S1143" s="780"/>
      <c r="T1143" s="780"/>
      <c r="U1143" s="780"/>
      <c r="V1143" s="533" t="e">
        <f>SUM(C1143:U1143)-#REF!</f>
        <v>#REF!</v>
      </c>
    </row>
    <row r="1144" spans="1:22" ht="18" customHeight="1" hidden="1">
      <c r="A1144" s="550"/>
      <c r="B1144" s="555" t="s">
        <v>744</v>
      </c>
      <c r="C1144" s="780"/>
      <c r="D1144" s="780"/>
      <c r="E1144" s="780"/>
      <c r="F1144" s="780"/>
      <c r="G1144" s="780"/>
      <c r="H1144" s="780"/>
      <c r="I1144" s="780"/>
      <c r="J1144" s="780"/>
      <c r="K1144" s="780"/>
      <c r="L1144" s="780"/>
      <c r="M1144" s="780"/>
      <c r="N1144" s="780"/>
      <c r="O1144" s="780"/>
      <c r="P1144" s="780"/>
      <c r="Q1144" s="780"/>
      <c r="R1144" s="780"/>
      <c r="S1144" s="780"/>
      <c r="T1144" s="780"/>
      <c r="U1144" s="780"/>
      <c r="V1144" s="533" t="e">
        <f>SUM(C1144:U1144)-#REF!</f>
        <v>#REF!</v>
      </c>
    </row>
    <row r="1145" spans="1:22" ht="18" customHeight="1" hidden="1">
      <c r="A1145" s="550"/>
      <c r="B1145" s="555" t="s">
        <v>747</v>
      </c>
      <c r="C1145" s="780"/>
      <c r="D1145" s="780"/>
      <c r="E1145" s="780"/>
      <c r="F1145" s="780"/>
      <c r="G1145" s="780"/>
      <c r="H1145" s="780"/>
      <c r="I1145" s="780"/>
      <c r="J1145" s="780"/>
      <c r="K1145" s="780"/>
      <c r="L1145" s="780"/>
      <c r="M1145" s="780"/>
      <c r="N1145" s="780"/>
      <c r="O1145" s="780"/>
      <c r="P1145" s="780"/>
      <c r="Q1145" s="780"/>
      <c r="R1145" s="780"/>
      <c r="S1145" s="780"/>
      <c r="T1145" s="780"/>
      <c r="U1145" s="780"/>
      <c r="V1145" s="533" t="e">
        <f>SUM(C1145:U1145)-#REF!</f>
        <v>#REF!</v>
      </c>
    </row>
    <row r="1146" spans="1:22" ht="18" customHeight="1" hidden="1" thickBot="1">
      <c r="A1146" s="550"/>
      <c r="B1146" s="555" t="s">
        <v>1115</v>
      </c>
      <c r="C1146" s="780"/>
      <c r="D1146" s="780"/>
      <c r="E1146" s="780"/>
      <c r="F1146" s="780"/>
      <c r="G1146" s="780"/>
      <c r="H1146" s="780"/>
      <c r="I1146" s="780"/>
      <c r="J1146" s="780"/>
      <c r="K1146" s="780"/>
      <c r="L1146" s="780"/>
      <c r="M1146" s="780"/>
      <c r="N1146" s="780"/>
      <c r="O1146" s="780"/>
      <c r="P1146" s="780"/>
      <c r="Q1146" s="780"/>
      <c r="R1146" s="780"/>
      <c r="S1146" s="780"/>
      <c r="T1146" s="780"/>
      <c r="U1146" s="780"/>
      <c r="V1146" s="533" t="e">
        <f>SUM(C1146:U1146)-#REF!</f>
        <v>#REF!</v>
      </c>
    </row>
    <row r="1147" spans="1:22" ht="18" customHeight="1" hidden="1" thickBot="1">
      <c r="A1147" s="550" t="s">
        <v>453</v>
      </c>
      <c r="B1147" s="555" t="s">
        <v>857</v>
      </c>
      <c r="C1147" s="780"/>
      <c r="D1147" s="780"/>
      <c r="E1147" s="780"/>
      <c r="F1147" s="780"/>
      <c r="G1147" s="780"/>
      <c r="H1147" s="780"/>
      <c r="I1147" s="780"/>
      <c r="J1147" s="780"/>
      <c r="K1147" s="780"/>
      <c r="L1147" s="780"/>
      <c r="M1147" s="780"/>
      <c r="N1147" s="780"/>
      <c r="O1147" s="780"/>
      <c r="P1147" s="780"/>
      <c r="Q1147" s="780"/>
      <c r="R1147" s="780"/>
      <c r="S1147" s="780"/>
      <c r="T1147" s="780"/>
      <c r="U1147" s="780"/>
      <c r="V1147" s="533" t="e">
        <f>SUM(C1147:U1147)-#REF!</f>
        <v>#REF!</v>
      </c>
    </row>
    <row r="1148" spans="1:22" ht="39" hidden="1" thickBot="1">
      <c r="A1148" s="697">
        <v>85156</v>
      </c>
      <c r="B1148" s="857" t="s">
        <v>1116</v>
      </c>
      <c r="C1148" s="858">
        <f aca="true" t="shared" si="48" ref="C1148:U1148">SUM(C1149:C1153)</f>
        <v>0</v>
      </c>
      <c r="D1148" s="858">
        <f t="shared" si="48"/>
        <v>0</v>
      </c>
      <c r="E1148" s="858">
        <f t="shared" si="48"/>
        <v>0</v>
      </c>
      <c r="F1148" s="858">
        <f t="shared" si="48"/>
        <v>0</v>
      </c>
      <c r="G1148" s="858">
        <f t="shared" si="48"/>
        <v>0</v>
      </c>
      <c r="H1148" s="858">
        <f t="shared" si="48"/>
        <v>0</v>
      </c>
      <c r="I1148" s="858">
        <f>SUM(I1149:I1153)</f>
        <v>0</v>
      </c>
      <c r="J1148" s="858">
        <f>SUM(J1149:J1153)</f>
        <v>0</v>
      </c>
      <c r="K1148" s="858">
        <f>SUM(K1149:K1153)</f>
        <v>0</v>
      </c>
      <c r="L1148" s="858">
        <f t="shared" si="48"/>
        <v>0</v>
      </c>
      <c r="M1148" s="858">
        <f t="shared" si="48"/>
        <v>0</v>
      </c>
      <c r="N1148" s="858">
        <f t="shared" si="48"/>
        <v>0</v>
      </c>
      <c r="O1148" s="858">
        <f t="shared" si="48"/>
        <v>0</v>
      </c>
      <c r="P1148" s="858">
        <f t="shared" si="48"/>
        <v>0</v>
      </c>
      <c r="Q1148" s="858">
        <f t="shared" si="48"/>
        <v>0</v>
      </c>
      <c r="R1148" s="858">
        <f t="shared" si="48"/>
        <v>0</v>
      </c>
      <c r="S1148" s="858">
        <f t="shared" si="48"/>
        <v>0</v>
      </c>
      <c r="T1148" s="858">
        <f t="shared" si="48"/>
        <v>0</v>
      </c>
      <c r="U1148" s="858">
        <f t="shared" si="48"/>
        <v>0</v>
      </c>
      <c r="V1148" s="533" t="e">
        <f>SUM(C1148:U1148)-#REF!</f>
        <v>#REF!</v>
      </c>
    </row>
    <row r="1149" spans="1:22" ht="18" customHeight="1" hidden="1">
      <c r="A1149" s="600" t="s">
        <v>454</v>
      </c>
      <c r="B1149" s="601" t="s">
        <v>657</v>
      </c>
      <c r="C1149" s="859"/>
      <c r="D1149" s="859"/>
      <c r="E1149" s="859"/>
      <c r="F1149" s="859"/>
      <c r="G1149" s="859"/>
      <c r="H1149" s="859"/>
      <c r="I1149" s="859"/>
      <c r="J1149" s="859"/>
      <c r="K1149" s="859"/>
      <c r="L1149" s="859"/>
      <c r="M1149" s="859"/>
      <c r="N1149" s="859"/>
      <c r="O1149" s="859"/>
      <c r="P1149" s="859"/>
      <c r="Q1149" s="859"/>
      <c r="R1149" s="859"/>
      <c r="S1149" s="859"/>
      <c r="T1149" s="859"/>
      <c r="U1149" s="859"/>
      <c r="V1149" s="533" t="e">
        <f>SUM(C1149:U1149)-#REF!</f>
        <v>#REF!</v>
      </c>
    </row>
    <row r="1150" spans="1:22" ht="18" customHeight="1" hidden="1">
      <c r="A1150" s="600" t="s">
        <v>455</v>
      </c>
      <c r="B1150" s="601" t="s">
        <v>659</v>
      </c>
      <c r="C1150" s="859"/>
      <c r="D1150" s="859"/>
      <c r="E1150" s="859"/>
      <c r="F1150" s="859"/>
      <c r="G1150" s="859"/>
      <c r="H1150" s="859"/>
      <c r="I1150" s="859"/>
      <c r="J1150" s="859"/>
      <c r="K1150" s="859"/>
      <c r="L1150" s="859"/>
      <c r="M1150" s="859"/>
      <c r="N1150" s="859"/>
      <c r="O1150" s="859"/>
      <c r="P1150" s="859"/>
      <c r="Q1150" s="859"/>
      <c r="R1150" s="859"/>
      <c r="S1150" s="859"/>
      <c r="T1150" s="859"/>
      <c r="U1150" s="859"/>
      <c r="V1150" s="533" t="e">
        <f>SUM(C1150:U1150)-#REF!</f>
        <v>#REF!</v>
      </c>
    </row>
    <row r="1151" spans="1:22" ht="18" customHeight="1" hidden="1">
      <c r="A1151" s="699" t="s">
        <v>456</v>
      </c>
      <c r="B1151" s="860" t="s">
        <v>862</v>
      </c>
      <c r="C1151" s="861"/>
      <c r="D1151" s="861"/>
      <c r="E1151" s="861"/>
      <c r="F1151" s="861"/>
      <c r="G1151" s="861"/>
      <c r="H1151" s="861"/>
      <c r="I1151" s="861"/>
      <c r="J1151" s="861"/>
      <c r="K1151" s="861"/>
      <c r="L1151" s="861"/>
      <c r="M1151" s="861"/>
      <c r="N1151" s="861"/>
      <c r="O1151" s="861"/>
      <c r="P1151" s="861"/>
      <c r="Q1151" s="861"/>
      <c r="R1151" s="861"/>
      <c r="S1151" s="861"/>
      <c r="T1151" s="861"/>
      <c r="U1151" s="861"/>
      <c r="V1151" s="533" t="e">
        <f>SUM(C1151:U1151)-#REF!</f>
        <v>#REF!</v>
      </c>
    </row>
    <row r="1152" spans="1:22" ht="18" customHeight="1" hidden="1">
      <c r="A1152" s="606" t="s">
        <v>457</v>
      </c>
      <c r="B1152" s="601" t="s">
        <v>980</v>
      </c>
      <c r="C1152" s="862"/>
      <c r="D1152" s="862"/>
      <c r="E1152" s="862"/>
      <c r="F1152" s="862"/>
      <c r="G1152" s="862"/>
      <c r="H1152" s="862"/>
      <c r="I1152" s="862"/>
      <c r="J1152" s="862"/>
      <c r="K1152" s="862"/>
      <c r="L1152" s="862"/>
      <c r="M1152" s="862"/>
      <c r="N1152" s="862"/>
      <c r="O1152" s="862"/>
      <c r="P1152" s="862"/>
      <c r="Q1152" s="862"/>
      <c r="R1152" s="862"/>
      <c r="S1152" s="862"/>
      <c r="T1152" s="862"/>
      <c r="U1152" s="862"/>
      <c r="V1152" s="533" t="e">
        <f>SUM(C1152:U1152)-#REF!</f>
        <v>#REF!</v>
      </c>
    </row>
    <row r="1153" spans="1:22" ht="18" customHeight="1" hidden="1">
      <c r="A1153" s="699" t="s">
        <v>458</v>
      </c>
      <c r="B1153" s="863" t="s">
        <v>962</v>
      </c>
      <c r="C1153" s="864"/>
      <c r="D1153" s="864"/>
      <c r="E1153" s="864"/>
      <c r="F1153" s="864"/>
      <c r="G1153" s="864"/>
      <c r="H1153" s="864"/>
      <c r="I1153" s="864"/>
      <c r="J1153" s="864"/>
      <c r="K1153" s="864"/>
      <c r="L1153" s="864"/>
      <c r="M1153" s="864"/>
      <c r="N1153" s="864"/>
      <c r="O1153" s="864"/>
      <c r="P1153" s="864"/>
      <c r="Q1153" s="864"/>
      <c r="R1153" s="864"/>
      <c r="S1153" s="864"/>
      <c r="T1153" s="864"/>
      <c r="U1153" s="864"/>
      <c r="V1153" s="533" t="e">
        <f>SUM(C1153:U1153)-#REF!</f>
        <v>#REF!</v>
      </c>
    </row>
    <row r="1154" spans="1:22" ht="18" customHeight="1" hidden="1">
      <c r="A1154" s="865">
        <v>85195</v>
      </c>
      <c r="B1154" s="866" t="s">
        <v>1117</v>
      </c>
      <c r="C1154" s="867">
        <f aca="true" t="shared" si="49" ref="C1154:K1154">C1156+C1161+C1167+C1172</f>
        <v>0</v>
      </c>
      <c r="D1154" s="867">
        <f t="shared" si="49"/>
        <v>0</v>
      </c>
      <c r="E1154" s="867">
        <f t="shared" si="49"/>
        <v>0</v>
      </c>
      <c r="F1154" s="867">
        <f t="shared" si="49"/>
        <v>0</v>
      </c>
      <c r="G1154" s="867">
        <f t="shared" si="49"/>
        <v>0</v>
      </c>
      <c r="H1154" s="867">
        <f t="shared" si="49"/>
        <v>0</v>
      </c>
      <c r="I1154" s="867">
        <f t="shared" si="49"/>
        <v>0</v>
      </c>
      <c r="J1154" s="867">
        <f t="shared" si="49"/>
        <v>0</v>
      </c>
      <c r="K1154" s="867">
        <f t="shared" si="49"/>
        <v>0</v>
      </c>
      <c r="L1154" s="867">
        <f aca="true" t="shared" si="50" ref="L1154:R1154">L1156+L1161+L1167+L1172</f>
        <v>0</v>
      </c>
      <c r="M1154" s="867">
        <f t="shared" si="50"/>
        <v>0</v>
      </c>
      <c r="N1154" s="867">
        <f t="shared" si="50"/>
        <v>0</v>
      </c>
      <c r="O1154" s="867">
        <f t="shared" si="50"/>
        <v>0</v>
      </c>
      <c r="P1154" s="867">
        <f t="shared" si="50"/>
        <v>0</v>
      </c>
      <c r="Q1154" s="867">
        <f t="shared" si="50"/>
        <v>0</v>
      </c>
      <c r="R1154" s="867">
        <f t="shared" si="50"/>
        <v>0</v>
      </c>
      <c r="S1154" s="867">
        <f>S1156+S1161+S1167</f>
        <v>0</v>
      </c>
      <c r="T1154" s="867">
        <f>T1156+T1161+T1167</f>
        <v>0</v>
      </c>
      <c r="U1154" s="867">
        <f>U1156+U1161+U1167</f>
        <v>0</v>
      </c>
      <c r="V1154" s="533" t="e">
        <f>SUM(C1154:U1154)-#REF!</f>
        <v>#REF!</v>
      </c>
    </row>
    <row r="1155" spans="1:22" ht="33.75" hidden="1">
      <c r="A1155" s="765"/>
      <c r="B1155" s="868" t="s">
        <v>1118</v>
      </c>
      <c r="C1155" s="749"/>
      <c r="D1155" s="749"/>
      <c r="E1155" s="749"/>
      <c r="F1155" s="749"/>
      <c r="G1155" s="749"/>
      <c r="H1155" s="749"/>
      <c r="I1155" s="749"/>
      <c r="J1155" s="749"/>
      <c r="K1155" s="749"/>
      <c r="L1155" s="749"/>
      <c r="M1155" s="749"/>
      <c r="N1155" s="749"/>
      <c r="O1155" s="749"/>
      <c r="P1155" s="749"/>
      <c r="Q1155" s="749"/>
      <c r="R1155" s="749"/>
      <c r="S1155" s="749"/>
      <c r="T1155" s="749"/>
      <c r="U1155" s="749"/>
      <c r="V1155" s="533" t="e">
        <f>SUM(C1155:U1155)-#REF!</f>
        <v>#REF!</v>
      </c>
    </row>
    <row r="1156" spans="1:22" ht="38.25" hidden="1">
      <c r="A1156" s="869" t="s">
        <v>459</v>
      </c>
      <c r="B1156" s="870" t="s">
        <v>1119</v>
      </c>
      <c r="C1156" s="871">
        <f>SUM(C1157:C1160)</f>
        <v>0</v>
      </c>
      <c r="D1156" s="871">
        <f aca="true" t="shared" si="51" ref="D1156:U1156">SUM(D1157:D1160)</f>
        <v>0</v>
      </c>
      <c r="E1156" s="871">
        <f t="shared" si="51"/>
        <v>0</v>
      </c>
      <c r="F1156" s="871">
        <f t="shared" si="51"/>
        <v>0</v>
      </c>
      <c r="G1156" s="871">
        <f t="shared" si="51"/>
        <v>0</v>
      </c>
      <c r="H1156" s="871">
        <f t="shared" si="51"/>
        <v>0</v>
      </c>
      <c r="I1156" s="871">
        <f t="shared" si="51"/>
        <v>0</v>
      </c>
      <c r="J1156" s="871">
        <f t="shared" si="51"/>
        <v>0</v>
      </c>
      <c r="K1156" s="871">
        <f t="shared" si="51"/>
        <v>0</v>
      </c>
      <c r="L1156" s="871">
        <f t="shared" si="51"/>
        <v>0</v>
      </c>
      <c r="M1156" s="871">
        <f t="shared" si="51"/>
        <v>0</v>
      </c>
      <c r="N1156" s="871">
        <f t="shared" si="51"/>
        <v>0</v>
      </c>
      <c r="O1156" s="871">
        <f t="shared" si="51"/>
        <v>0</v>
      </c>
      <c r="P1156" s="871">
        <f t="shared" si="51"/>
        <v>0</v>
      </c>
      <c r="Q1156" s="871">
        <f t="shared" si="51"/>
        <v>0</v>
      </c>
      <c r="R1156" s="871">
        <f t="shared" si="51"/>
        <v>0</v>
      </c>
      <c r="S1156" s="871">
        <f t="shared" si="51"/>
        <v>0</v>
      </c>
      <c r="T1156" s="871">
        <f t="shared" si="51"/>
        <v>0</v>
      </c>
      <c r="U1156" s="871">
        <f t="shared" si="51"/>
        <v>0</v>
      </c>
      <c r="V1156" s="533" t="e">
        <f>SUM(C1156:U1156)-#REF!</f>
        <v>#REF!</v>
      </c>
    </row>
    <row r="1157" spans="1:22" ht="18" customHeight="1" hidden="1">
      <c r="A1157" s="872" t="s">
        <v>460</v>
      </c>
      <c r="B1157" s="873" t="s">
        <v>658</v>
      </c>
      <c r="C1157" s="874"/>
      <c r="D1157" s="874"/>
      <c r="E1157" s="874"/>
      <c r="F1157" s="874"/>
      <c r="G1157" s="874"/>
      <c r="H1157" s="874"/>
      <c r="I1157" s="874"/>
      <c r="J1157" s="874"/>
      <c r="K1157" s="874"/>
      <c r="L1157" s="874"/>
      <c r="M1157" s="874"/>
      <c r="N1157" s="874"/>
      <c r="O1157" s="874"/>
      <c r="P1157" s="874"/>
      <c r="Q1157" s="874"/>
      <c r="R1157" s="874"/>
      <c r="S1157" s="874"/>
      <c r="T1157" s="874"/>
      <c r="U1157" s="874"/>
      <c r="V1157" s="533" t="e">
        <f>SUM(C1157:U1157)-#REF!</f>
        <v>#REF!</v>
      </c>
    </row>
    <row r="1158" spans="1:22" ht="18" customHeight="1" hidden="1">
      <c r="A1158" s="872" t="s">
        <v>461</v>
      </c>
      <c r="B1158" s="875" t="s">
        <v>868</v>
      </c>
      <c r="C1158" s="874"/>
      <c r="D1158" s="874"/>
      <c r="E1158" s="874"/>
      <c r="F1158" s="874"/>
      <c r="G1158" s="874"/>
      <c r="H1158" s="874"/>
      <c r="I1158" s="874"/>
      <c r="J1158" s="874"/>
      <c r="K1158" s="874"/>
      <c r="L1158" s="874"/>
      <c r="M1158" s="874"/>
      <c r="N1158" s="874"/>
      <c r="O1158" s="874"/>
      <c r="P1158" s="874"/>
      <c r="Q1158" s="874"/>
      <c r="R1158" s="874"/>
      <c r="S1158" s="874"/>
      <c r="T1158" s="874"/>
      <c r="U1158" s="874"/>
      <c r="V1158" s="533" t="e">
        <f>SUM(C1158:U1158)-#REF!</f>
        <v>#REF!</v>
      </c>
    </row>
    <row r="1159" spans="1:22" ht="18" customHeight="1" hidden="1">
      <c r="A1159" s="872" t="s">
        <v>462</v>
      </c>
      <c r="B1159" s="875" t="s">
        <v>702</v>
      </c>
      <c r="C1159" s="874"/>
      <c r="D1159" s="874"/>
      <c r="E1159" s="874"/>
      <c r="F1159" s="874"/>
      <c r="G1159" s="874"/>
      <c r="H1159" s="874"/>
      <c r="I1159" s="874"/>
      <c r="J1159" s="874"/>
      <c r="K1159" s="874"/>
      <c r="L1159" s="874"/>
      <c r="M1159" s="874"/>
      <c r="N1159" s="874"/>
      <c r="O1159" s="874"/>
      <c r="P1159" s="874"/>
      <c r="Q1159" s="874"/>
      <c r="R1159" s="874"/>
      <c r="S1159" s="874"/>
      <c r="T1159" s="874"/>
      <c r="U1159" s="874"/>
      <c r="V1159" s="533" t="e">
        <f>SUM(C1159:U1159)-#REF!</f>
        <v>#REF!</v>
      </c>
    </row>
    <row r="1160" spans="1:22" ht="25.5" hidden="1">
      <c r="A1160" s="872" t="s">
        <v>463</v>
      </c>
      <c r="B1160" s="873" t="s">
        <v>1120</v>
      </c>
      <c r="C1160" s="874"/>
      <c r="D1160" s="874"/>
      <c r="E1160" s="874"/>
      <c r="F1160" s="874"/>
      <c r="G1160" s="874"/>
      <c r="H1160" s="874"/>
      <c r="I1160" s="874"/>
      <c r="J1160" s="874"/>
      <c r="K1160" s="874"/>
      <c r="L1160" s="874"/>
      <c r="M1160" s="874"/>
      <c r="N1160" s="874"/>
      <c r="O1160" s="874"/>
      <c r="P1160" s="874"/>
      <c r="Q1160" s="874"/>
      <c r="R1160" s="874"/>
      <c r="S1160" s="874"/>
      <c r="T1160" s="874"/>
      <c r="U1160" s="874"/>
      <c r="V1160" s="533" t="e">
        <f>SUM(C1160:U1160)-#REF!</f>
        <v>#REF!</v>
      </c>
    </row>
    <row r="1161" spans="1:22" ht="38.25" hidden="1">
      <c r="A1161" s="869" t="s">
        <v>464</v>
      </c>
      <c r="B1161" s="870" t="s">
        <v>1121</v>
      </c>
      <c r="C1161" s="871">
        <f aca="true" t="shared" si="52" ref="C1161:K1161">SUM(C1162:C1166)</f>
        <v>0</v>
      </c>
      <c r="D1161" s="871">
        <f t="shared" si="52"/>
        <v>0</v>
      </c>
      <c r="E1161" s="871">
        <f t="shared" si="52"/>
        <v>0</v>
      </c>
      <c r="F1161" s="871">
        <f t="shared" si="52"/>
        <v>0</v>
      </c>
      <c r="G1161" s="871">
        <f t="shared" si="52"/>
        <v>0</v>
      </c>
      <c r="H1161" s="871">
        <f t="shared" si="52"/>
        <v>0</v>
      </c>
      <c r="I1161" s="871">
        <f t="shared" si="52"/>
        <v>0</v>
      </c>
      <c r="J1161" s="871">
        <f t="shared" si="52"/>
        <v>0</v>
      </c>
      <c r="K1161" s="871">
        <f t="shared" si="52"/>
        <v>0</v>
      </c>
      <c r="L1161" s="871">
        <f aca="true" t="shared" si="53" ref="L1161:U1161">SUM(L1162:L1166)</f>
        <v>0</v>
      </c>
      <c r="M1161" s="871">
        <f t="shared" si="53"/>
        <v>0</v>
      </c>
      <c r="N1161" s="871">
        <f t="shared" si="53"/>
        <v>0</v>
      </c>
      <c r="O1161" s="871">
        <f t="shared" si="53"/>
        <v>0</v>
      </c>
      <c r="P1161" s="871">
        <f t="shared" si="53"/>
        <v>0</v>
      </c>
      <c r="Q1161" s="871">
        <f t="shared" si="53"/>
        <v>0</v>
      </c>
      <c r="R1161" s="871">
        <f t="shared" si="53"/>
        <v>0</v>
      </c>
      <c r="S1161" s="871">
        <f t="shared" si="53"/>
        <v>0</v>
      </c>
      <c r="T1161" s="871">
        <f t="shared" si="53"/>
        <v>0</v>
      </c>
      <c r="U1161" s="871">
        <f t="shared" si="53"/>
        <v>0</v>
      </c>
      <c r="V1161" s="533" t="e">
        <f>SUM(C1161:U1161)-#REF!</f>
        <v>#REF!</v>
      </c>
    </row>
    <row r="1162" spans="1:22" ht="18" customHeight="1" hidden="1">
      <c r="A1162" s="872" t="s">
        <v>465</v>
      </c>
      <c r="B1162" s="873" t="s">
        <v>654</v>
      </c>
      <c r="C1162" s="874"/>
      <c r="D1162" s="874"/>
      <c r="E1162" s="874"/>
      <c r="F1162" s="874"/>
      <c r="G1162" s="874"/>
      <c r="H1162" s="874"/>
      <c r="I1162" s="874"/>
      <c r="J1162" s="874"/>
      <c r="K1162" s="874"/>
      <c r="L1162" s="874"/>
      <c r="M1162" s="874"/>
      <c r="N1162" s="874"/>
      <c r="O1162" s="874"/>
      <c r="P1162" s="874"/>
      <c r="Q1162" s="874"/>
      <c r="R1162" s="874"/>
      <c r="S1162" s="874"/>
      <c r="T1162" s="874"/>
      <c r="U1162" s="874"/>
      <c r="V1162" s="533" t="e">
        <f>SUM(C1162:U1162)-#REF!</f>
        <v>#REF!</v>
      </c>
    </row>
    <row r="1163" spans="1:22" ht="18" customHeight="1" hidden="1">
      <c r="A1163" s="872" t="s">
        <v>466</v>
      </c>
      <c r="B1163" s="873" t="s">
        <v>658</v>
      </c>
      <c r="C1163" s="874"/>
      <c r="D1163" s="874"/>
      <c r="E1163" s="874"/>
      <c r="F1163" s="874"/>
      <c r="G1163" s="874"/>
      <c r="H1163" s="874"/>
      <c r="I1163" s="874"/>
      <c r="J1163" s="874"/>
      <c r="K1163" s="874"/>
      <c r="L1163" s="874"/>
      <c r="M1163" s="874"/>
      <c r="N1163" s="874"/>
      <c r="O1163" s="874"/>
      <c r="P1163" s="874"/>
      <c r="Q1163" s="874"/>
      <c r="R1163" s="874"/>
      <c r="S1163" s="874"/>
      <c r="T1163" s="874"/>
      <c r="U1163" s="874"/>
      <c r="V1163" s="533" t="e">
        <f>SUM(C1163:U1163)-#REF!</f>
        <v>#REF!</v>
      </c>
    </row>
    <row r="1164" spans="1:22" ht="18" customHeight="1" hidden="1">
      <c r="A1164" s="872" t="s">
        <v>467</v>
      </c>
      <c r="B1164" s="875" t="s">
        <v>975</v>
      </c>
      <c r="C1164" s="874"/>
      <c r="D1164" s="874"/>
      <c r="E1164" s="874"/>
      <c r="F1164" s="874"/>
      <c r="G1164" s="874"/>
      <c r="H1164" s="874"/>
      <c r="I1164" s="874"/>
      <c r="J1164" s="874"/>
      <c r="K1164" s="874"/>
      <c r="L1164" s="874"/>
      <c r="M1164" s="874"/>
      <c r="N1164" s="874"/>
      <c r="O1164" s="874"/>
      <c r="P1164" s="874"/>
      <c r="Q1164" s="874"/>
      <c r="R1164" s="874"/>
      <c r="S1164" s="874"/>
      <c r="T1164" s="874"/>
      <c r="U1164" s="874"/>
      <c r="V1164" s="533" t="e">
        <f>SUM(C1164:U1164)-#REF!</f>
        <v>#REF!</v>
      </c>
    </row>
    <row r="1165" spans="1:22" ht="25.5" hidden="1">
      <c r="A1165" s="872"/>
      <c r="B1165" s="873" t="s">
        <v>1120</v>
      </c>
      <c r="C1165" s="874"/>
      <c r="D1165" s="874"/>
      <c r="E1165" s="874"/>
      <c r="F1165" s="874"/>
      <c r="G1165" s="874"/>
      <c r="H1165" s="874"/>
      <c r="I1165" s="874"/>
      <c r="J1165" s="874"/>
      <c r="K1165" s="874"/>
      <c r="L1165" s="874"/>
      <c r="M1165" s="874"/>
      <c r="N1165" s="874"/>
      <c r="O1165" s="874"/>
      <c r="P1165" s="874"/>
      <c r="Q1165" s="874"/>
      <c r="R1165" s="874"/>
      <c r="S1165" s="874"/>
      <c r="T1165" s="874"/>
      <c r="U1165" s="874"/>
      <c r="V1165" s="533" t="e">
        <f>SUM(C1165:U1165)-#REF!</f>
        <v>#REF!</v>
      </c>
    </row>
    <row r="1166" spans="1:22" ht="18" customHeight="1" hidden="1">
      <c r="A1166" s="872" t="s">
        <v>468</v>
      </c>
      <c r="B1166" s="875" t="s">
        <v>702</v>
      </c>
      <c r="C1166" s="874"/>
      <c r="D1166" s="874"/>
      <c r="E1166" s="874"/>
      <c r="F1166" s="874"/>
      <c r="G1166" s="874"/>
      <c r="H1166" s="874"/>
      <c r="I1166" s="874"/>
      <c r="J1166" s="874"/>
      <c r="K1166" s="874"/>
      <c r="L1166" s="874"/>
      <c r="M1166" s="874"/>
      <c r="N1166" s="874"/>
      <c r="O1166" s="874"/>
      <c r="P1166" s="874"/>
      <c r="Q1166" s="874"/>
      <c r="R1166" s="874"/>
      <c r="S1166" s="874"/>
      <c r="T1166" s="874"/>
      <c r="U1166" s="874"/>
      <c r="V1166" s="533" t="e">
        <f>SUM(C1166:U1166)-#REF!</f>
        <v>#REF!</v>
      </c>
    </row>
    <row r="1167" spans="1:22" ht="24" customHeight="1" hidden="1">
      <c r="A1167" s="869" t="s">
        <v>469</v>
      </c>
      <c r="B1167" s="870" t="s">
        <v>1122</v>
      </c>
      <c r="C1167" s="871">
        <f>SUM(C1168:C1171)</f>
        <v>0</v>
      </c>
      <c r="D1167" s="871">
        <f aca="true" t="shared" si="54" ref="D1167:U1167">SUM(D1168:D1171)</f>
        <v>0</v>
      </c>
      <c r="E1167" s="871">
        <f t="shared" si="54"/>
        <v>0</v>
      </c>
      <c r="F1167" s="871">
        <f t="shared" si="54"/>
        <v>0</v>
      </c>
      <c r="G1167" s="871">
        <f t="shared" si="54"/>
        <v>0</v>
      </c>
      <c r="H1167" s="871">
        <f t="shared" si="54"/>
        <v>0</v>
      </c>
      <c r="I1167" s="871">
        <f t="shared" si="54"/>
        <v>0</v>
      </c>
      <c r="J1167" s="871">
        <f t="shared" si="54"/>
        <v>0</v>
      </c>
      <c r="K1167" s="871">
        <f t="shared" si="54"/>
        <v>0</v>
      </c>
      <c r="L1167" s="871">
        <f t="shared" si="54"/>
        <v>0</v>
      </c>
      <c r="M1167" s="871">
        <f t="shared" si="54"/>
        <v>0</v>
      </c>
      <c r="N1167" s="871">
        <f t="shared" si="54"/>
        <v>0</v>
      </c>
      <c r="O1167" s="871">
        <f t="shared" si="54"/>
        <v>0</v>
      </c>
      <c r="P1167" s="871">
        <f t="shared" si="54"/>
        <v>0</v>
      </c>
      <c r="Q1167" s="871">
        <f t="shared" si="54"/>
        <v>0</v>
      </c>
      <c r="R1167" s="871">
        <f t="shared" si="54"/>
        <v>0</v>
      </c>
      <c r="S1167" s="871">
        <f t="shared" si="54"/>
        <v>0</v>
      </c>
      <c r="T1167" s="871">
        <f t="shared" si="54"/>
        <v>0</v>
      </c>
      <c r="U1167" s="871">
        <f t="shared" si="54"/>
        <v>0</v>
      </c>
      <c r="V1167" s="533" t="e">
        <f>SUM(C1167:U1167)-#REF!</f>
        <v>#REF!</v>
      </c>
    </row>
    <row r="1168" spans="1:22" ht="18" customHeight="1" hidden="1">
      <c r="A1168" s="872" t="s">
        <v>470</v>
      </c>
      <c r="B1168" s="873" t="s">
        <v>654</v>
      </c>
      <c r="C1168" s="874"/>
      <c r="D1168" s="874"/>
      <c r="E1168" s="874"/>
      <c r="F1168" s="874"/>
      <c r="G1168" s="874"/>
      <c r="H1168" s="874"/>
      <c r="I1168" s="874"/>
      <c r="J1168" s="874"/>
      <c r="K1168" s="874"/>
      <c r="L1168" s="874"/>
      <c r="M1168" s="874"/>
      <c r="N1168" s="874"/>
      <c r="O1168" s="874"/>
      <c r="P1168" s="874"/>
      <c r="Q1168" s="874"/>
      <c r="R1168" s="874"/>
      <c r="S1168" s="874"/>
      <c r="T1168" s="874"/>
      <c r="U1168" s="874"/>
      <c r="V1168" s="533" t="e">
        <f>SUM(C1168:U1168)-#REF!</f>
        <v>#REF!</v>
      </c>
    </row>
    <row r="1169" spans="1:22" ht="18" customHeight="1" hidden="1">
      <c r="A1169" s="872" t="s">
        <v>471</v>
      </c>
      <c r="B1169" s="873" t="s">
        <v>658</v>
      </c>
      <c r="C1169" s="874"/>
      <c r="D1169" s="874"/>
      <c r="E1169" s="874"/>
      <c r="F1169" s="874"/>
      <c r="G1169" s="874"/>
      <c r="H1169" s="874"/>
      <c r="I1169" s="874"/>
      <c r="J1169" s="874"/>
      <c r="K1169" s="874"/>
      <c r="L1169" s="874"/>
      <c r="M1169" s="874"/>
      <c r="N1169" s="874"/>
      <c r="O1169" s="874"/>
      <c r="P1169" s="874"/>
      <c r="Q1169" s="874"/>
      <c r="R1169" s="874"/>
      <c r="S1169" s="874"/>
      <c r="T1169" s="874"/>
      <c r="U1169" s="874"/>
      <c r="V1169" s="533" t="e">
        <f>SUM(C1169:U1169)-#REF!</f>
        <v>#REF!</v>
      </c>
    </row>
    <row r="1170" spans="1:22" ht="18" customHeight="1" hidden="1">
      <c r="A1170" s="872"/>
      <c r="B1170" s="873" t="s">
        <v>680</v>
      </c>
      <c r="C1170" s="874"/>
      <c r="D1170" s="874"/>
      <c r="E1170" s="874"/>
      <c r="F1170" s="874"/>
      <c r="G1170" s="874"/>
      <c r="H1170" s="874"/>
      <c r="I1170" s="874"/>
      <c r="J1170" s="874"/>
      <c r="K1170" s="874"/>
      <c r="L1170" s="874"/>
      <c r="M1170" s="874"/>
      <c r="N1170" s="874"/>
      <c r="O1170" s="874"/>
      <c r="P1170" s="874"/>
      <c r="Q1170" s="874"/>
      <c r="R1170" s="874"/>
      <c r="S1170" s="874"/>
      <c r="T1170" s="874"/>
      <c r="U1170" s="874"/>
      <c r="V1170" s="533" t="e">
        <f>SUM(C1170:U1170)-#REF!</f>
        <v>#REF!</v>
      </c>
    </row>
    <row r="1171" spans="1:22" ht="25.5" hidden="1">
      <c r="A1171" s="872" t="s">
        <v>472</v>
      </c>
      <c r="B1171" s="873" t="s">
        <v>1120</v>
      </c>
      <c r="C1171" s="874"/>
      <c r="D1171" s="874"/>
      <c r="E1171" s="874"/>
      <c r="F1171" s="874"/>
      <c r="G1171" s="874"/>
      <c r="H1171" s="874"/>
      <c r="I1171" s="874"/>
      <c r="J1171" s="874"/>
      <c r="K1171" s="874"/>
      <c r="L1171" s="874"/>
      <c r="M1171" s="874"/>
      <c r="N1171" s="874"/>
      <c r="O1171" s="874"/>
      <c r="P1171" s="874"/>
      <c r="Q1171" s="874"/>
      <c r="R1171" s="874"/>
      <c r="S1171" s="874"/>
      <c r="T1171" s="874"/>
      <c r="U1171" s="874"/>
      <c r="V1171" s="533" t="e">
        <f>SUM(C1171:U1171)-#REF!</f>
        <v>#REF!</v>
      </c>
    </row>
    <row r="1172" spans="1:22" ht="25.5" hidden="1">
      <c r="A1172" s="869"/>
      <c r="B1172" s="870" t="s">
        <v>1134</v>
      </c>
      <c r="C1172" s="871">
        <f>C1173</f>
        <v>0</v>
      </c>
      <c r="D1172" s="871">
        <f>D1173</f>
        <v>0</v>
      </c>
      <c r="E1172" s="871">
        <f>E1173</f>
        <v>0</v>
      </c>
      <c r="F1172" s="871">
        <f aca="true" t="shared" si="55" ref="F1172:U1172">F1173</f>
        <v>0</v>
      </c>
      <c r="G1172" s="871">
        <f t="shared" si="55"/>
        <v>0</v>
      </c>
      <c r="H1172" s="871">
        <f t="shared" si="55"/>
        <v>0</v>
      </c>
      <c r="I1172" s="871">
        <f>I1173</f>
        <v>0</v>
      </c>
      <c r="J1172" s="871">
        <f t="shared" si="55"/>
        <v>0</v>
      </c>
      <c r="K1172" s="871">
        <f t="shared" si="55"/>
        <v>0</v>
      </c>
      <c r="L1172" s="871">
        <f t="shared" si="55"/>
        <v>0</v>
      </c>
      <c r="M1172" s="871">
        <f t="shared" si="55"/>
        <v>0</v>
      </c>
      <c r="N1172" s="871">
        <f t="shared" si="55"/>
        <v>0</v>
      </c>
      <c r="O1172" s="871">
        <f t="shared" si="55"/>
        <v>0</v>
      </c>
      <c r="P1172" s="871">
        <f t="shared" si="55"/>
        <v>0</v>
      </c>
      <c r="Q1172" s="871">
        <f t="shared" si="55"/>
        <v>0</v>
      </c>
      <c r="R1172" s="871">
        <f t="shared" si="55"/>
        <v>0</v>
      </c>
      <c r="S1172" s="871">
        <f t="shared" si="55"/>
        <v>0</v>
      </c>
      <c r="T1172" s="871">
        <f t="shared" si="55"/>
        <v>0</v>
      </c>
      <c r="U1172" s="871">
        <f t="shared" si="55"/>
        <v>0</v>
      </c>
      <c r="V1172" s="533" t="e">
        <f>SUM(C1172:U1172)-#REF!</f>
        <v>#REF!</v>
      </c>
    </row>
    <row r="1173" spans="1:22" ht="18" customHeight="1" hidden="1">
      <c r="A1173" s="872"/>
      <c r="B1173" s="840" t="s">
        <v>1003</v>
      </c>
      <c r="C1173" s="874"/>
      <c r="D1173" s="874"/>
      <c r="E1173" s="874"/>
      <c r="F1173" s="874"/>
      <c r="G1173" s="874"/>
      <c r="H1173" s="874"/>
      <c r="I1173" s="874"/>
      <c r="J1173" s="874"/>
      <c r="K1173" s="874"/>
      <c r="L1173" s="874"/>
      <c r="M1173" s="874"/>
      <c r="N1173" s="874"/>
      <c r="O1173" s="874"/>
      <c r="P1173" s="874"/>
      <c r="Q1173" s="874"/>
      <c r="R1173" s="874"/>
      <c r="S1173" s="874"/>
      <c r="T1173" s="874"/>
      <c r="U1173" s="874"/>
      <c r="V1173" s="533" t="e">
        <f>SUM(C1173:U1173)-#REF!</f>
        <v>#REF!</v>
      </c>
    </row>
    <row r="1174" spans="1:22" ht="18" customHeight="1" hidden="1">
      <c r="A1174" s="872"/>
      <c r="B1174" s="876" t="s">
        <v>493</v>
      </c>
      <c r="C1174" s="877">
        <f>C1175+C1179</f>
        <v>0</v>
      </c>
      <c r="D1174" s="877">
        <f>D1175+D1179</f>
        <v>0</v>
      </c>
      <c r="E1174" s="877">
        <f>E1175+E1179</f>
        <v>0</v>
      </c>
      <c r="F1174" s="877">
        <f>F1175+F1179</f>
        <v>0</v>
      </c>
      <c r="G1174" s="877">
        <f aca="true" t="shared" si="56" ref="G1174:U1174">G1175+G1179</f>
        <v>0</v>
      </c>
      <c r="H1174" s="877">
        <f t="shared" si="56"/>
        <v>0</v>
      </c>
      <c r="I1174" s="877">
        <f t="shared" si="56"/>
        <v>0</v>
      </c>
      <c r="J1174" s="877">
        <f t="shared" si="56"/>
        <v>0</v>
      </c>
      <c r="K1174" s="877">
        <f t="shared" si="56"/>
        <v>0</v>
      </c>
      <c r="L1174" s="877">
        <f t="shared" si="56"/>
        <v>0</v>
      </c>
      <c r="M1174" s="877">
        <f t="shared" si="56"/>
        <v>0</v>
      </c>
      <c r="N1174" s="877">
        <f t="shared" si="56"/>
        <v>0</v>
      </c>
      <c r="O1174" s="877">
        <f t="shared" si="56"/>
        <v>0</v>
      </c>
      <c r="P1174" s="877">
        <f t="shared" si="56"/>
        <v>0</v>
      </c>
      <c r="Q1174" s="877">
        <f t="shared" si="56"/>
        <v>0</v>
      </c>
      <c r="R1174" s="877">
        <f t="shared" si="56"/>
        <v>0</v>
      </c>
      <c r="S1174" s="877">
        <f t="shared" si="56"/>
        <v>0</v>
      </c>
      <c r="T1174" s="877">
        <f t="shared" si="56"/>
        <v>0</v>
      </c>
      <c r="U1174" s="877">
        <f t="shared" si="56"/>
        <v>0</v>
      </c>
      <c r="V1174" s="533" t="e">
        <f>SUM(C1174:U1174)-#REF!</f>
        <v>#REF!</v>
      </c>
    </row>
    <row r="1175" spans="1:22" ht="18" customHeight="1" hidden="1">
      <c r="A1175" s="520"/>
      <c r="B1175" s="878" t="s">
        <v>898</v>
      </c>
      <c r="C1175" s="878">
        <f>C1176</f>
        <v>0</v>
      </c>
      <c r="D1175" s="878">
        <f>D1176</f>
        <v>0</v>
      </c>
      <c r="E1175" s="878">
        <f>E1176</f>
        <v>0</v>
      </c>
      <c r="F1175" s="878">
        <f>F1176</f>
        <v>0</v>
      </c>
      <c r="G1175" s="878">
        <f aca="true" t="shared" si="57" ref="G1175:U1175">G1176</f>
        <v>0</v>
      </c>
      <c r="H1175" s="878">
        <f t="shared" si="57"/>
        <v>0</v>
      </c>
      <c r="I1175" s="878">
        <f t="shared" si="57"/>
        <v>0</v>
      </c>
      <c r="J1175" s="878">
        <f t="shared" si="57"/>
        <v>0</v>
      </c>
      <c r="K1175" s="878">
        <f t="shared" si="57"/>
        <v>0</v>
      </c>
      <c r="L1175" s="878">
        <f t="shared" si="57"/>
        <v>0</v>
      </c>
      <c r="M1175" s="878">
        <f t="shared" si="57"/>
        <v>0</v>
      </c>
      <c r="N1175" s="878">
        <f t="shared" si="57"/>
        <v>0</v>
      </c>
      <c r="O1175" s="878">
        <f t="shared" si="57"/>
        <v>0</v>
      </c>
      <c r="P1175" s="878">
        <f t="shared" si="57"/>
        <v>0</v>
      </c>
      <c r="Q1175" s="878">
        <f t="shared" si="57"/>
        <v>0</v>
      </c>
      <c r="R1175" s="878">
        <f t="shared" si="57"/>
        <v>0</v>
      </c>
      <c r="S1175" s="878">
        <f t="shared" si="57"/>
        <v>0</v>
      </c>
      <c r="T1175" s="878">
        <f t="shared" si="57"/>
        <v>0</v>
      </c>
      <c r="U1175" s="878">
        <f t="shared" si="57"/>
        <v>0</v>
      </c>
      <c r="V1175" s="533" t="e">
        <f>SUM(C1175:U1175)-#REF!</f>
        <v>#REF!</v>
      </c>
    </row>
    <row r="1176" spans="1:22" ht="18" customHeight="1" hidden="1">
      <c r="A1176" s="523">
        <v>80101</v>
      </c>
      <c r="B1176" s="879" t="s">
        <v>602</v>
      </c>
      <c r="C1176" s="880">
        <f>C1178</f>
        <v>0</v>
      </c>
      <c r="D1176" s="880">
        <f>D1178</f>
        <v>0</v>
      </c>
      <c r="E1176" s="880">
        <f>E1178</f>
        <v>0</v>
      </c>
      <c r="F1176" s="880">
        <f>F1178</f>
        <v>0</v>
      </c>
      <c r="G1176" s="880">
        <f aca="true" t="shared" si="58" ref="G1176:U1176">G1178</f>
        <v>0</v>
      </c>
      <c r="H1176" s="880">
        <f t="shared" si="58"/>
        <v>0</v>
      </c>
      <c r="I1176" s="880">
        <f t="shared" si="58"/>
        <v>0</v>
      </c>
      <c r="J1176" s="880">
        <f t="shared" si="58"/>
        <v>0</v>
      </c>
      <c r="K1176" s="880">
        <f t="shared" si="58"/>
        <v>0</v>
      </c>
      <c r="L1176" s="880">
        <f t="shared" si="58"/>
        <v>0</v>
      </c>
      <c r="M1176" s="880">
        <f t="shared" si="58"/>
        <v>0</v>
      </c>
      <c r="N1176" s="880">
        <f t="shared" si="58"/>
        <v>0</v>
      </c>
      <c r="O1176" s="880">
        <f t="shared" si="58"/>
        <v>0</v>
      </c>
      <c r="P1176" s="880">
        <f t="shared" si="58"/>
        <v>0</v>
      </c>
      <c r="Q1176" s="880">
        <f t="shared" si="58"/>
        <v>0</v>
      </c>
      <c r="R1176" s="880">
        <f t="shared" si="58"/>
        <v>0</v>
      </c>
      <c r="S1176" s="880">
        <f t="shared" si="58"/>
        <v>0</v>
      </c>
      <c r="T1176" s="880">
        <f t="shared" si="58"/>
        <v>0</v>
      </c>
      <c r="U1176" s="880">
        <f t="shared" si="58"/>
        <v>0</v>
      </c>
      <c r="V1176" s="533" t="e">
        <f>SUM(C1176:U1176)-#REF!</f>
        <v>#REF!</v>
      </c>
    </row>
    <row r="1177" spans="1:22" ht="18" customHeight="1" hidden="1">
      <c r="A1177" s="881"/>
      <c r="B1177" s="531" t="s">
        <v>964</v>
      </c>
      <c r="C1177" s="874"/>
      <c r="D1177" s="874"/>
      <c r="E1177" s="874"/>
      <c r="F1177" s="874"/>
      <c r="G1177" s="874"/>
      <c r="H1177" s="874"/>
      <c r="I1177" s="874"/>
      <c r="J1177" s="874"/>
      <c r="K1177" s="874"/>
      <c r="L1177" s="874"/>
      <c r="M1177" s="874"/>
      <c r="N1177" s="874"/>
      <c r="O1177" s="874"/>
      <c r="P1177" s="874"/>
      <c r="Q1177" s="874"/>
      <c r="R1177" s="874"/>
      <c r="S1177" s="874"/>
      <c r="T1177" s="874"/>
      <c r="U1177" s="874"/>
      <c r="V1177" s="533"/>
    </row>
    <row r="1178" spans="1:22" ht="18" customHeight="1" hidden="1">
      <c r="A1178" s="527" t="s">
        <v>473</v>
      </c>
      <c r="B1178" s="528" t="s">
        <v>678</v>
      </c>
      <c r="C1178" s="528"/>
      <c r="D1178" s="528"/>
      <c r="E1178" s="528"/>
      <c r="F1178" s="528"/>
      <c r="G1178" s="528"/>
      <c r="H1178" s="528"/>
      <c r="I1178" s="528"/>
      <c r="J1178" s="528"/>
      <c r="K1178" s="528"/>
      <c r="L1178" s="528"/>
      <c r="M1178" s="528"/>
      <c r="N1178" s="528"/>
      <c r="O1178" s="528"/>
      <c r="P1178" s="528"/>
      <c r="Q1178" s="528"/>
      <c r="R1178" s="528"/>
      <c r="S1178" s="528"/>
      <c r="T1178" s="528"/>
      <c r="U1178" s="528"/>
      <c r="V1178" s="533" t="e">
        <f>SUM(C1178:U1178)-#REF!</f>
        <v>#REF!</v>
      </c>
    </row>
    <row r="1179" spans="1:22" ht="18" customHeight="1" hidden="1">
      <c r="A1179" s="882">
        <v>854</v>
      </c>
      <c r="B1179" s="883" t="s">
        <v>991</v>
      </c>
      <c r="C1179" s="884">
        <f>C1180</f>
        <v>0</v>
      </c>
      <c r="D1179" s="884">
        <f>D1180</f>
        <v>0</v>
      </c>
      <c r="E1179" s="884">
        <f>E1180</f>
        <v>0</v>
      </c>
      <c r="F1179" s="884">
        <f>F1180</f>
        <v>0</v>
      </c>
      <c r="G1179" s="884">
        <f aca="true" t="shared" si="59" ref="G1179:U1179">G1180</f>
        <v>0</v>
      </c>
      <c r="H1179" s="884">
        <f t="shared" si="59"/>
        <v>0</v>
      </c>
      <c r="I1179" s="884">
        <f t="shared" si="59"/>
        <v>0</v>
      </c>
      <c r="J1179" s="884">
        <f t="shared" si="59"/>
        <v>0</v>
      </c>
      <c r="K1179" s="884">
        <f t="shared" si="59"/>
        <v>0</v>
      </c>
      <c r="L1179" s="884">
        <f t="shared" si="59"/>
        <v>0</v>
      </c>
      <c r="M1179" s="884">
        <f t="shared" si="59"/>
        <v>0</v>
      </c>
      <c r="N1179" s="884">
        <f t="shared" si="59"/>
        <v>0</v>
      </c>
      <c r="O1179" s="884">
        <f t="shared" si="59"/>
        <v>0</v>
      </c>
      <c r="P1179" s="884">
        <f t="shared" si="59"/>
        <v>0</v>
      </c>
      <c r="Q1179" s="884">
        <f t="shared" si="59"/>
        <v>0</v>
      </c>
      <c r="R1179" s="884">
        <f t="shared" si="59"/>
        <v>0</v>
      </c>
      <c r="S1179" s="884">
        <f t="shared" si="59"/>
        <v>0</v>
      </c>
      <c r="T1179" s="884">
        <f t="shared" si="59"/>
        <v>0</v>
      </c>
      <c r="U1179" s="884">
        <f t="shared" si="59"/>
        <v>0</v>
      </c>
      <c r="V1179" s="533" t="e">
        <f>SUM(C1179:U1179)-#REF!</f>
        <v>#REF!</v>
      </c>
    </row>
    <row r="1180" spans="1:22" ht="18" customHeight="1" hidden="1">
      <c r="A1180" s="885">
        <v>85401</v>
      </c>
      <c r="B1180" s="886" t="s">
        <v>919</v>
      </c>
      <c r="C1180" s="887">
        <f>C1182</f>
        <v>0</v>
      </c>
      <c r="D1180" s="887">
        <f>D1182</f>
        <v>0</v>
      </c>
      <c r="E1180" s="887">
        <f>E1182</f>
        <v>0</v>
      </c>
      <c r="F1180" s="887">
        <f>F1182</f>
        <v>0</v>
      </c>
      <c r="G1180" s="887">
        <f aca="true" t="shared" si="60" ref="G1180:U1180">G1182</f>
        <v>0</v>
      </c>
      <c r="H1180" s="887">
        <f t="shared" si="60"/>
        <v>0</v>
      </c>
      <c r="I1180" s="887">
        <f t="shared" si="60"/>
        <v>0</v>
      </c>
      <c r="J1180" s="887">
        <f t="shared" si="60"/>
        <v>0</v>
      </c>
      <c r="K1180" s="887">
        <f t="shared" si="60"/>
        <v>0</v>
      </c>
      <c r="L1180" s="887">
        <f t="shared" si="60"/>
        <v>0</v>
      </c>
      <c r="M1180" s="887">
        <f t="shared" si="60"/>
        <v>0</v>
      </c>
      <c r="N1180" s="887">
        <f t="shared" si="60"/>
        <v>0</v>
      </c>
      <c r="O1180" s="887">
        <f t="shared" si="60"/>
        <v>0</v>
      </c>
      <c r="P1180" s="887">
        <f t="shared" si="60"/>
        <v>0</v>
      </c>
      <c r="Q1180" s="887">
        <f t="shared" si="60"/>
        <v>0</v>
      </c>
      <c r="R1180" s="887">
        <f t="shared" si="60"/>
        <v>0</v>
      </c>
      <c r="S1180" s="887">
        <f t="shared" si="60"/>
        <v>0</v>
      </c>
      <c r="T1180" s="887">
        <f t="shared" si="60"/>
        <v>0</v>
      </c>
      <c r="U1180" s="887">
        <f t="shared" si="60"/>
        <v>0</v>
      </c>
      <c r="V1180" s="533" t="e">
        <f>SUM(C1180:U1180)-#REF!</f>
        <v>#REF!</v>
      </c>
    </row>
    <row r="1181" spans="1:22" ht="18" customHeight="1" hidden="1">
      <c r="A1181" s="872"/>
      <c r="B1181" s="531" t="s">
        <v>964</v>
      </c>
      <c r="C1181" s="874"/>
      <c r="D1181" s="874"/>
      <c r="E1181" s="874"/>
      <c r="F1181" s="874"/>
      <c r="G1181" s="874"/>
      <c r="H1181" s="874"/>
      <c r="I1181" s="874"/>
      <c r="J1181" s="874"/>
      <c r="K1181" s="874"/>
      <c r="L1181" s="874"/>
      <c r="M1181" s="874"/>
      <c r="N1181" s="874"/>
      <c r="O1181" s="874"/>
      <c r="P1181" s="874"/>
      <c r="Q1181" s="874"/>
      <c r="R1181" s="874"/>
      <c r="S1181" s="874"/>
      <c r="T1181" s="874"/>
      <c r="U1181" s="874"/>
      <c r="V1181" s="533"/>
    </row>
    <row r="1182" spans="1:22" ht="17.25" customHeight="1" hidden="1">
      <c r="A1182" s="527" t="s">
        <v>474</v>
      </c>
      <c r="B1182" s="528" t="s">
        <v>678</v>
      </c>
      <c r="C1182" s="528"/>
      <c r="D1182" s="528"/>
      <c r="E1182" s="528"/>
      <c r="F1182" s="528"/>
      <c r="G1182" s="528"/>
      <c r="H1182" s="528"/>
      <c r="I1182" s="528"/>
      <c r="J1182" s="528"/>
      <c r="K1182" s="528"/>
      <c r="L1182" s="528"/>
      <c r="M1182" s="528"/>
      <c r="N1182" s="528"/>
      <c r="O1182" s="528"/>
      <c r="P1182" s="528"/>
      <c r="Q1182" s="528"/>
      <c r="R1182" s="528"/>
      <c r="S1182" s="528"/>
      <c r="T1182" s="528"/>
      <c r="U1182" s="528"/>
      <c r="V1182" s="533" t="e">
        <f>SUM(C1182:U1182)-#REF!</f>
        <v>#REF!</v>
      </c>
    </row>
    <row r="1183" spans="1:22" s="148" customFormat="1" ht="24.75" customHeight="1" hidden="1">
      <c r="A1183" s="888"/>
      <c r="B1183" s="889" t="s">
        <v>475</v>
      </c>
      <c r="C1183" s="890">
        <f>C1184</f>
        <v>0</v>
      </c>
      <c r="D1183" s="890">
        <f aca="true" t="shared" si="61" ref="D1183:U1186">D1184</f>
        <v>0</v>
      </c>
      <c r="E1183" s="890">
        <f t="shared" si="61"/>
        <v>0</v>
      </c>
      <c r="F1183" s="890">
        <f t="shared" si="61"/>
        <v>0</v>
      </c>
      <c r="G1183" s="890">
        <f t="shared" si="61"/>
        <v>0</v>
      </c>
      <c r="H1183" s="890">
        <f t="shared" si="61"/>
        <v>0</v>
      </c>
      <c r="I1183" s="890">
        <f t="shared" si="61"/>
        <v>0</v>
      </c>
      <c r="J1183" s="890">
        <f t="shared" si="61"/>
        <v>0</v>
      </c>
      <c r="K1183" s="890">
        <f t="shared" si="61"/>
        <v>0</v>
      </c>
      <c r="L1183" s="890">
        <f t="shared" si="61"/>
        <v>0</v>
      </c>
      <c r="M1183" s="890">
        <f t="shared" si="61"/>
        <v>0</v>
      </c>
      <c r="N1183" s="890">
        <f t="shared" si="61"/>
        <v>0</v>
      </c>
      <c r="O1183" s="890">
        <f t="shared" si="61"/>
        <v>0</v>
      </c>
      <c r="P1183" s="890">
        <f t="shared" si="61"/>
        <v>0</v>
      </c>
      <c r="Q1183" s="890">
        <f t="shared" si="61"/>
        <v>0</v>
      </c>
      <c r="R1183" s="890">
        <f t="shared" si="61"/>
        <v>0</v>
      </c>
      <c r="S1183" s="890">
        <f t="shared" si="61"/>
        <v>0</v>
      </c>
      <c r="T1183" s="890">
        <f t="shared" si="61"/>
        <v>0</v>
      </c>
      <c r="U1183" s="890">
        <f t="shared" si="61"/>
        <v>0</v>
      </c>
      <c r="V1183" s="891" t="e">
        <f>SUM(C1183:U1183)-#REF!</f>
        <v>#REF!</v>
      </c>
    </row>
    <row r="1184" spans="1:22" s="486" customFormat="1" ht="18" customHeight="1" hidden="1">
      <c r="A1184" s="892"/>
      <c r="B1184" s="893" t="s">
        <v>476</v>
      </c>
      <c r="C1184" s="893">
        <f>C1185</f>
        <v>0</v>
      </c>
      <c r="D1184" s="893">
        <f t="shared" si="61"/>
        <v>0</v>
      </c>
      <c r="E1184" s="893">
        <f t="shared" si="61"/>
        <v>0</v>
      </c>
      <c r="F1184" s="893">
        <f t="shared" si="61"/>
        <v>0</v>
      </c>
      <c r="G1184" s="893">
        <f t="shared" si="61"/>
        <v>0</v>
      </c>
      <c r="H1184" s="893">
        <f t="shared" si="61"/>
        <v>0</v>
      </c>
      <c r="I1184" s="893">
        <f t="shared" si="61"/>
        <v>0</v>
      </c>
      <c r="J1184" s="893">
        <f t="shared" si="61"/>
        <v>0</v>
      </c>
      <c r="K1184" s="893">
        <f t="shared" si="61"/>
        <v>0</v>
      </c>
      <c r="L1184" s="893">
        <f t="shared" si="61"/>
        <v>0</v>
      </c>
      <c r="M1184" s="893">
        <f t="shared" si="61"/>
        <v>0</v>
      </c>
      <c r="N1184" s="893">
        <f t="shared" si="61"/>
        <v>0</v>
      </c>
      <c r="O1184" s="893">
        <f t="shared" si="61"/>
        <v>0</v>
      </c>
      <c r="P1184" s="893">
        <f t="shared" si="61"/>
        <v>0</v>
      </c>
      <c r="Q1184" s="893">
        <f t="shared" si="61"/>
        <v>0</v>
      </c>
      <c r="R1184" s="893">
        <f t="shared" si="61"/>
        <v>0</v>
      </c>
      <c r="S1184" s="893">
        <f t="shared" si="61"/>
        <v>0</v>
      </c>
      <c r="T1184" s="893">
        <f t="shared" si="61"/>
        <v>0</v>
      </c>
      <c r="U1184" s="893">
        <f t="shared" si="61"/>
        <v>0</v>
      </c>
      <c r="V1184" s="785" t="e">
        <f>SUM(C1184:U1184)-#REF!</f>
        <v>#REF!</v>
      </c>
    </row>
    <row r="1185" spans="1:22" s="486" customFormat="1" ht="18" customHeight="1" hidden="1">
      <c r="A1185" s="523" t="s">
        <v>477</v>
      </c>
      <c r="B1185" s="894" t="s">
        <v>478</v>
      </c>
      <c r="C1185" s="895">
        <f>C1186</f>
        <v>0</v>
      </c>
      <c r="D1185" s="895">
        <f t="shared" si="61"/>
        <v>0</v>
      </c>
      <c r="E1185" s="895">
        <f t="shared" si="61"/>
        <v>0</v>
      </c>
      <c r="F1185" s="895">
        <f t="shared" si="61"/>
        <v>0</v>
      </c>
      <c r="G1185" s="895">
        <f t="shared" si="61"/>
        <v>0</v>
      </c>
      <c r="H1185" s="895">
        <f t="shared" si="61"/>
        <v>0</v>
      </c>
      <c r="I1185" s="895">
        <f t="shared" si="61"/>
        <v>0</v>
      </c>
      <c r="J1185" s="895">
        <f t="shared" si="61"/>
        <v>0</v>
      </c>
      <c r="K1185" s="895">
        <f t="shared" si="61"/>
        <v>0</v>
      </c>
      <c r="L1185" s="895">
        <f t="shared" si="61"/>
        <v>0</v>
      </c>
      <c r="M1185" s="895">
        <f t="shared" si="61"/>
        <v>0</v>
      </c>
      <c r="N1185" s="895">
        <f t="shared" si="61"/>
        <v>0</v>
      </c>
      <c r="O1185" s="895">
        <f t="shared" si="61"/>
        <v>0</v>
      </c>
      <c r="P1185" s="895">
        <f t="shared" si="61"/>
        <v>0</v>
      </c>
      <c r="Q1185" s="895">
        <f t="shared" si="61"/>
        <v>0</v>
      </c>
      <c r="R1185" s="895">
        <f t="shared" si="61"/>
        <v>0</v>
      </c>
      <c r="S1185" s="895">
        <f t="shared" si="61"/>
        <v>0</v>
      </c>
      <c r="T1185" s="895">
        <f t="shared" si="61"/>
        <v>0</v>
      </c>
      <c r="U1185" s="895">
        <f t="shared" si="61"/>
        <v>0</v>
      </c>
      <c r="V1185" s="785" t="e">
        <f>SUM(C1185:U1185)-#REF!</f>
        <v>#REF!</v>
      </c>
    </row>
    <row r="1186" spans="1:22" s="103" customFormat="1" ht="27" customHeight="1" hidden="1">
      <c r="A1186" s="896"/>
      <c r="B1186" s="876" t="s">
        <v>852</v>
      </c>
      <c r="C1186" s="877">
        <f>C1187</f>
        <v>0</v>
      </c>
      <c r="D1186" s="877">
        <f t="shared" si="61"/>
        <v>0</v>
      </c>
      <c r="E1186" s="877">
        <f t="shared" si="61"/>
        <v>0</v>
      </c>
      <c r="F1186" s="877">
        <f t="shared" si="61"/>
        <v>0</v>
      </c>
      <c r="G1186" s="877">
        <f t="shared" si="61"/>
        <v>0</v>
      </c>
      <c r="H1186" s="877">
        <f t="shared" si="61"/>
        <v>0</v>
      </c>
      <c r="I1186" s="877">
        <f t="shared" si="61"/>
        <v>0</v>
      </c>
      <c r="J1186" s="877">
        <f t="shared" si="61"/>
        <v>0</v>
      </c>
      <c r="K1186" s="877">
        <f t="shared" si="61"/>
        <v>0</v>
      </c>
      <c r="L1186" s="877">
        <f t="shared" si="61"/>
        <v>0</v>
      </c>
      <c r="M1186" s="877">
        <f t="shared" si="61"/>
        <v>0</v>
      </c>
      <c r="N1186" s="877">
        <f t="shared" si="61"/>
        <v>0</v>
      </c>
      <c r="O1186" s="877">
        <f t="shared" si="61"/>
        <v>0</v>
      </c>
      <c r="P1186" s="877">
        <f t="shared" si="61"/>
        <v>0</v>
      </c>
      <c r="Q1186" s="877">
        <f t="shared" si="61"/>
        <v>0</v>
      </c>
      <c r="R1186" s="877">
        <f t="shared" si="61"/>
        <v>0</v>
      </c>
      <c r="S1186" s="877">
        <f t="shared" si="61"/>
        <v>0</v>
      </c>
      <c r="T1186" s="877">
        <f t="shared" si="61"/>
        <v>0</v>
      </c>
      <c r="U1186" s="877">
        <f t="shared" si="61"/>
        <v>0</v>
      </c>
      <c r="V1186" s="814" t="e">
        <f>SUM(C1186:U1186)-#REF!</f>
        <v>#REF!</v>
      </c>
    </row>
    <row r="1187" spans="1:22" ht="18" customHeight="1" hidden="1">
      <c r="A1187" s="527" t="s">
        <v>479</v>
      </c>
      <c r="B1187" s="528" t="s">
        <v>536</v>
      </c>
      <c r="C1187" s="528"/>
      <c r="D1187" s="528"/>
      <c r="E1187" s="528"/>
      <c r="F1187" s="528"/>
      <c r="G1187" s="528"/>
      <c r="H1187" s="528"/>
      <c r="I1187" s="528"/>
      <c r="J1187" s="528"/>
      <c r="K1187" s="528"/>
      <c r="L1187" s="528"/>
      <c r="M1187" s="528"/>
      <c r="N1187" s="528"/>
      <c r="O1187" s="528"/>
      <c r="P1187" s="528"/>
      <c r="Q1187" s="528"/>
      <c r="R1187" s="528"/>
      <c r="S1187" s="528"/>
      <c r="T1187" s="528"/>
      <c r="U1187" s="528"/>
      <c r="V1187" s="533" t="e">
        <f>SUM(C1187:U1187)-#REF!</f>
        <v>#REF!</v>
      </c>
    </row>
    <row r="1188" ht="12.75">
      <c r="V1188" s="28"/>
    </row>
    <row r="1189" spans="2:22" ht="12.75">
      <c r="B1189" s="1386" t="s">
        <v>874</v>
      </c>
      <c r="C1189" s="1386"/>
      <c r="D1189" s="1386"/>
      <c r="E1189" s="1387"/>
      <c r="F1189" s="1386"/>
      <c r="K1189" s="1386" t="s">
        <v>871</v>
      </c>
      <c r="L1189" s="1386"/>
      <c r="M1189" s="1386"/>
      <c r="V1189" s="28"/>
    </row>
    <row r="1190" spans="2:22" ht="12.75">
      <c r="B1190" s="1386"/>
      <c r="C1190" s="1386"/>
      <c r="D1190" s="1386"/>
      <c r="E1190" s="1387"/>
      <c r="F1190" s="1386"/>
      <c r="K1190" s="1386" t="s">
        <v>872</v>
      </c>
      <c r="L1190" s="1386"/>
      <c r="M1190" s="1386"/>
      <c r="V1190" s="28"/>
    </row>
    <row r="1191" spans="2:22" ht="12.75">
      <c r="B1191" s="1386" t="s">
        <v>875</v>
      </c>
      <c r="C1191" s="1386"/>
      <c r="D1191" s="1386"/>
      <c r="E1191" s="1387"/>
      <c r="F1191" s="1386"/>
      <c r="K1191" s="1386"/>
      <c r="L1191" s="1386"/>
      <c r="M1191" s="1386"/>
      <c r="V1191" s="28"/>
    </row>
    <row r="1192" spans="2:22" ht="12.75">
      <c r="B1192" s="1386" t="s">
        <v>876</v>
      </c>
      <c r="C1192" s="1386"/>
      <c r="D1192" s="1386"/>
      <c r="E1192" s="1387"/>
      <c r="F1192" s="1386"/>
      <c r="K1192" s="1386" t="s">
        <v>873</v>
      </c>
      <c r="L1192" s="1386"/>
      <c r="M1192" s="1386"/>
      <c r="V1192" s="28"/>
    </row>
    <row r="1193" spans="2:22" ht="12.75">
      <c r="B1193" s="1386"/>
      <c r="C1193" s="1386"/>
      <c r="D1193" s="1386"/>
      <c r="E1193" s="1387"/>
      <c r="F1193" s="1386"/>
      <c r="K1193" s="1386"/>
      <c r="L1193" s="1386"/>
      <c r="M1193" s="1386"/>
      <c r="V1193" s="28"/>
    </row>
    <row r="1194" ht="12.75">
      <c r="V1194" s="28"/>
    </row>
    <row r="1195" ht="12.75">
      <c r="V1195" s="28"/>
    </row>
    <row r="1196" ht="12.75">
      <c r="V1196" s="28"/>
    </row>
    <row r="1197" ht="12.75">
      <c r="V1197" s="28"/>
    </row>
    <row r="1198" ht="12.75">
      <c r="V1198" s="28"/>
    </row>
    <row r="1199" ht="12.75">
      <c r="V1199" s="28"/>
    </row>
    <row r="1200" ht="12.75">
      <c r="V1200" s="28"/>
    </row>
    <row r="1201" ht="12.75">
      <c r="V1201" s="28"/>
    </row>
    <row r="1202" ht="12.75">
      <c r="V1202" s="28"/>
    </row>
    <row r="1203" ht="12.75">
      <c r="V1203" s="28"/>
    </row>
    <row r="1204" ht="12.75">
      <c r="V1204" s="28"/>
    </row>
    <row r="1205" ht="12.75">
      <c r="V1205" s="28"/>
    </row>
    <row r="1206" ht="12.75">
      <c r="V1206" s="28"/>
    </row>
    <row r="1207" ht="12.75">
      <c r="V1207" s="28"/>
    </row>
    <row r="1208" ht="12.75">
      <c r="V1208" s="28"/>
    </row>
    <row r="1209" ht="12.75">
      <c r="V1209" s="28"/>
    </row>
    <row r="1210" ht="12.75">
      <c r="V1210" s="28"/>
    </row>
    <row r="1211" ht="12.75">
      <c r="V1211" s="28"/>
    </row>
    <row r="1212" ht="12.75">
      <c r="V1212" s="28"/>
    </row>
    <row r="1213" ht="12.75">
      <c r="V1213" s="28"/>
    </row>
    <row r="1214" ht="12.75">
      <c r="V1214" s="28"/>
    </row>
    <row r="1215" ht="12.75">
      <c r="V1215" s="28"/>
    </row>
    <row r="1216" ht="12.75">
      <c r="V1216" s="28"/>
    </row>
    <row r="1217" ht="12.75">
      <c r="V1217" s="28"/>
    </row>
    <row r="1218" ht="12.75">
      <c r="V1218" s="28"/>
    </row>
    <row r="1219" ht="12.75">
      <c r="V1219" s="28"/>
    </row>
    <row r="1220" ht="12.75">
      <c r="V1220" s="28"/>
    </row>
    <row r="1221" ht="12.75">
      <c r="V1221" s="28"/>
    </row>
    <row r="1222" ht="12.75">
      <c r="V1222" s="28"/>
    </row>
    <row r="1223" ht="12.75">
      <c r="V1223" s="28"/>
    </row>
    <row r="1224" ht="12.75">
      <c r="V1224" s="28"/>
    </row>
    <row r="1225" ht="12.75">
      <c r="V1225" s="28"/>
    </row>
    <row r="1226" ht="12.75">
      <c r="V1226" s="28"/>
    </row>
    <row r="1227" ht="12.75">
      <c r="V1227" s="28"/>
    </row>
    <row r="1228" ht="12.75">
      <c r="V1228" s="28"/>
    </row>
    <row r="1229" ht="12.75">
      <c r="V1229" s="28"/>
    </row>
    <row r="1230" ht="12.75">
      <c r="V1230" s="28"/>
    </row>
    <row r="1231" ht="12.75">
      <c r="V1231" s="28"/>
    </row>
    <row r="1232" ht="12.75">
      <c r="V1232" s="28"/>
    </row>
    <row r="1233" ht="12.75">
      <c r="V1233" s="28"/>
    </row>
    <row r="1234" ht="12.75">
      <c r="V1234" s="28"/>
    </row>
    <row r="1235" ht="12.75">
      <c r="V1235" s="28"/>
    </row>
    <row r="1236" ht="12.75">
      <c r="V1236" s="28"/>
    </row>
    <row r="1237" ht="12.75">
      <c r="V1237" s="28"/>
    </row>
    <row r="1238" ht="12.75">
      <c r="V1238" s="28"/>
    </row>
    <row r="1239" ht="12.75">
      <c r="V1239" s="28"/>
    </row>
    <row r="1240" ht="12.75">
      <c r="V1240" s="28"/>
    </row>
    <row r="1241" ht="12.75">
      <c r="V1241" s="28"/>
    </row>
    <row r="1242" ht="12.75">
      <c r="V1242" s="28"/>
    </row>
    <row r="1243" ht="12.75">
      <c r="V1243" s="28"/>
    </row>
    <row r="1244" ht="12.75">
      <c r="V1244" s="28"/>
    </row>
    <row r="1245" ht="12.75">
      <c r="V1245" s="28"/>
    </row>
    <row r="1246" ht="12.75">
      <c r="V1246" s="28"/>
    </row>
    <row r="1247" ht="12.75">
      <c r="V1247" s="28"/>
    </row>
    <row r="1248" ht="12.75">
      <c r="V1248" s="28"/>
    </row>
    <row r="1249" ht="12.75">
      <c r="V1249" s="28"/>
    </row>
    <row r="1250" ht="12.75">
      <c r="V1250" s="28"/>
    </row>
    <row r="1251" ht="12.75">
      <c r="V1251" s="28"/>
    </row>
    <row r="1252" ht="12.75">
      <c r="V1252" s="28"/>
    </row>
    <row r="1253" ht="12.75">
      <c r="V1253" s="28"/>
    </row>
    <row r="1254" ht="12.75">
      <c r="V1254" s="28"/>
    </row>
    <row r="1255" ht="12.75">
      <c r="V1255" s="28"/>
    </row>
    <row r="1256" ht="12.75">
      <c r="V1256" s="28"/>
    </row>
    <row r="1257" ht="12.75">
      <c r="V1257" s="28"/>
    </row>
    <row r="1258" ht="12.75">
      <c r="V1258" s="28"/>
    </row>
    <row r="1259" ht="12.75">
      <c r="V1259" s="28"/>
    </row>
    <row r="1260" ht="12.75">
      <c r="V1260" s="28"/>
    </row>
    <row r="1261" ht="12.75">
      <c r="V1261" s="28"/>
    </row>
    <row r="1262" ht="12.75">
      <c r="V1262" s="28"/>
    </row>
    <row r="1263" ht="12.75">
      <c r="V1263" s="28"/>
    </row>
    <row r="1264" ht="12.75">
      <c r="V1264" s="28"/>
    </row>
    <row r="1265" ht="12.75">
      <c r="V1265" s="28"/>
    </row>
    <row r="1266" ht="12.75">
      <c r="V1266" s="28"/>
    </row>
    <row r="1267" ht="12.75">
      <c r="V1267" s="28"/>
    </row>
    <row r="1268" ht="12.75">
      <c r="V1268" s="28"/>
    </row>
    <row r="1269" ht="12.75">
      <c r="V1269" s="28"/>
    </row>
    <row r="1270" ht="12.75">
      <c r="V1270" s="28"/>
    </row>
    <row r="1271" ht="12.75">
      <c r="V1271" s="28"/>
    </row>
    <row r="1272" ht="12.75">
      <c r="V1272" s="28"/>
    </row>
    <row r="1273" ht="12.75">
      <c r="V1273" s="28"/>
    </row>
    <row r="1274" ht="12.75">
      <c r="V1274" s="28"/>
    </row>
    <row r="1275" ht="12.75">
      <c r="V1275" s="28"/>
    </row>
    <row r="1276" ht="12.75">
      <c r="V1276" s="28"/>
    </row>
    <row r="1277" ht="12.75">
      <c r="V1277" s="28"/>
    </row>
    <row r="1278" ht="12.75">
      <c r="V1278" s="28"/>
    </row>
    <row r="1279" ht="12.75">
      <c r="V1279" s="28"/>
    </row>
    <row r="1280" ht="12.75">
      <c r="V1280" s="28"/>
    </row>
    <row r="1281" ht="12.75">
      <c r="V1281" s="28"/>
    </row>
    <row r="1282" ht="12.75">
      <c r="V1282" s="28"/>
    </row>
    <row r="1283" ht="12.75">
      <c r="V1283" s="28"/>
    </row>
    <row r="1284" ht="12.75">
      <c r="V1284" s="28"/>
    </row>
    <row r="1285" ht="12.75">
      <c r="V1285" s="28"/>
    </row>
  </sheetData>
  <mergeCells count="3">
    <mergeCell ref="C4:E4"/>
    <mergeCell ref="G4:H4"/>
    <mergeCell ref="I4:T4"/>
  </mergeCells>
  <printOptions/>
  <pageMargins left="0.7874015748031497" right="0.4724409448818898" top="0.984251968503937" bottom="0.984251968503937" header="0.5118110236220472" footer="0.5118110236220472"/>
  <pageSetup firstPageNumber="40" useFirstPageNumber="1" horizontalDpi="300" verticalDpi="300" orientation="landscape" paperSize="9" scale="70" r:id="rId2"/>
  <headerFooter alignWithMargins="0">
    <oddFooter>&amp;C&amp;P</oddFooter>
  </headerFooter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UM</cp:lastModifiedBy>
  <cp:lastPrinted>2004-10-05T10:51:02Z</cp:lastPrinted>
  <dcterms:created xsi:type="dcterms:W3CDTF">2004-03-08T07:54:07Z</dcterms:created>
  <dcterms:modified xsi:type="dcterms:W3CDTF">2004-08-23T18:52:34Z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